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40" yWindow="660" windowWidth="17175" windowHeight="7470" tabRatio="911"/>
  </bookViews>
  <sheets>
    <sheet name="0. Title" sheetId="1" r:id="rId1"/>
    <sheet name="1. Overview" sheetId="41" r:id="rId2"/>
    <sheet name="2. Patients" sheetId="54" r:id="rId3"/>
    <sheet name="2a. Patients - incident" sheetId="56" r:id="rId4"/>
    <sheet name="2b. Patients - prevalent" sheetId="3" r:id="rId5"/>
    <sheet name="2c. Patients - GF" sheetId="53" r:id="rId6"/>
    <sheet name="2d. Scripts - market" sheetId="38" r:id="rId7"/>
    <sheet name="3a. Scripts - proposed" sheetId="37" r:id="rId8"/>
    <sheet name="3b. Impact - proposed (pub)" sheetId="34" r:id="rId9"/>
    <sheet name="3c. Impact - proposed (eff)" sheetId="43" r:id="rId10"/>
    <sheet name="4a. Scripts - affected" sheetId="15" r:id="rId11"/>
    <sheet name="4b. Impact - affected (pub)" sheetId="44" r:id="rId12"/>
    <sheet name="4c. Impact - affected (eff)" sheetId="45" r:id="rId13"/>
    <sheet name="5. Impact - net" sheetId="46" r:id="rId14"/>
    <sheet name="6. Net changes - SA" sheetId="7" r:id="rId15"/>
    <sheet name="7. Net changes - MBS" sheetId="50" r:id="rId16"/>
    <sheet name="8. ABS population" sheetId="47" r:id="rId17"/>
    <sheet name="9. AIHW population" sheetId="49" r:id="rId18"/>
    <sheet name="10. Registry population" sheetId="51" r:id="rId19"/>
    <sheet name="11. Prevalent population" sheetId="58" r:id="rId20"/>
    <sheet name="References" sheetId="14" state="hidden" r:id="rId21"/>
    <sheet name="ChangeLog" sheetId="22" state="hidden" r:id="rId22"/>
    <sheet name="12. Copies of data -&gt;" sheetId="57" r:id="rId23"/>
    <sheet name="Template" sheetId="59" r:id="rId24"/>
  </sheets>
  <definedNames>
    <definedName name="ABSValues" comment="Values - ABS populations summary">'8. ABS population'!$D$8:$J$17</definedName>
    <definedName name="Authority" comment="Values - schedule authority level">References!$B$30:$B$34</definedName>
    <definedName name="AuthorityCode" comment="Values - schedule authority level with codes">References!$B$30:$C$34</definedName>
    <definedName name="CalculationMethod" comment="Values - method of calculating costs (course of treatment or annually)">References!$J$54:$J$55</definedName>
    <definedName name="CalendarYear" comment="Values - calendar years">References!$J$42:$J$46</definedName>
    <definedName name="CoDep" comment="Value - identified co-dependant PBAC/MSAC listings">'1. Overview'!$N$7</definedName>
    <definedName name="ComplexAuthCount" comment="Value - number of new restrictions that are complex">'6. Net changes - SA'!$L$61</definedName>
    <definedName name="CoPayBandChanged" comment="Values - co-payment band for changed medicines">'4a. Scripts - affected'!$Y$16:$Y$35</definedName>
    <definedName name="CoPayBandLink" comment="Values - co-payment group when old and new medicines are linked">'3a. Scripts - proposed'!$Z$139:$AE$158</definedName>
    <definedName name="CoPayBandMS" comment="Values - co-payment band for an existing  medicine">'2d. Scripts - market'!$O$50:$O$69</definedName>
    <definedName name="CoPayBands" comment="Values - co-payment bands for PBS / RPBS">References!$J$90:$J$94</definedName>
    <definedName name="CoPayC0" comment="Value - Copayment: Concessional Free">References!$N$9</definedName>
    <definedName name="CoPayC1" comment="Value - Copayment: Concessional Ordinary">References!$N$8</definedName>
    <definedName name="CoPayCountChanged" comment="Values - number of co-payments for existing PBS items that will change with this listing">'6. Net changes - SA'!$K$230:$K$249</definedName>
    <definedName name="CoPayCountNew" comment="Values - number of co-payments for new PBS items associated with this listing">'6. Net changes - SA'!$K$41:$K$60</definedName>
    <definedName name="CoPayG1" comment="Value - Copayment: Safety Net">References!$N$7</definedName>
    <definedName name="CoPayG2" comment="Value - Copayment: General Ordinary">References!$N$6</definedName>
    <definedName name="CoPayMethod" comment="Values - co-payment methods (once per course of treatment or per script)">References!$P$6:$P$7</definedName>
    <definedName name="CoPayPBS" comment="Values - PBS co-payments for each group">'2d. Scripts - market'!$U$73:$U$77</definedName>
    <definedName name="CoPayR0" comment="Value - Copayment: RPBS Safety Net">References!$N$11</definedName>
    <definedName name="CoPayR1" comment="Value - Copayment: RPBS Ordinary">References!$N$10</definedName>
    <definedName name="CoPayRPBS" comment="Values - RPBS co-payments for each group">'2d. Scripts - market'!$V$73:$V$77</definedName>
    <definedName name="CostType" comment="Values - outcomes cost categories">References!$B$54:$B$56</definedName>
    <definedName name="CostTypeCode" comment="Values - outcomes cost categories with codes">References!$B$54:$C$56</definedName>
    <definedName name="CostTypePBS" comment="Values - PBS outcomes cost categories">References!$B$66:$B$70</definedName>
    <definedName name="CostTypePBSCode" comment="Values - PBS outcomes cost categories with codes">References!$B$66:$C$70</definedName>
    <definedName name="DataSource" comment="Values - source of modelling data">References!$H$6:$H$9</definedName>
    <definedName name="DisplaceType" comment="Values - displacement type (increase or decrease)">References!$E$6:$E$7</definedName>
    <definedName name="DisplaceTypeCode" comment="Values - displacement type (increase or decrease) with code">References!$E$6:$F$7</definedName>
    <definedName name="DPMQCoPayChangedEff" comment="Values - weighted DPMQ and co-payments for changed medicines at the effective price">'4c. Impact - affected (eff)'!$J$274:$M$293</definedName>
    <definedName name="DPMQCoPayChangedPub" comment="Values - weighted DPMQ and co-payments for changed medicines at the published price">'4b. Impact - affected (pub)'!$J$274:$M$293</definedName>
    <definedName name="DPMQCoPayNewEff" comment="Values - weighted DPMQ and co-payments for new medicines at the effective price">'3c. Impact - proposed (eff)'!$J$274:$M$293</definedName>
    <definedName name="DPMQCoPayNewPub" comment="Values - weighted DPMQ and co-payments for new medicines at the published price">'3b. Impact - proposed (pub)'!$J$274:$M$293</definedName>
    <definedName name="EconomicAnalysis" comment="Values - methods of economic analysis used in the modelling">References!$H$54:$H$56</definedName>
    <definedName name="Electronic" comment="Values - electronic prescribing or not allowed for this restriction">References!$B$37:$B$38</definedName>
    <definedName name="Episodicity" comment="Flag - treatment is define as annual or per course">'1. Overview'!$J$404</definedName>
    <definedName name="EPISource" comment="Values - source of epidemiology data">References!$E$18:$E$21</definedName>
    <definedName name="EPISourceCode" comment="Values - source of epidemiology data with codes">References!$E$18:$F$21</definedName>
    <definedName name="EpiType" comment="Values - incidence calculation method">References!$B$18:$B$20</definedName>
    <definedName name="EpiTypeCode" comment="Values - incidence calculation method with codes">References!$B$18:$C$20</definedName>
    <definedName name="ErrorMessages" comment="Values - error message text">References!$AH$44:$AI$63</definedName>
    <definedName name="FirstYear" comment="Value - first year of listing">'1. Overview'!$M$8</definedName>
    <definedName name="Gender" comment="Values - population categories (male / female / all)">References!$B$42:$B$45</definedName>
    <definedName name="GenderCode" comment="Values - population categories (male / female / all) with codes">References!$B$42:$C$45</definedName>
    <definedName name="GFPops01" comment="Values - Available grandfathered patient populations - population 01" localSheetId="5">OFFSET(References!$AB$7,0,'2c. Patients - GF'!$K$57,INDEX(PxPopValid,,'2c. Patients - GF'!$K$57+1))</definedName>
    <definedName name="GFPops02" comment="Values - Available grandfathered patient populations - population 02" localSheetId="5">OFFSET(References!$AB$7,0,'2c. Patients - GF'!$K$84,INDEX(PxPopValid,,'2c. Patients - GF'!$K$84+1))</definedName>
    <definedName name="GFPops03" comment="Values - Available grandfathered patient populations - population 03" localSheetId="5">OFFSET(References!$AB$7,0,'2c. Patients - GF'!$K$111,INDEX(PxPopValid,,'2c. Patients - GF'!$K$111+1))</definedName>
    <definedName name="GFPops04" comment="Values - Available grandfathered patient populations - population 04" localSheetId="5">OFFSET(References!$AB$7,0,'2c. Patients - GF'!$K$138,INDEX(PxPopValid,,'2c. Patients - GF'!$K$138+1))</definedName>
    <definedName name="GFPops05" comment="Values - Available grandfathered patient populations - population 05" localSheetId="5">OFFSET(References!$AB$7,0,'2c. Patients - GF'!$K$165,INDEX(PxPopValid,,'2c. Patients - GF'!$K$165+1))</definedName>
    <definedName name="Indication" comment="Value - indication for which the medicine is listing">'1. Overview'!$E$72</definedName>
    <definedName name="IPops01" comment="Values - Available incident patient populations - population 01" localSheetId="3">OFFSET(References!$AB$7,0,'2a. Patients - incident'!$K$73,INDEX(PxPopValid,,'2a. Patients - incident'!$K$73+1))</definedName>
    <definedName name="IPops02" comment="Values - Available incident patient populations - population 02" localSheetId="3">OFFSET(References!$AB$7,0,'2a. Patients - incident'!$K$109,INDEX(PxPopValid,,'2a. Patients - incident'!$K$109+1))</definedName>
    <definedName name="IPops03" comment="Values - Available incident patient populations - population 03" localSheetId="3">OFFSET(References!$AB$7,0,'2a. Patients - incident'!$K$145,INDEX(PxPopValid,,'2a. Patients - incident'!$K$145+1))</definedName>
    <definedName name="IPops04" comment="Values - Available incident patient populations - population 04" localSheetId="3">OFFSET(References!$AB$7,0,'2a. Patients - incident'!$K$181,INDEX(PxPopValid,,'2a. Patients - incident'!$K$181+1))</definedName>
    <definedName name="IPops05" comment="Values - Available incident patient populations - population 05" localSheetId="3">OFFSET(References!$AB$7,0,'2a. Patients - incident'!$K$217,INDEX(PxPopValid,,'2a. Patients - incident'!$K$217+1))</definedName>
    <definedName name="IPops06" comment="Values - Available incident patient populations - population 06" localSheetId="3">OFFSET(References!$AB$7,0,'2a. Patients - incident'!$K$253,INDEX(PxPopValid,,'2a. Patients - incident'!$K$253+1))</definedName>
    <definedName name="IPops07" comment="Values - Available incident patient populations - population 07" localSheetId="3">OFFSET(References!$AB$7,0,'2a. Patients - incident'!$K$289,INDEX(PxPopValid,,'2a. Patients - incident'!$K$289+1))</definedName>
    <definedName name="IPops08" comment="Values - Available incident patient populations - population 08" localSheetId="3">OFFSET(References!$AB$7,0,'2a. Patients - incident'!$K$325,INDEX(PxPopValid,,'2a. Patients - incident'!$K$325+1))</definedName>
    <definedName name="IPops09" comment="Values - Available incident patient populations - population 09" localSheetId="3">OFFSET(References!$AB$7,0,'2a. Patients - incident'!$K$361,INDEX(PxPopValid,,'2a. Patients - incident'!$K$361+1))</definedName>
    <definedName name="IPops10" comment="Values - Available incident patient populations - population 10" localSheetId="3">OFFSET(References!$AB$7,0,'2a. Patients - incident'!$K$397,INDEX(PxPopValid,,'2a. Patients - incident'!$K$397+1))</definedName>
    <definedName name="ListingType" comment="Values - type of listing covered by the model">References!$H$42:$H$45</definedName>
    <definedName name="MarketImpact" comment="Flag - is this listing replacement or adjunctive therapy">'0. Title'!$D$48</definedName>
    <definedName name="MarketImpactCode" comment="Values - impact of the listing on the market (replacement of existing medicine or adjunctive treatment) with code">References!$E$54:$F$55</definedName>
    <definedName name="MarketImpactType" comment="Values - impact of the listing on the market (replacement of existing medicine or adjunctive treatment)">References!$E$54:$E$55</definedName>
    <definedName name="MaxQ" comment="Values - maximum quantity (units or mg)">References!$B$90:$C$91</definedName>
    <definedName name="MBSBasis" comment="Values - basis of MBS cost calculation">References!$H$18:$H$19</definedName>
    <definedName name="MBSItemsDec" comment="Values - details of existing MBS items that will decrease in volume with this listing">'7. Net changes - MBS'!$D$253:$P$262</definedName>
    <definedName name="MBSItemsInc" comment="Values - details of existing MBS items that will increase in volume with this listing">'7. Net changes - MBS'!$D$38:$P$47</definedName>
    <definedName name="MBSNamesChange" comment="Values - details of existing MBS items that will change with this listing">'7. Net changes - MBS'!$X$253:$X$262</definedName>
    <definedName name="MBSNamesNew" comment="Values - details of new MBS items that will change with this listing">'7. Net changes - MBS'!$X$38:$X$47</definedName>
    <definedName name="MBSPBSDec" comment="Values - PBS treated population for MBS decreased population">'7. Net changes - MBS'!$AD$225:$AX$234</definedName>
    <definedName name="MBSPBSInc" comment="Values - PBS treated population for MBS increased population">'7. Net changes - MBS'!$AD$13:$AX$18</definedName>
    <definedName name="MBSPopDec01" comment="Values - Available MBS populations - decrease population 01">OFFSET(References!$AB$23,0,'7. Net changes - MBS'!$Z$253,INDEX(PxTxValid,,'7. Net changes - MBS'!$Z$253+1))</definedName>
    <definedName name="MBSPopDec02" comment="Values - Available MBS populations - decrease population 02">OFFSET(References!$AB$23,0,'7. Net changes - MBS'!$Z$254,INDEX(PxTxValid,,'7. Net changes - MBS'!$Z$254+1))</definedName>
    <definedName name="MBSPopDec03" comment="Values - Available MBS populations - decrease population 03">OFFSET(References!$AB$23,0,'7. Net changes - MBS'!$Z$255,INDEX(PxTxValid,,'7. Net changes - MBS'!$Z$255+1))</definedName>
    <definedName name="MBSPopDec04" comment="Values - Available MBS populations - decrease population 04">OFFSET(References!$AB$23,0,'7. Net changes - MBS'!$Z$256,INDEX(PxTxValid,,'7. Net changes - MBS'!$Z$256+1))</definedName>
    <definedName name="MBSPopDec05" comment="Values - Available MBS populations - decrease population 05">OFFSET(References!$AB$23,0,'7. Net changes - MBS'!$Z$257,INDEX(PxTxValid,,'7. Net changes - MBS'!$Z$257+1))</definedName>
    <definedName name="MBSPopDec06" comment="Values - Available MBS populations - decrease population 06">OFFSET(References!$AB$23,0,'7. Net changes - MBS'!$Z$258,INDEX(PxTxValid,,'7. Net changes - MBS'!$Z$258+1))</definedName>
    <definedName name="MBSPopDec07" comment="Values - Available MBS populations - decrease population 07">OFFSET(References!$AB$23,0,'7. Net changes - MBS'!$Z$259,INDEX(PxTxValid,,'7. Net changes - MBS'!$Z$259+1))</definedName>
    <definedName name="MBSPopDec08" comment="Values - Available MBS populations - decrease population 08">OFFSET(References!$AB$23,0,'7. Net changes - MBS'!$Z$260,INDEX(PxTxValid,,'7. Net changes - MBS'!$Z$260+1))</definedName>
    <definedName name="MBSPopDec09" comment="Values - Available MBS populations - decrease population 09">OFFSET(References!$AB$23,0,'7. Net changes - MBS'!$Z$261,INDEX(PxTxValid,,'7. Net changes - MBS'!$Z$261+1))</definedName>
    <definedName name="MBSPopDec10" comment="Values - Available MBS populations - decrease population 10">OFFSET(References!$AB$23,0,'7. Net changes - MBS'!$Z$262,INDEX(PxTxValid,,'7. Net changes - MBS'!$Z$262+1))</definedName>
    <definedName name="MBSPopInc01" comment="Values - Available MBS populations - increase population 01">OFFSET(References!$AB$23,0,'7. Net changes - MBS'!$Z$38,INDEX(PxTxValid,,'7. Net changes - MBS'!$Z$38+1))</definedName>
    <definedName name="MBSPopInc02" comment="Values - Available MBS populations - increase population 02">OFFSET(References!$AB$23,0,'7. Net changes - MBS'!$Z$39,INDEX(PxTxValid,,'7. Net changes - MBS'!$Z$39+1))</definedName>
    <definedName name="MBSPopInc03" comment="Values - Available MBS populations - increase population 03">OFFSET(References!$AB$23,0,'7. Net changes - MBS'!$Z$40,INDEX(PxTxValid,,'7. Net changes - MBS'!$Z$40+1))</definedName>
    <definedName name="MBSPopInc04" comment="Values - Available MBS populations - increase population 04">OFFSET(References!$AB$23,0,'7. Net changes - MBS'!$Z$41,INDEX(PxTxValid,,'7. Net changes - MBS'!$Z$41+1))</definedName>
    <definedName name="MBSPopInc05" comment="Values - Available MBS populations - increase population 05">OFFSET(References!$AB$23,0,'7. Net changes - MBS'!$Z$42,INDEX(PxTxValid,,'7. Net changes - MBS'!$Z$42+1))</definedName>
    <definedName name="MBSPopInc06" comment="Values - Available MBS populations - increase population 06">OFFSET(References!$AB$23,0,'7. Net changes - MBS'!$Z$43,INDEX(PxTxValid,,'7. Net changes - MBS'!$Z$43+1))</definedName>
    <definedName name="MBSPopInc07" comment="Values - Available MBS populations - increase population 07">OFFSET(References!$AB$23,0,'7. Net changes - MBS'!$Z$44,INDEX(PxTxValid,,'7. Net changes - MBS'!$Z$44+1))</definedName>
    <definedName name="MBSPopInc08" comment="Values - Available MBS populations - increase population 08">OFFSET(References!$AB$23,0,'7. Net changes - MBS'!$Z$45,INDEX(PxTxValid,,'7. Net changes - MBS'!$Z$45+1))</definedName>
    <definedName name="MBSPopInc09" comment="Values - Available MBS populations - increase population 09">OFFSET(References!$AB$23,0,'7. Net changes - MBS'!$Z$46,INDEX(PxTxValid,,'7. Net changes - MBS'!$Z$46+1))</definedName>
    <definedName name="MBSPopInc10" comment="Values - Available MBS populations - increase population 10">OFFSET(References!$AB$23,0,'7. Net changes - MBS'!$Z$47,INDEX(PxTxValid,,'7. Net changes - MBS'!$Z$47+1))</definedName>
    <definedName name="MBSRebateRate" comment="Value - the proportion of the MBS Scheduled fee used to calculate the cost to the MBS.">References!$J$102</definedName>
    <definedName name="MBSRPBSDec" comment="Values - RPBS treated population for MBS decreased population">'7. Net changes - MBS'!$AD$238:$AX$248</definedName>
    <definedName name="MBSRPBSInc" comment="Values - RPBS treated population for MBS increased population">'7. Net changes - MBS'!$AD$22:$AX$32</definedName>
    <definedName name="MedicineBrand" comment="Value - medicine and brand names concatenated">'1. Overview'!$E$10</definedName>
    <definedName name="MedicineName" comment="Value - name of the medicine">'1. Overview'!$E$7</definedName>
    <definedName name="MsgConfirm" comment="Value - message displayed when confirmation is required">References!$H$70</definedName>
    <definedName name="MsgError" comment="Value - message displayed when error is encountered">References!$H$68</definedName>
    <definedName name="MsgNote" comment="Value - message displayed when note is required">References!$H$71</definedName>
    <definedName name="MsgNotRequired" comment="Value - message displayed when an element is not required">References!$H$67</definedName>
    <definedName name="MsgNotUsed" comment="Value - message displayed when an element is not used">References!$H$66</definedName>
    <definedName name="MsgWarn" comment="Value - message displayed when warning is required">References!$H$69</definedName>
    <definedName name="NamesEpiAdditional" comment="Values - item code / drug name / form / treatment phase concatenated for additional eip-based scripts">'4a. Scripts - affected'!$AB$105:$AC$124</definedName>
    <definedName name="NamesLinkNew" comment="Values - new drug name linked to replaced drug name">'3a. Scripts - proposed'!$W$139:$W$158</definedName>
    <definedName name="NamesMS" comment="Values - item code / drug name / form / treatment phase concatenated for current  market share drug">'2d. Scripts - market'!$AB$50:$AB$69</definedName>
    <definedName name="NamesMSAdditional" comment="Values - item code / drug name / form / treatment phase concatenated for additional market share drug">'4a. Scripts - affected'!$AB$133:$AD$152</definedName>
    <definedName name="NamesNew" comment="Values - item code / drug name / form / treatment phase concatenated for new drug">'3a. Scripts - proposed'!$W$111:$W$130</definedName>
    <definedName name="NamesNewTx" comment="Values - new medicine names &amp; tx phase">OFFSET('3a. Scripts - proposed'!$W$111,0,0,COUNTIF(NamesNew,"&lt;&gt;** NOT USED **"))</definedName>
    <definedName name="NamesOverallChanged" comment="Values - item code / drug name / form / treatment phase concatenated for scripts that change (displaced)">'4a. Scripts - affected'!$D$16:$D$35</definedName>
    <definedName name="NamesOverallChangedCode" comment="Values - item code / drug name / form / treatment phase concatenated for scripts that change (displaced)">'4a. Scripts - affected'!$AB$16:$AC$35</definedName>
    <definedName name="NamesScriptsChangedTx" comment="Values - changed medicine names &amp; tx phase">OFFSET('4a. Scripts - affected'!$D$16,0,0,COUNTIF(NamesOverallChanged,"&lt;&gt;** NOT USED **"))</definedName>
    <definedName name="NewAdjunct" comment="Values - descriptions for new and adjunctive therapies">References!$AH$66:$AI$67</definedName>
    <definedName name="PBACMeetingDate" comment="Values - list of valid PBAC Meetings">References!$J$6:$J$33</definedName>
    <definedName name="PBSScriptsChanged" comment="Values - existing PBS script volumes">'4a. Scripts - affected'!$D$16:$J$36</definedName>
    <definedName name="PBSScriptsNew" comment="Values - new PBS script volumes">'3a. Scripts - proposed'!$E$16:$K$36</definedName>
    <definedName name="PBSScriptsOld" comment="Values - existing PBS script volumes">'2d. Scripts - market'!$C$16:$I$35</definedName>
    <definedName name="PPops01" comment="Values - Available prevalent patient populations - population 01" localSheetId="4">OFFSET(References!$AB$7,0,'2b. Patients - prevalent'!$K$73,INDEX(PxPopValid,,'2b. Patients - prevalent'!$K$73+1))</definedName>
    <definedName name="PPops02" comment="Values - Available prevalent patient populations - population 02" localSheetId="4">OFFSET(References!$AB$7,0,'2b. Patients - prevalent'!$K$109,INDEX(PxPopValid,,'2b. Patients - prevalent'!$K$109+1))</definedName>
    <definedName name="PPops03" comment="Values - Available prevalent patient populations - population 03" localSheetId="4">OFFSET(References!$AB$7,0,'2b. Patients - prevalent'!$K$145,INDEX(PxPopValid,,'2b. Patients - prevalent'!$K$145+1))</definedName>
    <definedName name="PPops04" comment="Values - Available prevalent patient populations - population 04" localSheetId="4">OFFSET(References!$AB$7,0,'2b. Patients - prevalent'!$K$181,INDEX(PxPopValid,,'2b. Patients - prevalent'!$K$181+1))</definedName>
    <definedName name="PPops05" comment="Values - Available prevalent patient populations - population 05" localSheetId="4">OFFSET(References!$AB$7,0,'2b. Patients - prevalent'!$K$217,INDEX(PxPopValid,,'2b. Patients - prevalent'!$K$217+1))</definedName>
    <definedName name="PPops06" comment="Values - Available prevalent patient populations - population 06" localSheetId="4">OFFSET(References!$AB$7,0,'2b. Patients - prevalent'!$K$253,INDEX(PxPopValid,,'2b. Patients - prevalent'!$K$253+1))</definedName>
    <definedName name="PPops07" comment="Values - Available prevalent patient populations - population 07" localSheetId="4">OFFSET(References!$AB$7,0,'2b. Patients - prevalent'!$K$289,INDEX(PxPopValid,,'2b. Patients - prevalent'!$K$289+1))</definedName>
    <definedName name="PPops08" comment="Values - Available prevalent patient populations - population 08" localSheetId="4">OFFSET(References!$AB$7,0,'2b. Patients - prevalent'!$K$325,INDEX(PxPopValid,,'2b. Patients - prevalent'!$K$325+1))</definedName>
    <definedName name="PPops09" comment="Values - Available prevalent patient populations - population 09" localSheetId="4">OFFSET(References!$AB$7,0,'2b. Patients - prevalent'!$K$361,INDEX(PxPopValid,,'2b. Patients - prevalent'!$K$361+1))</definedName>
    <definedName name="PPops10" comment="Values - Available prevalent patient populations - population 10" localSheetId="4">OFFSET(References!$AB$7,0,'2b. Patients - prevalent'!$K$397,INDEX(PxPopValid,,'2b. Patients - prevalent'!$K$397+1))</definedName>
    <definedName name="_xlnm.Print_Area" localSheetId="1">'1. Overview'!$C$4:$N$407</definedName>
    <definedName name="Programme" comment="Values - PBS program codes">References!$W$6:$W$22</definedName>
    <definedName name="ProgrammeCode" comment="Values - PBS program codes and descriptions">References!$W$6:$Y$22</definedName>
    <definedName name="PxGrandfathered" comment="Flag - grandfathered patients are included">'0. Title'!$D$44</definedName>
    <definedName name="PxIncident" comment="Flag - incident patients are included">'0. Title'!$D$42</definedName>
    <definedName name="PxPopCount" comment="Value - Number of patient populations available for selection">References!$AF$18</definedName>
    <definedName name="PxPopNames" comment="Values - patient population names">References!$AB$6:$AE$16</definedName>
    <definedName name="PxPopNumbers" comment="Values - patient populations in a matrix by category and year">References!$AL$7:$AQ$41</definedName>
    <definedName name="PxPopSource" comment="Values - population source">References!$B$78:$B$81</definedName>
    <definedName name="PxPopSourceCode" comment="Values - population source with codes">References!$B$78:$C$81</definedName>
    <definedName name="PxPopValid" comment="Values - number of valid patient populations for each source">References!$AB$17:$AE$17</definedName>
    <definedName name="PxPrevalent" comment="Flag - prevalent patients are included">'0. Title'!$D$43</definedName>
    <definedName name="PxTxCount" comment="Value - Number of treatment populations available for selection">References!$AF$34</definedName>
    <definedName name="PxTxNames" comment="Values - treatment population names">References!$AB$23:$AE$32</definedName>
    <definedName name="PxTxPhase1" comment="Values - phase 1 treatment populations in a matrix by category and year">References!$AL$45:$AS$78</definedName>
    <definedName name="PxTxPhase2" comment="Values - phase 2 treatment populations in a matrix by category and year">References!$AL$83:$AQ$116</definedName>
    <definedName name="PxTxSource" comment="Values - source of treated patient populations">References!$E$78:$E$81</definedName>
    <definedName name="PxTxSourceCode" comment="Values - source of treated patient populations with code">References!$E$78:$F$81</definedName>
    <definedName name="PxTxValid" comment="Values - number of valid treatment populations for each source">References!$AB$33:$AE$33</definedName>
    <definedName name="Reporting" comment="Values - DHS reporting options">References!$J$78:$J$80</definedName>
    <definedName name="RestrictionCount" comment="Value - number of forms / strengths / treatment phases of the new medicine">'3a. Scripts - proposed'!$D$131</definedName>
    <definedName name="RPBSScriptsChanged" comment="Values - existing RPBS scripts volumes">'4a. Scripts - affected'!$K$16:$Q$36</definedName>
    <definedName name="RPBSScriptsNew" comment="Values - new RPBS script volumes">'3a. Scripts - proposed'!$L$16:$R$36</definedName>
    <definedName name="RPBSScriptsOld" comment="Values - existing RPBS scripts volumes">'2d. Scripts - market'!$K$16:$P$35</definedName>
    <definedName name="RSAFlag" comment="Flag - RSA required for this listing">'1. Overview'!$O$396</definedName>
    <definedName name="RSAJoinFlag" comment="Flag - listing will join existing RSA">'1. Overview'!$O$397</definedName>
    <definedName name="SAChanged" comment="Values - SA authority data for changed medicines">'6. Net changes - SA'!$F$230:$M$249</definedName>
    <definedName name="SANew" comment="Values - SA authority data for new medicines">'6. Net changes - SA'!$F$41:$M$60</definedName>
    <definedName name="ScheduleType" comment="Values - PBS schedules on which the listing will appear">References!$E$30:$E$31</definedName>
    <definedName name="ScheduleTypeCode" comment="Values - PBS schedules on which the listing will appear with codes">References!$E$30:$F$31</definedName>
    <definedName name="ScriptsMSAdditional" comment="Values - total additional scripts">'4a. Scripts - affected'!$R$158:$R$177</definedName>
    <definedName name="ScriptsOldSplit" comment="Values - proportion of current market by item code">'2d. Scripts - market'!$Y$50:$Y$69</definedName>
    <definedName name="ScriptsOldTotal" comment="Values - proportion of of current market by initial / continuing / initial and continuing" localSheetId="6">'2d. Scripts - market'!$Y$73:$AA$77</definedName>
    <definedName name="ScriptSource" comment="Value - Source of script volumes - epi / market share / mixed model">'0. Title'!$C$39</definedName>
    <definedName name="ScriptSourceCode" comment="Value - Source of script volumes as a code">'0. Title'!$D$39</definedName>
    <definedName name="ServiceSplitPBS" comment="Values - proportion of current market scripts that are PBS">'2d. Scripts - market'!$S$73:$S$77</definedName>
    <definedName name="ServiceSplitPrivate" comment="Values - proportion of current market scripts that are private hospital">'2d. Scripts - market'!$J$90:$J$94</definedName>
    <definedName name="ServiceSplitPublic" comment="Values - proportion of current market scripts that are public hospital">'2d. Scripts - market'!$I$90:$I$94</definedName>
    <definedName name="ServiceSplitRPBS" comment="Values - proportion of current market scripts that are RPBS">'2d. Scripts - market'!$T$73:$T$77</definedName>
    <definedName name="SPAChangeFlag" comment="Flag - SPA exists for changed medicines">'0. Title'!$D$50</definedName>
    <definedName name="SPANewFlag" comment="Flag - SPA required for this listing">'1. Overview'!$O$395</definedName>
    <definedName name="SubmissionType" comment="Values - PBAC submission type">References!$J$66:$J$68</definedName>
    <definedName name="Switch" comment="Values - yes/no switch">References!$H$30:$H$31</definedName>
    <definedName name="TimeUnit" comment="Values - units of time for treatment">References!$E$66:$E$68</definedName>
    <definedName name="TimeUnitCode" comment="Values - units of time for treatment with code">References!$E$66:$F$68</definedName>
    <definedName name="TPAll" comment="Flag - patients are included in all treatment phases (there are no distinction between initial and continuing restrictions)">'1. Overview'!$F$359</definedName>
    <definedName name="TPCont" comment="Flag - patients are only included in the continuing treatment phase">'1. Overview'!$F$358</definedName>
    <definedName name="TPInit" comment="Flag - patients are only included in the initial treatment phase">'1. Overview'!$F$357</definedName>
    <definedName name="TPLong" comment="Values - treatment phase (for restriction)">References!$E$42:$E$46</definedName>
    <definedName name="TPLongCode" comment="Values - treatment phase (for restriction) with code">References!$E$42:$F$46</definedName>
    <definedName name="TPShort" comment="Values - treatment phases">References!$S$6:$S$8</definedName>
    <definedName name="TPShortCode" comment="Values - treatment phase and codes">References!$S$6:$U$9</definedName>
    <definedName name="TPShortReverse" comment="Values - reverse treatment phase and codes">References!$R$6:$T$8</definedName>
    <definedName name="TxPhase1" comment="Value - name of first phase of treatment">References!$B$103</definedName>
    <definedName name="TxPhase1Code" comment="Value - phase 1 code">References!$B$110</definedName>
    <definedName name="TxPhase1Px" comment="Value - phase 1 patient count label">References!$B$105</definedName>
    <definedName name="TxPhase1PxTotal" comment="Value - total phase 1 patient label">References!$B$106</definedName>
    <definedName name="TxPhase1Rx" comment="Value - phase 1 script count label">References!$B$108</definedName>
    <definedName name="TxPhase1RxTotal" comment="Value - total phase 1 script label">References!$B$109</definedName>
    <definedName name="TxPhase1Tx" comment="Value - phase 1 treatment label">References!$B$107</definedName>
    <definedName name="TxPhase2" comment="Value - name of second phase of treatment">References!$C$103</definedName>
    <definedName name="TxPhase2Code" comment="Value - phase 2 code">References!$C$110</definedName>
    <definedName name="TxPhase2Px" comment="Value - phase 2 patient count label">References!$C$105</definedName>
    <definedName name="TxPhase2PxTotal" comment="Value - total phase 2 patient label">References!$C$106</definedName>
    <definedName name="TxPhase2Rx" comment="Value - phase 2 script count label">References!$C$108</definedName>
    <definedName name="TxPhase2RxTotal" comment="Value - total phase 2 script label">References!$C$109</definedName>
    <definedName name="TXPhase2Tx" comment="Value - phase 2 treatment label">References!$C$107</definedName>
    <definedName name="TxPhaseLinkNew" comment="Values - new drug name linked to replaced drug name with treatment phase">'3a. Scripts - proposed'!$W$139:$X$158</definedName>
    <definedName name="TxPhaseNew" comment="Values - item code / drug name / form / treatment phase concatenated for new drug">'3a. Scripts - proposed'!$W$111:$X$130</definedName>
    <definedName name="TxPopNew01" comment="Values - Available treatment populations - new population 01">OFFSET(References!$AB$23,0,'3a. Scripts - proposed'!$Y$111,INDEX(PxTxValid,,'3a. Scripts - proposed'!$Y$111+1))</definedName>
    <definedName name="TxPopNew02" comment="Values - Available treatment populations - new population 02">OFFSET(References!$AB$23,0,'3a. Scripts - proposed'!$Y$112,INDEX(PxTxValid,,'3a. Scripts - proposed'!$Y$112+1))</definedName>
    <definedName name="TxPopNew03" comment="Values - Available treatment populations - new population 03">OFFSET(References!$AB$23,0,'3a. Scripts - proposed'!$Y$113,INDEX(PxTxValid,,'3a. Scripts - proposed'!$Y$113+1))</definedName>
    <definedName name="TxPopNew04" comment="Values - Available treatment populations - new population 04">OFFSET(References!$AB$23,0,'3a. Scripts - proposed'!$Y$114,INDEX(PxTxValid,,'3a. Scripts - proposed'!$Y$114+1))</definedName>
    <definedName name="TxPopNew05" comment="Values - Available treatment populations - new population 05">OFFSET(References!$AB$23,0,'3a. Scripts - proposed'!$Y$115,INDEX(PxTxValid,,'3a. Scripts - proposed'!$Y$115+1))</definedName>
    <definedName name="TxPopNew06" comment="Values - Available treatment populations - new population 06">OFFSET(References!$AB$23,0,'3a. Scripts - proposed'!$Y$116,INDEX(PxTxValid,,'3a. Scripts - proposed'!$Y$116+1))</definedName>
    <definedName name="TxPopNew07" comment="Values - Available treatment populations - new population 07">OFFSET(References!$AB$23,0,'3a. Scripts - proposed'!$Y$117,INDEX(PxTxValid,,'3a. Scripts - proposed'!$Y$117+1))</definedName>
    <definedName name="TxPopNew08" comment="Values - Available treatment populations - new population 08">OFFSET(References!$AB$23,0,'3a. Scripts - proposed'!$Y$118,INDEX(PxTxValid,,'3a. Scripts - proposed'!$Y$118+1))</definedName>
    <definedName name="TxPopNew09" comment="Values - Available treatment populations - new population 09">OFFSET(References!$AB$23,0,'3a. Scripts - proposed'!$Y$119,INDEX(PxTxValid,,'3a. Scripts - proposed'!$Y$119+1))</definedName>
    <definedName name="TxPopNew10" comment="Values - Available treatment populations - new population 10">OFFSET(References!$AB$23,0,'3a. Scripts - proposed'!$Y$120,INDEX(PxTxValid,,'3a. Scripts - proposed'!$Y$120+1))</definedName>
    <definedName name="TxPopNew11" comment="Values - Available treatment populations - new population 11">OFFSET(References!$AB$23,0,'3a. Scripts - proposed'!$Y$121,INDEX(PxTxValid,,'3a. Scripts - proposed'!$Y$121+1))</definedName>
    <definedName name="TxPopNew12" comment="Values - Available treatment populations - new population 12">OFFSET(References!$AB$23,0,'3a. Scripts - proposed'!$Y$122,INDEX(PxTxValid,,'3a. Scripts - proposed'!$Y$122+1))</definedName>
    <definedName name="TxPopNew13" comment="Values - Available treatment populations - new population 13">OFFSET(References!$AB$23,0,'3a. Scripts - proposed'!$Y$123,INDEX(PxTxValid,,'3a. Scripts - proposed'!$Y$123+1))</definedName>
    <definedName name="TxPopNew14" comment="Values - Available treatment populations - new population 14">OFFSET(References!$AB$23,0,'3a. Scripts - proposed'!$Y$124,INDEX(PxTxValid,,'3a. Scripts - proposed'!$Y$124+1))</definedName>
    <definedName name="TxPopNew15" comment="Values - Available treatment populations - new population 15">OFFSET(References!$AB$23,0,'3a. Scripts - proposed'!$Y$125,INDEX(PxTxValid,,'3a. Scripts - proposed'!$Y$125+1))</definedName>
    <definedName name="TxPopNew16" comment="Values - Available treatment populations - new population 16">OFFSET(References!$AB$23,0,'3a. Scripts - proposed'!$Y$126,INDEX(PxTxValid,,'3a. Scripts - proposed'!$Y$126+1))</definedName>
    <definedName name="TxPopNew17" comment="Values - Available treatment populations - new population 17">OFFSET(References!$AB$23,0,'3a. Scripts - proposed'!$Y$127,INDEX(PxTxValid,,'3a. Scripts - proposed'!$Y$127+1))</definedName>
    <definedName name="TxPopNew18" comment="Values - Available treatment populations - new population 18">OFFSET(References!$AB$23,0,'3a. Scripts - proposed'!$Y$128,INDEX(PxTxValid,,'3a. Scripts - proposed'!$Y$128+1))</definedName>
    <definedName name="TxPopNew19" comment="Values - Available treatment populations - new population 19">OFFSET(References!$AB$23,0,'3a. Scripts - proposed'!$Y$129,INDEX(PxTxValid,,'3a. Scripts - proposed'!$Y$129+1))</definedName>
    <definedName name="TxPopNew20" comment="Values - Available treatment populations - new population 20">OFFSET(References!$AB$23,0,'3a. Scripts - proposed'!$Y$130,INDEX(PxTxValid,,'3a. Scripts - proposed'!$Y$130+1))</definedName>
    <definedName name="TxPopOld01" comment="Values - Available treatment populations - existing population 01">OFFSET(References!$AB$23,0,'4a. Scripts - affected'!$AE$105,INDEX(PxTxValid,,'4a. Scripts - affected'!$AE$105+1))</definedName>
    <definedName name="TxPopOld02" comment="Values - Available treatment populations - existing population 02">OFFSET(References!$AB$23,0,'4a. Scripts - affected'!$AE$106,INDEX(PxTxValid,,'4a. Scripts - affected'!$AE$106+1))</definedName>
    <definedName name="TxPopOld03" comment="Values - Available treatment populations - existing population 03">OFFSET(References!$AB$23,0,'4a. Scripts - affected'!$AE$107,INDEX(PxTxValid,,'4a. Scripts - affected'!$AE$107+1))</definedName>
    <definedName name="TxPopOld04" comment="Values - Available treatment populations - existing population 04">OFFSET(References!$AB$23,0,'4a. Scripts - affected'!$AE$108,INDEX(PxTxValid,,'4a. Scripts - affected'!$AE$108+1))</definedName>
    <definedName name="TxPopOld05" comment="Values - Available treatment populations - existing population 05">OFFSET(References!$AB$23,0,'4a. Scripts - affected'!$AE$109,INDEX(PxTxValid,,'4a. Scripts - affected'!$AE$109+1))</definedName>
    <definedName name="TxPopOld06" comment="Values - Available treatment populations - existing population 06">OFFSET(References!$AB$23,0,'4a. Scripts - affected'!$AE$110,INDEX(PxTxValid,,'4a. Scripts - affected'!$AE$110+1))</definedName>
    <definedName name="TxPopOld07" comment="Values - Available treatment populations - existing population 07">OFFSET(References!$AB$23,0,'4a. Scripts - affected'!$AE$111,INDEX(PxTxValid,,'4a. Scripts - affected'!$AE$111+1))</definedName>
    <definedName name="TxPopOld08" comment="Values - Available treatment populations - existing population 08">OFFSET(References!$AB$23,0,'4a. Scripts - affected'!$AE$112,INDEX(PxTxValid,,'4a. Scripts - affected'!$AE$112+1))</definedName>
    <definedName name="TxPopOld09" comment="Values - Available treatment populations - existing population 09">OFFSET(References!$AB$23,0,'4a. Scripts - affected'!$AE$113,INDEX(PxTxValid,,'4a. Scripts - affected'!$AE$113+1))</definedName>
    <definedName name="TxPopOld10" comment="Values - Available treatment populations - existing population 10">OFFSET(References!$AB$23,0,'4a. Scripts - affected'!$AE$114,INDEX(PxTxValid,,'4a. Scripts - affected'!$AE$114+1))</definedName>
    <definedName name="TxPopOld11" comment="Values - Available treatment populations - existing population 11">OFFSET(References!$AB$23,0,'4a. Scripts - affected'!$AE$115,INDEX(PxTxValid,,'4a. Scripts - affected'!$AE$115+1))</definedName>
    <definedName name="TxPopOld12" comment="Values - Available treatment populations - existing population 12">OFFSET(References!$AB$23,0,'4a. Scripts - affected'!$AE$116,INDEX(PxTxValid,,'4a. Scripts - affected'!$AE$116+1))</definedName>
    <definedName name="TxPopOld13" comment="Values - Available treatment populations - existing population 13">OFFSET(References!$AB$23,0,'4a. Scripts - affected'!$AE$117,INDEX(PxTxValid,,'4a. Scripts - affected'!$AE$117+1))</definedName>
    <definedName name="TxPopOld14" comment="Values - Available treatment populations - existing population 14">OFFSET(References!$AB$23,0,'4a. Scripts - affected'!$AE$118,INDEX(PxTxValid,,'4a. Scripts - affected'!$AE$118+1))</definedName>
    <definedName name="TxPopOld15" comment="Values - Available treatment populations - existing population 15">OFFSET(References!$AB$23,0,'4a. Scripts - affected'!$AE$119,INDEX(PxTxValid,,'4a. Scripts - affected'!$AE$119+1))</definedName>
    <definedName name="TxPopOld16" comment="Values - Available treatment populations - existing population 16">OFFSET(References!$AB$23,0,'4a. Scripts - affected'!$AE$120,INDEX(PxTxValid,,'4a. Scripts - affected'!$AE$120+1))</definedName>
    <definedName name="TxPopOld17" comment="Values - Available treatment populations - existing population 17">OFFSET(References!$AB$23,0,'4a. Scripts - affected'!$AE$121,INDEX(PxTxValid,,'4a. Scripts - affected'!$AE$121+1))</definedName>
    <definedName name="TxPopOld18" comment="Values - Available treatment populations - existing population 18">OFFSET(References!$AB$23,0,'4a. Scripts - affected'!$AE$122,INDEX(PxTxValid,,'4a. Scripts - affected'!$AE$122+1))</definedName>
    <definedName name="TxPopOld19" comment="Values - Available treatment populations - existing population 19">OFFSET(References!$AB$23,0,'4a. Scripts - affected'!$AE$123,INDEX(PxTxValid,,'4a. Scripts - affected'!$AE$123+1))</definedName>
    <definedName name="TxPopOld20" comment="Values - Available treatment populations - existing population 20">OFFSET(References!$AB$23,0,'4a. Scripts - affected'!$AE$124,INDEX(PxTxValid,,'4a. Scripts - affected'!$AE$124+1))</definedName>
    <definedName name="WarningMessages" comment="Values - warning message text">References!$AH$22:$AI$41</definedName>
  </definedNames>
  <calcPr calcId="145621"/>
</workbook>
</file>

<file path=xl/calcChain.xml><?xml version="1.0" encoding="utf-8"?>
<calcChain xmlns="http://schemas.openxmlformats.org/spreadsheetml/2006/main">
  <c r="J79" i="3" l="1"/>
  <c r="J78" i="3"/>
  <c r="N351" i="41" l="1"/>
  <c r="N336" i="41"/>
  <c r="N321" i="41"/>
  <c r="N306" i="41"/>
  <c r="N291" i="41"/>
  <c r="N276" i="41"/>
  <c r="N261" i="41"/>
  <c r="N246" i="41"/>
  <c r="N231" i="41"/>
  <c r="N216" i="41"/>
  <c r="N201" i="41"/>
  <c r="N186" i="41"/>
  <c r="N171" i="41"/>
  <c r="N156" i="41"/>
  <c r="N141" i="41"/>
  <c r="N126" i="41"/>
  <c r="N111" i="41"/>
  <c r="N96" i="41"/>
  <c r="N81" i="41"/>
  <c r="N66" i="41"/>
  <c r="B110" i="58" l="1"/>
  <c r="D110" i="58" s="1"/>
  <c r="B86" i="58"/>
  <c r="D86" i="58" s="1"/>
  <c r="B62" i="58"/>
  <c r="D62" i="58" s="1"/>
  <c r="B38" i="58"/>
  <c r="D38" i="58" s="1"/>
  <c r="B14" i="58"/>
  <c r="M24" i="50" l="1"/>
  <c r="P254" i="50" l="1"/>
  <c r="P255" i="50"/>
  <c r="P256" i="50"/>
  <c r="P257" i="50"/>
  <c r="P258" i="50"/>
  <c r="P259" i="50"/>
  <c r="P260" i="50"/>
  <c r="P261" i="50"/>
  <c r="P262" i="50"/>
  <c r="P253" i="50"/>
  <c r="P252" i="50"/>
  <c r="P39" i="50"/>
  <c r="P40" i="50"/>
  <c r="P41" i="50"/>
  <c r="P42" i="50"/>
  <c r="P43" i="50"/>
  <c r="P44" i="50"/>
  <c r="P45" i="50"/>
  <c r="P46" i="50"/>
  <c r="P47" i="50"/>
  <c r="P38" i="50"/>
  <c r="P37" i="50"/>
  <c r="K59" i="3" l="1"/>
  <c r="L59" i="3"/>
  <c r="M59" i="3"/>
  <c r="N59" i="3"/>
  <c r="O59" i="3"/>
  <c r="P59" i="3"/>
  <c r="G374" i="56" l="1"/>
  <c r="G338" i="56"/>
  <c r="G302" i="56"/>
  <c r="G266" i="56"/>
  <c r="G230" i="56"/>
  <c r="G194" i="56"/>
  <c r="G158" i="56"/>
  <c r="G122" i="56"/>
  <c r="G86" i="56"/>
  <c r="G50" i="56"/>
  <c r="G274" i="45"/>
  <c r="G275" i="45"/>
  <c r="G276" i="45"/>
  <c r="G277" i="45"/>
  <c r="G278" i="45"/>
  <c r="G279" i="45"/>
  <c r="G280" i="45"/>
  <c r="G281" i="45"/>
  <c r="G282" i="45"/>
  <c r="G283" i="45"/>
  <c r="G284" i="45"/>
  <c r="G285" i="45"/>
  <c r="G286" i="45"/>
  <c r="G287" i="45"/>
  <c r="G288" i="45"/>
  <c r="G289" i="45"/>
  <c r="K28" i="53" l="1"/>
  <c r="K17" i="53"/>
  <c r="K28" i="3"/>
  <c r="K17" i="3"/>
  <c r="K28" i="56"/>
  <c r="K17" i="56"/>
  <c r="F7" i="56" l="1"/>
  <c r="F7" i="53"/>
  <c r="F7" i="3"/>
  <c r="J38" i="50"/>
  <c r="C140" i="37" l="1"/>
  <c r="J140" i="37" s="1"/>
  <c r="C141" i="37"/>
  <c r="J141" i="37" s="1"/>
  <c r="C142" i="37"/>
  <c r="J142" i="37" s="1"/>
  <c r="C143" i="37"/>
  <c r="J143" i="37" s="1"/>
  <c r="C144" i="37"/>
  <c r="J144" i="37" s="1"/>
  <c r="C145" i="37"/>
  <c r="J145" i="37" s="1"/>
  <c r="C146" i="37"/>
  <c r="J146" i="37" s="1"/>
  <c r="C147" i="37"/>
  <c r="J147" i="37" s="1"/>
  <c r="C148" i="37"/>
  <c r="J148" i="37" s="1"/>
  <c r="C149" i="37"/>
  <c r="J149" i="37" s="1"/>
  <c r="C150" i="37"/>
  <c r="J150" i="37" s="1"/>
  <c r="C151" i="37"/>
  <c r="J151" i="37" s="1"/>
  <c r="C152" i="37"/>
  <c r="J152" i="37" s="1"/>
  <c r="C153" i="37"/>
  <c r="J153" i="37" s="1"/>
  <c r="C154" i="37"/>
  <c r="J154" i="37" s="1"/>
  <c r="C155" i="37"/>
  <c r="J155" i="37" s="1"/>
  <c r="C156" i="37"/>
  <c r="J156" i="37" s="1"/>
  <c r="C157" i="37"/>
  <c r="J157" i="37" s="1"/>
  <c r="C158" i="37"/>
  <c r="J158" i="37" s="1"/>
  <c r="C139" i="37"/>
  <c r="J139" i="37" s="1"/>
  <c r="H47" i="50" l="1"/>
  <c r="H46" i="50"/>
  <c r="H45" i="50"/>
  <c r="H44" i="50"/>
  <c r="H43" i="50"/>
  <c r="H42" i="50"/>
  <c r="H41" i="50"/>
  <c r="H40" i="50"/>
  <c r="H39" i="50"/>
  <c r="G47" i="50"/>
  <c r="G46" i="50"/>
  <c r="G45" i="50"/>
  <c r="G44" i="50"/>
  <c r="G43" i="50"/>
  <c r="G42" i="50"/>
  <c r="G41" i="50"/>
  <c r="G40" i="50"/>
  <c r="G39" i="50"/>
  <c r="H262" i="50"/>
  <c r="H261" i="50"/>
  <c r="H260" i="50"/>
  <c r="H259" i="50"/>
  <c r="H258" i="50"/>
  <c r="H257" i="50"/>
  <c r="H256" i="50"/>
  <c r="H255" i="50"/>
  <c r="H254" i="50"/>
  <c r="H253" i="50"/>
  <c r="G262" i="50"/>
  <c r="G261" i="50"/>
  <c r="G260" i="50"/>
  <c r="G259" i="50"/>
  <c r="G258" i="50"/>
  <c r="G257" i="50"/>
  <c r="G256" i="50"/>
  <c r="G255" i="50"/>
  <c r="G254" i="50"/>
  <c r="G253" i="50"/>
  <c r="K57" i="53" l="1"/>
  <c r="K73" i="3"/>
  <c r="AS70" i="14" l="1"/>
  <c r="AS71" i="14"/>
  <c r="AS72" i="14"/>
  <c r="AS73" i="14"/>
  <c r="AS74" i="14"/>
  <c r="J178" i="53"/>
  <c r="J177" i="53"/>
  <c r="AR69" i="14" s="1"/>
  <c r="J151" i="53"/>
  <c r="J150" i="53"/>
  <c r="AR68" i="14" s="1"/>
  <c r="J124" i="53"/>
  <c r="J123" i="53"/>
  <c r="AR67" i="14" s="1"/>
  <c r="J97" i="53"/>
  <c r="J96" i="53"/>
  <c r="AR66" i="14" s="1"/>
  <c r="J70" i="53"/>
  <c r="J69" i="53"/>
  <c r="AR65" i="14" s="1"/>
  <c r="J403" i="3"/>
  <c r="J402" i="3"/>
  <c r="AR64" i="14" s="1"/>
  <c r="J367" i="3"/>
  <c r="J366" i="3"/>
  <c r="AR63" i="14" s="1"/>
  <c r="J331" i="3"/>
  <c r="J330" i="3"/>
  <c r="AR62" i="14" s="1"/>
  <c r="J295" i="3"/>
  <c r="J294" i="3"/>
  <c r="AR61" i="14" s="1"/>
  <c r="J259" i="3"/>
  <c r="J258" i="3"/>
  <c r="AR60" i="14" s="1"/>
  <c r="J223" i="3"/>
  <c r="J222" i="3"/>
  <c r="AR59" i="14" s="1"/>
  <c r="J187" i="3"/>
  <c r="J186" i="3"/>
  <c r="AR58" i="14" s="1"/>
  <c r="J151" i="3"/>
  <c r="J150" i="3"/>
  <c r="AR57" i="14" s="1"/>
  <c r="J115" i="3"/>
  <c r="J114" i="3"/>
  <c r="AR56" i="14" s="1"/>
  <c r="AR55" i="14"/>
  <c r="J403" i="56"/>
  <c r="J402" i="56"/>
  <c r="AR54" i="14" s="1"/>
  <c r="J367" i="56"/>
  <c r="J366" i="56"/>
  <c r="J331" i="56"/>
  <c r="J330" i="56"/>
  <c r="J295" i="56"/>
  <c r="J294" i="56"/>
  <c r="AR51" i="14" s="1"/>
  <c r="J259" i="56"/>
  <c r="J258" i="56"/>
  <c r="J223" i="56"/>
  <c r="J222" i="56"/>
  <c r="J187" i="56"/>
  <c r="J186" i="56"/>
  <c r="AR48" i="14" s="1"/>
  <c r="AS48" i="14" s="1"/>
  <c r="J151" i="56"/>
  <c r="J150" i="56"/>
  <c r="AR47" i="14" s="1"/>
  <c r="AS47" i="14" s="1"/>
  <c r="J115" i="56"/>
  <c r="J114" i="56"/>
  <c r="AR46" i="14" s="1"/>
  <c r="AS46" i="14" s="1"/>
  <c r="AR49" i="14"/>
  <c r="AS49" i="14" s="1"/>
  <c r="AR50" i="14"/>
  <c r="AR52" i="14"/>
  <c r="AR53" i="14"/>
  <c r="J79" i="56"/>
  <c r="J78" i="56"/>
  <c r="AR45" i="14" s="1"/>
  <c r="C120" i="56"/>
  <c r="I120" i="56"/>
  <c r="I155" i="15" l="1"/>
  <c r="K159" i="15"/>
  <c r="L159" i="15"/>
  <c r="M159" i="15"/>
  <c r="N159" i="15"/>
  <c r="O159" i="15"/>
  <c r="K160" i="15"/>
  <c r="L160" i="15"/>
  <c r="M160" i="15"/>
  <c r="N160" i="15"/>
  <c r="O160" i="15"/>
  <c r="K161" i="15"/>
  <c r="L161" i="15"/>
  <c r="M161" i="15"/>
  <c r="N161" i="15"/>
  <c r="O161" i="15"/>
  <c r="K162" i="15"/>
  <c r="L162" i="15"/>
  <c r="M162" i="15"/>
  <c r="N162" i="15"/>
  <c r="O162" i="15"/>
  <c r="K163" i="15"/>
  <c r="L163" i="15"/>
  <c r="M163" i="15"/>
  <c r="N163" i="15"/>
  <c r="O163" i="15"/>
  <c r="K164" i="15"/>
  <c r="L164" i="15"/>
  <c r="M164" i="15"/>
  <c r="N164" i="15"/>
  <c r="O164" i="15"/>
  <c r="K165" i="15"/>
  <c r="L165" i="15"/>
  <c r="M165" i="15"/>
  <c r="N165" i="15"/>
  <c r="O165" i="15"/>
  <c r="K166" i="15"/>
  <c r="L166" i="15"/>
  <c r="M166" i="15"/>
  <c r="N166" i="15"/>
  <c r="O166" i="15"/>
  <c r="K167" i="15"/>
  <c r="L167" i="15"/>
  <c r="M167" i="15"/>
  <c r="N167" i="15"/>
  <c r="O167" i="15"/>
  <c r="K168" i="15"/>
  <c r="L168" i="15"/>
  <c r="M168" i="15"/>
  <c r="N168" i="15"/>
  <c r="O168" i="15"/>
  <c r="K169" i="15"/>
  <c r="L169" i="15"/>
  <c r="M169" i="15"/>
  <c r="N169" i="15"/>
  <c r="O169" i="15"/>
  <c r="K170" i="15"/>
  <c r="L170" i="15"/>
  <c r="M170" i="15"/>
  <c r="N170" i="15"/>
  <c r="O170" i="15"/>
  <c r="K171" i="15"/>
  <c r="L171" i="15"/>
  <c r="M171" i="15"/>
  <c r="N171" i="15"/>
  <c r="O171" i="15"/>
  <c r="K172" i="15"/>
  <c r="L172" i="15"/>
  <c r="M172" i="15"/>
  <c r="N172" i="15"/>
  <c r="O172" i="15"/>
  <c r="K173" i="15"/>
  <c r="L173" i="15"/>
  <c r="M173" i="15"/>
  <c r="N173" i="15"/>
  <c r="O173" i="15"/>
  <c r="K174" i="15"/>
  <c r="L174" i="15"/>
  <c r="M174" i="15"/>
  <c r="N174" i="15"/>
  <c r="O174" i="15"/>
  <c r="K175" i="15"/>
  <c r="L175" i="15"/>
  <c r="M175" i="15"/>
  <c r="N175" i="15"/>
  <c r="O175" i="15"/>
  <c r="K176" i="15"/>
  <c r="L176" i="15"/>
  <c r="M176" i="15"/>
  <c r="N176" i="15"/>
  <c r="O176" i="15"/>
  <c r="K177" i="15"/>
  <c r="L177" i="15"/>
  <c r="M177" i="15"/>
  <c r="N177" i="15"/>
  <c r="O177" i="15"/>
  <c r="I159" i="15"/>
  <c r="J159" i="15"/>
  <c r="I160" i="15"/>
  <c r="J160" i="15"/>
  <c r="I161" i="15"/>
  <c r="J161" i="15"/>
  <c r="I162" i="15"/>
  <c r="J162" i="15"/>
  <c r="I163" i="15"/>
  <c r="J163" i="15"/>
  <c r="I164" i="15"/>
  <c r="J164" i="15"/>
  <c r="I165" i="15"/>
  <c r="J165" i="15"/>
  <c r="I166" i="15"/>
  <c r="J166" i="15"/>
  <c r="I167" i="15"/>
  <c r="J167" i="15"/>
  <c r="I168" i="15"/>
  <c r="J168" i="15"/>
  <c r="I169" i="15"/>
  <c r="J169" i="15"/>
  <c r="I170" i="15"/>
  <c r="J170" i="15"/>
  <c r="I171" i="15"/>
  <c r="J171" i="15"/>
  <c r="I172" i="15"/>
  <c r="J172" i="15"/>
  <c r="I173" i="15"/>
  <c r="J173" i="15"/>
  <c r="I174" i="15"/>
  <c r="J174" i="15"/>
  <c r="I175" i="15"/>
  <c r="J175" i="15"/>
  <c r="I176" i="15"/>
  <c r="J176" i="15"/>
  <c r="I177" i="15"/>
  <c r="J177" i="15"/>
  <c r="H177" i="15"/>
  <c r="H176" i="15"/>
  <c r="H175" i="15"/>
  <c r="H174" i="15"/>
  <c r="H173" i="15"/>
  <c r="H172" i="15"/>
  <c r="H171" i="15"/>
  <c r="H170" i="15"/>
  <c r="H169" i="15"/>
  <c r="H168" i="15"/>
  <c r="H167" i="15"/>
  <c r="H166" i="15"/>
  <c r="H165" i="15"/>
  <c r="H164" i="15"/>
  <c r="H163" i="15"/>
  <c r="H162" i="15"/>
  <c r="H161" i="15"/>
  <c r="H160" i="15"/>
  <c r="H159" i="15"/>
  <c r="E177" i="15"/>
  <c r="E176" i="15"/>
  <c r="E175" i="15"/>
  <c r="E174" i="15"/>
  <c r="E173" i="15"/>
  <c r="E172" i="15"/>
  <c r="E171" i="15"/>
  <c r="E170" i="15"/>
  <c r="E169" i="15"/>
  <c r="E168" i="15"/>
  <c r="E167" i="15"/>
  <c r="E166" i="15"/>
  <c r="E165" i="15"/>
  <c r="E164" i="15"/>
  <c r="E163" i="15"/>
  <c r="E162" i="15"/>
  <c r="E161" i="15"/>
  <c r="E160" i="15"/>
  <c r="E159" i="15"/>
  <c r="D174" i="15"/>
  <c r="AB174" i="15" s="1"/>
  <c r="D173" i="15"/>
  <c r="AB173" i="15" s="1"/>
  <c r="D162" i="15"/>
  <c r="D163" i="15"/>
  <c r="I158" i="15"/>
  <c r="J158" i="15"/>
  <c r="K158" i="15"/>
  <c r="L158" i="15"/>
  <c r="M158" i="15"/>
  <c r="N158" i="15"/>
  <c r="O158" i="15"/>
  <c r="H158" i="15"/>
  <c r="E158" i="15"/>
  <c r="D159" i="15"/>
  <c r="D160" i="15"/>
  <c r="D161" i="15"/>
  <c r="D164" i="15"/>
  <c r="AB164" i="15" s="1"/>
  <c r="D165" i="15"/>
  <c r="D166" i="15"/>
  <c r="AB166" i="15" s="1"/>
  <c r="D167" i="15"/>
  <c r="AB167" i="15" s="1"/>
  <c r="D168" i="15"/>
  <c r="AB168" i="15" s="1"/>
  <c r="D169" i="15"/>
  <c r="AB169" i="15" s="1"/>
  <c r="D170" i="15"/>
  <c r="AB170" i="15" s="1"/>
  <c r="D171" i="15"/>
  <c r="AB171" i="15" s="1"/>
  <c r="D172" i="15"/>
  <c r="AB172" i="15" s="1"/>
  <c r="D175" i="15"/>
  <c r="AB175" i="15" s="1"/>
  <c r="D176" i="15"/>
  <c r="AB176" i="15" s="1"/>
  <c r="D177" i="15"/>
  <c r="D158" i="15"/>
  <c r="C125" i="15"/>
  <c r="I100" i="15" s="1"/>
  <c r="B106" i="15"/>
  <c r="B107" i="15"/>
  <c r="B108" i="15"/>
  <c r="B109" i="15"/>
  <c r="B110" i="15"/>
  <c r="B111" i="15"/>
  <c r="B112" i="15"/>
  <c r="B113" i="15"/>
  <c r="B114" i="15"/>
  <c r="B115" i="15"/>
  <c r="B116" i="15"/>
  <c r="B117" i="15"/>
  <c r="B118" i="15"/>
  <c r="B119" i="15"/>
  <c r="B120" i="15"/>
  <c r="B121" i="15"/>
  <c r="B122" i="15"/>
  <c r="B123" i="15"/>
  <c r="B124" i="15"/>
  <c r="B105" i="15"/>
  <c r="C153" i="15"/>
  <c r="H1" i="15" s="1"/>
  <c r="AB165" i="15"/>
  <c r="Q167" i="15" l="1"/>
  <c r="Q165" i="15"/>
  <c r="Q163" i="15"/>
  <c r="Q161" i="15"/>
  <c r="Q159" i="15"/>
  <c r="P171" i="15"/>
  <c r="P170" i="15"/>
  <c r="P169" i="15"/>
  <c r="P168" i="15"/>
  <c r="P167" i="15"/>
  <c r="P166" i="15"/>
  <c r="P165" i="15"/>
  <c r="P164" i="15"/>
  <c r="P163" i="15"/>
  <c r="P162" i="15"/>
  <c r="P161" i="15"/>
  <c r="P160" i="15"/>
  <c r="P159" i="15"/>
  <c r="Q177" i="15"/>
  <c r="Q176" i="15"/>
  <c r="Q175" i="15"/>
  <c r="Q174" i="15"/>
  <c r="Q173" i="15"/>
  <c r="Q172" i="15"/>
  <c r="Q171" i="15"/>
  <c r="Q170" i="15"/>
  <c r="Q169" i="15"/>
  <c r="Q168" i="15"/>
  <c r="Q166" i="15"/>
  <c r="R166" i="15" s="1"/>
  <c r="Q164" i="15"/>
  <c r="Q162" i="15"/>
  <c r="R162" i="15" s="1"/>
  <c r="Q160" i="15"/>
  <c r="P174" i="15"/>
  <c r="P173" i="15"/>
  <c r="P172" i="15"/>
  <c r="P177" i="15"/>
  <c r="P176" i="15"/>
  <c r="P175" i="15"/>
  <c r="Q158" i="15"/>
  <c r="P158" i="15"/>
  <c r="B330" i="38"/>
  <c r="J337" i="38" s="1"/>
  <c r="B318" i="38"/>
  <c r="I325" i="38" s="1"/>
  <c r="B306" i="38"/>
  <c r="J313" i="38" s="1"/>
  <c r="B294" i="38"/>
  <c r="I301" i="38" s="1"/>
  <c r="B282" i="38"/>
  <c r="B270" i="38"/>
  <c r="B258" i="38"/>
  <c r="B246" i="38"/>
  <c r="B234" i="38"/>
  <c r="B222" i="38"/>
  <c r="B210" i="38"/>
  <c r="B198" i="38"/>
  <c r="B186" i="38"/>
  <c r="B174" i="38"/>
  <c r="B162" i="38"/>
  <c r="B150" i="38"/>
  <c r="B138" i="38"/>
  <c r="B126" i="38"/>
  <c r="B114" i="38"/>
  <c r="B102" i="38"/>
  <c r="AC47" i="37"/>
  <c r="U91" i="38"/>
  <c r="U92" i="38"/>
  <c r="U93" i="38"/>
  <c r="U94" i="38"/>
  <c r="Z51" i="38"/>
  <c r="AA51" i="38" s="1"/>
  <c r="Z52" i="38"/>
  <c r="Z53" i="38"/>
  <c r="Z54" i="38"/>
  <c r="Z55" i="38"/>
  <c r="Z56" i="38"/>
  <c r="Z57" i="38"/>
  <c r="Z58" i="38"/>
  <c r="Z59" i="38"/>
  <c r="Z60" i="38"/>
  <c r="Z61" i="38"/>
  <c r="Z62" i="38"/>
  <c r="Z63" i="38"/>
  <c r="Z64" i="38"/>
  <c r="Z65" i="38"/>
  <c r="Z66" i="38"/>
  <c r="Y66" i="38" s="1"/>
  <c r="Z67" i="38"/>
  <c r="Y67" i="38" s="1"/>
  <c r="Z68" i="38"/>
  <c r="Y68" i="38" s="1"/>
  <c r="Z69" i="38"/>
  <c r="Y69" i="38" s="1"/>
  <c r="Z50" i="38"/>
  <c r="W76" i="38"/>
  <c r="R176" i="15" l="1"/>
  <c r="R159" i="15"/>
  <c r="T159" i="15" s="1"/>
  <c r="R163" i="15"/>
  <c r="R167" i="15"/>
  <c r="R161" i="15"/>
  <c r="R165" i="15"/>
  <c r="R172" i="15"/>
  <c r="R174" i="15"/>
  <c r="R169" i="15"/>
  <c r="R171" i="15"/>
  <c r="R173" i="15"/>
  <c r="R160" i="15"/>
  <c r="R164" i="15"/>
  <c r="R168" i="15"/>
  <c r="R170" i="15"/>
  <c r="R175" i="15"/>
  <c r="R177" i="15"/>
  <c r="S159" i="15"/>
  <c r="R158" i="15"/>
  <c r="S158" i="15" s="1"/>
  <c r="E337" i="38"/>
  <c r="G337" i="38"/>
  <c r="I337" i="38"/>
  <c r="D337" i="38"/>
  <c r="F337" i="38"/>
  <c r="H337" i="38"/>
  <c r="D325" i="38"/>
  <c r="F325" i="38"/>
  <c r="H325" i="38"/>
  <c r="J325" i="38"/>
  <c r="E325" i="38"/>
  <c r="G325" i="38"/>
  <c r="E313" i="38"/>
  <c r="G313" i="38"/>
  <c r="I313" i="38"/>
  <c r="D313" i="38"/>
  <c r="F313" i="38"/>
  <c r="H313" i="38"/>
  <c r="G301" i="38"/>
  <c r="D301" i="38"/>
  <c r="F301" i="38"/>
  <c r="H301" i="38"/>
  <c r="J301" i="38"/>
  <c r="E301" i="38"/>
  <c r="AA50" i="38"/>
  <c r="AA68" i="38"/>
  <c r="AA66" i="38"/>
  <c r="AA64" i="38"/>
  <c r="AA62" i="38"/>
  <c r="AA60" i="38"/>
  <c r="AA58" i="38"/>
  <c r="AA56" i="38"/>
  <c r="AA69" i="38"/>
  <c r="AA67" i="38"/>
  <c r="AA65" i="38"/>
  <c r="AA63" i="38"/>
  <c r="AA61" i="38"/>
  <c r="AA59" i="38"/>
  <c r="AA57" i="38"/>
  <c r="AA55" i="38"/>
  <c r="AA54" i="38"/>
  <c r="AA53" i="38"/>
  <c r="AA77" i="38"/>
  <c r="Y77" i="38"/>
  <c r="Z76" i="38"/>
  <c r="AA75" i="38"/>
  <c r="AA52" i="38"/>
  <c r="Z77" i="38"/>
  <c r="AA76" i="38"/>
  <c r="Y76" i="38"/>
  <c r="P76" i="38"/>
  <c r="I76" i="38" s="1"/>
  <c r="Q76" i="38"/>
  <c r="M76" i="38" s="1"/>
  <c r="T158" i="15" l="1"/>
  <c r="J76" i="38"/>
  <c r="L76" i="38"/>
  <c r="K76" i="38"/>
  <c r="N76" i="38"/>
  <c r="R76" i="38"/>
  <c r="T76" i="38" s="1"/>
  <c r="G230" i="7"/>
  <c r="J85" i="38" l="1"/>
  <c r="S76" i="38"/>
  <c r="I85" i="38" s="1"/>
  <c r="U7" i="14"/>
  <c r="F352" i="41" s="1"/>
  <c r="U8" i="14"/>
  <c r="U6" i="14"/>
  <c r="E342" i="41"/>
  <c r="F337" i="41"/>
  <c r="J335" i="41"/>
  <c r="F335" i="41"/>
  <c r="H337" i="41" s="1"/>
  <c r="E335" i="41"/>
  <c r="E327" i="41"/>
  <c r="F322" i="41"/>
  <c r="J320" i="41"/>
  <c r="F320" i="41"/>
  <c r="H322" i="41" s="1"/>
  <c r="E320" i="41"/>
  <c r="E312" i="41"/>
  <c r="F307" i="41"/>
  <c r="J305" i="41"/>
  <c r="F305" i="41"/>
  <c r="H307" i="41" s="1"/>
  <c r="E305" i="41"/>
  <c r="E297" i="41"/>
  <c r="F292" i="41"/>
  <c r="J290" i="41"/>
  <c r="F290" i="41"/>
  <c r="H292" i="41" s="1"/>
  <c r="E290" i="41"/>
  <c r="E282" i="41"/>
  <c r="F277" i="41"/>
  <c r="J275" i="41"/>
  <c r="F275" i="41"/>
  <c r="H277" i="41" s="1"/>
  <c r="E275" i="41"/>
  <c r="E267" i="41"/>
  <c r="F262" i="41"/>
  <c r="J260" i="41"/>
  <c r="F260" i="41"/>
  <c r="H262" i="41" s="1"/>
  <c r="E260" i="41"/>
  <c r="E252" i="41"/>
  <c r="F247" i="41"/>
  <c r="J245" i="41"/>
  <c r="F245" i="41"/>
  <c r="H247" i="41" s="1"/>
  <c r="E245" i="41"/>
  <c r="E237" i="41"/>
  <c r="F232" i="41"/>
  <c r="J230" i="41"/>
  <c r="F230" i="41"/>
  <c r="H232" i="41" s="1"/>
  <c r="E230" i="41"/>
  <c r="E350" i="41"/>
  <c r="F350" i="41"/>
  <c r="H352" i="41" s="1"/>
  <c r="J350" i="41"/>
  <c r="E357" i="41"/>
  <c r="D131" i="37"/>
  <c r="B257" i="34"/>
  <c r="K260" i="34" s="1"/>
  <c r="B245" i="34"/>
  <c r="K248" i="34" s="1"/>
  <c r="B233" i="34"/>
  <c r="K236" i="34" s="1"/>
  <c r="B221" i="34"/>
  <c r="K224" i="34" s="1"/>
  <c r="B209" i="34"/>
  <c r="K212" i="34" s="1"/>
  <c r="B197" i="34"/>
  <c r="K200" i="34" s="1"/>
  <c r="B185" i="34"/>
  <c r="K188" i="34" s="1"/>
  <c r="B173" i="34"/>
  <c r="K176" i="34" s="1"/>
  <c r="B161" i="34"/>
  <c r="K164" i="34" s="1"/>
  <c r="B149" i="34"/>
  <c r="K152" i="34" s="1"/>
  <c r="B137" i="34"/>
  <c r="K140" i="34" s="1"/>
  <c r="B125" i="34"/>
  <c r="K128" i="34" s="1"/>
  <c r="B113" i="34"/>
  <c r="K116" i="34" s="1"/>
  <c r="B101" i="34"/>
  <c r="K104" i="34" s="1"/>
  <c r="B89" i="34"/>
  <c r="K92" i="34" s="1"/>
  <c r="B77" i="34"/>
  <c r="K80" i="34" s="1"/>
  <c r="B65" i="34"/>
  <c r="K68" i="34" s="1"/>
  <c r="B53" i="34"/>
  <c r="K56" i="34" s="1"/>
  <c r="B41" i="34"/>
  <c r="K44" i="34" s="1"/>
  <c r="B29" i="34"/>
  <c r="K32" i="34" s="1"/>
  <c r="B257" i="43"/>
  <c r="K260" i="43" s="1"/>
  <c r="B245" i="43"/>
  <c r="K248" i="43" s="1"/>
  <c r="B233" i="43"/>
  <c r="K236" i="43" s="1"/>
  <c r="B221" i="43"/>
  <c r="K224" i="43" s="1"/>
  <c r="B209" i="43"/>
  <c r="K212" i="43" s="1"/>
  <c r="B197" i="43"/>
  <c r="K200" i="43" s="1"/>
  <c r="B185" i="43"/>
  <c r="K188" i="43" s="1"/>
  <c r="B173" i="43"/>
  <c r="K176" i="43" s="1"/>
  <c r="B161" i="43"/>
  <c r="K164" i="43" s="1"/>
  <c r="B149" i="43"/>
  <c r="K152" i="43" s="1"/>
  <c r="B137" i="43"/>
  <c r="K140" i="43" s="1"/>
  <c r="B125" i="43"/>
  <c r="K128" i="43" s="1"/>
  <c r="B113" i="43"/>
  <c r="K116" i="43" s="1"/>
  <c r="B101" i="43"/>
  <c r="K104" i="43" s="1"/>
  <c r="B89" i="43"/>
  <c r="K92" i="43" s="1"/>
  <c r="B77" i="43"/>
  <c r="K80" i="43" s="1"/>
  <c r="B65" i="43"/>
  <c r="K68" i="43" s="1"/>
  <c r="B53" i="43"/>
  <c r="K56" i="43" s="1"/>
  <c r="B41" i="43"/>
  <c r="K44" i="43" s="1"/>
  <c r="B29" i="43"/>
  <c r="K32" i="43" s="1"/>
  <c r="B257" i="44"/>
  <c r="K260" i="44" s="1"/>
  <c r="B245" i="44"/>
  <c r="K248" i="44" s="1"/>
  <c r="B233" i="44"/>
  <c r="K236" i="44" s="1"/>
  <c r="B221" i="44"/>
  <c r="K224" i="44" s="1"/>
  <c r="B209" i="44"/>
  <c r="K212" i="44" s="1"/>
  <c r="B197" i="44"/>
  <c r="K200" i="44" s="1"/>
  <c r="B185" i="44"/>
  <c r="K188" i="44" s="1"/>
  <c r="B173" i="44"/>
  <c r="K176" i="44" s="1"/>
  <c r="B161" i="44"/>
  <c r="K164" i="44" s="1"/>
  <c r="B149" i="44"/>
  <c r="K152" i="44" s="1"/>
  <c r="B137" i="44"/>
  <c r="K140" i="44" s="1"/>
  <c r="B125" i="44"/>
  <c r="K128" i="44" s="1"/>
  <c r="B113" i="44"/>
  <c r="K116" i="44" s="1"/>
  <c r="B101" i="44"/>
  <c r="K104" i="44" s="1"/>
  <c r="B89" i="44"/>
  <c r="K92" i="44" s="1"/>
  <c r="B77" i="44"/>
  <c r="K80" i="44" s="1"/>
  <c r="B65" i="44"/>
  <c r="K68" i="44" s="1"/>
  <c r="B53" i="44"/>
  <c r="K56" i="44" s="1"/>
  <c r="B41" i="44"/>
  <c r="K44" i="44" s="1"/>
  <c r="B29" i="44"/>
  <c r="K32" i="44" s="1"/>
  <c r="B257" i="45"/>
  <c r="K260" i="45" s="1"/>
  <c r="B245" i="45"/>
  <c r="K248" i="45" s="1"/>
  <c r="B233" i="45"/>
  <c r="K236" i="45" s="1"/>
  <c r="B221" i="45"/>
  <c r="K224" i="45" s="1"/>
  <c r="B209" i="45"/>
  <c r="K212" i="45" s="1"/>
  <c r="B197" i="45"/>
  <c r="K200" i="45" s="1"/>
  <c r="B185" i="45"/>
  <c r="K188" i="45" s="1"/>
  <c r="B173" i="45"/>
  <c r="K176" i="45" s="1"/>
  <c r="B161" i="45"/>
  <c r="K164" i="45" s="1"/>
  <c r="B149" i="45"/>
  <c r="K152" i="45" s="1"/>
  <c r="B137" i="45"/>
  <c r="K140" i="45" s="1"/>
  <c r="B125" i="45"/>
  <c r="K128" i="45" s="1"/>
  <c r="B113" i="45"/>
  <c r="K116" i="45" s="1"/>
  <c r="B101" i="45"/>
  <c r="K104" i="45" s="1"/>
  <c r="B89" i="45"/>
  <c r="K92" i="45" s="1"/>
  <c r="B77" i="45"/>
  <c r="K80" i="45" s="1"/>
  <c r="B65" i="45"/>
  <c r="K68" i="45" s="1"/>
  <c r="B53" i="45"/>
  <c r="K56" i="45" s="1"/>
  <c r="B41" i="45"/>
  <c r="K44" i="45" s="1"/>
  <c r="B29" i="45"/>
  <c r="K32" i="45" s="1"/>
  <c r="C349" i="41" l="1"/>
  <c r="H390" i="41"/>
  <c r="C229" i="41" l="1"/>
  <c r="C289" i="41"/>
  <c r="C319" i="41"/>
  <c r="C259" i="41"/>
  <c r="C334" i="41"/>
  <c r="C304" i="41"/>
  <c r="C274" i="41"/>
  <c r="C244" i="41"/>
  <c r="B385" i="41"/>
  <c r="N62" i="41"/>
  <c r="H44" i="41"/>
  <c r="N7" i="41"/>
  <c r="J45" i="41" s="1"/>
  <c r="J371" i="41" l="1"/>
  <c r="H371" i="41" s="1"/>
  <c r="H45" i="41"/>
  <c r="H2" i="14"/>
  <c r="P1" i="1" s="1"/>
  <c r="B125" i="15" l="1"/>
  <c r="I102" i="15" s="1"/>
  <c r="C156" i="53" l="1"/>
  <c r="C129" i="53"/>
  <c r="C102" i="53"/>
  <c r="C75" i="53"/>
  <c r="C48" i="53"/>
  <c r="C372" i="3"/>
  <c r="C336" i="3"/>
  <c r="C300" i="3"/>
  <c r="C264" i="3"/>
  <c r="C228" i="3"/>
  <c r="C192" i="3"/>
  <c r="C156" i="3"/>
  <c r="C120" i="3"/>
  <c r="C84" i="3"/>
  <c r="F23" i="58"/>
  <c r="G23" i="58" s="1"/>
  <c r="H23" i="58" s="1"/>
  <c r="I23" i="58" s="1"/>
  <c r="J23" i="58" s="1"/>
  <c r="K23" i="58" s="1"/>
  <c r="L23" i="58" s="1"/>
  <c r="M23" i="58" s="1"/>
  <c r="N23" i="58" s="1"/>
  <c r="G24" i="58"/>
  <c r="H24" i="58" s="1"/>
  <c r="I24" i="58" s="1"/>
  <c r="J24" i="58" s="1"/>
  <c r="K24" i="58" s="1"/>
  <c r="L24" i="58" s="1"/>
  <c r="M24" i="58" s="1"/>
  <c r="N24" i="58" s="1"/>
  <c r="H25" i="58"/>
  <c r="I25" i="58" s="1"/>
  <c r="J25" i="58" s="1"/>
  <c r="K25" i="58" s="1"/>
  <c r="L25" i="58" s="1"/>
  <c r="M25" i="58" s="1"/>
  <c r="N25" i="58" s="1"/>
  <c r="I26" i="58"/>
  <c r="J26" i="58" s="1"/>
  <c r="K26" i="58" s="1"/>
  <c r="L26" i="58" s="1"/>
  <c r="M26" i="58" s="1"/>
  <c r="N26" i="58" s="1"/>
  <c r="J27" i="58"/>
  <c r="K27" i="58" s="1"/>
  <c r="L27" i="58" s="1"/>
  <c r="M27" i="58" s="1"/>
  <c r="N27" i="58" s="1"/>
  <c r="K28" i="58"/>
  <c r="L28" i="58" s="1"/>
  <c r="M28" i="58" s="1"/>
  <c r="N28" i="58" s="1"/>
  <c r="L29" i="58"/>
  <c r="M29" i="58" s="1"/>
  <c r="N29" i="58" s="1"/>
  <c r="M30" i="58"/>
  <c r="N30" i="58" s="1"/>
  <c r="N31" i="58"/>
  <c r="F185" i="47" l="1"/>
  <c r="E185" i="47"/>
  <c r="F167" i="47"/>
  <c r="E167" i="47"/>
  <c r="F149" i="47"/>
  <c r="E149" i="47"/>
  <c r="F131" i="47"/>
  <c r="E131" i="47"/>
  <c r="F113" i="47"/>
  <c r="E113" i="47"/>
  <c r="F95" i="47"/>
  <c r="E95" i="47"/>
  <c r="F77" i="47"/>
  <c r="E77" i="47"/>
  <c r="F59" i="47"/>
  <c r="E59" i="47"/>
  <c r="F41" i="47"/>
  <c r="E41" i="47"/>
  <c r="F23" i="47"/>
  <c r="E23" i="47"/>
  <c r="L78" i="38" l="1"/>
  <c r="J78" i="38"/>
  <c r="I78" i="38"/>
  <c r="N11" i="14"/>
  <c r="N10" i="14"/>
  <c r="N8" i="14"/>
  <c r="K78" i="38" l="1"/>
  <c r="M78" i="38"/>
  <c r="N78" i="38"/>
  <c r="P397" i="41"/>
  <c r="P396" i="41"/>
  <c r="P395" i="41"/>
  <c r="P8" i="41"/>
  <c r="H406" i="41"/>
  <c r="I24" i="41" l="1"/>
  <c r="J183" i="51" l="1"/>
  <c r="I183" i="51"/>
  <c r="H183" i="51"/>
  <c r="G183" i="51"/>
  <c r="F183" i="51"/>
  <c r="E183" i="51"/>
  <c r="J166" i="51"/>
  <c r="I166" i="51"/>
  <c r="H166" i="51"/>
  <c r="G166" i="51"/>
  <c r="F166" i="51"/>
  <c r="E166" i="51"/>
  <c r="J149" i="51"/>
  <c r="I149" i="51"/>
  <c r="H149" i="51"/>
  <c r="G149" i="51"/>
  <c r="F149" i="51"/>
  <c r="E149" i="51"/>
  <c r="J132" i="51"/>
  <c r="I132" i="51"/>
  <c r="H132" i="51"/>
  <c r="G132" i="51"/>
  <c r="F132" i="51"/>
  <c r="E132" i="51"/>
  <c r="J115" i="51"/>
  <c r="I115" i="51"/>
  <c r="H115" i="51"/>
  <c r="G115" i="51"/>
  <c r="F115" i="51"/>
  <c r="E115" i="51"/>
  <c r="J98" i="51"/>
  <c r="I98" i="51"/>
  <c r="H98" i="51"/>
  <c r="G98" i="51"/>
  <c r="F98" i="51"/>
  <c r="E98" i="51"/>
  <c r="J81" i="51"/>
  <c r="I81" i="51"/>
  <c r="H81" i="51"/>
  <c r="G81" i="51"/>
  <c r="F81" i="51"/>
  <c r="E81" i="51"/>
  <c r="J64" i="51"/>
  <c r="I64" i="51"/>
  <c r="H64" i="51"/>
  <c r="G64" i="51"/>
  <c r="F64" i="51"/>
  <c r="E64" i="51"/>
  <c r="J47" i="51"/>
  <c r="I47" i="51"/>
  <c r="H47" i="51"/>
  <c r="G47" i="51"/>
  <c r="F47" i="51"/>
  <c r="E47" i="51"/>
  <c r="F30" i="51"/>
  <c r="G30" i="51"/>
  <c r="H30" i="51"/>
  <c r="I30" i="51"/>
  <c r="J30" i="51"/>
  <c r="E30" i="51"/>
  <c r="J183" i="49"/>
  <c r="I183" i="49"/>
  <c r="H183" i="49"/>
  <c r="G183" i="49"/>
  <c r="F183" i="49"/>
  <c r="E183" i="49"/>
  <c r="J166" i="49"/>
  <c r="I166" i="49"/>
  <c r="H166" i="49"/>
  <c r="G166" i="49"/>
  <c r="F166" i="49"/>
  <c r="E166" i="49"/>
  <c r="J149" i="49"/>
  <c r="I149" i="49"/>
  <c r="H149" i="49"/>
  <c r="G149" i="49"/>
  <c r="F149" i="49"/>
  <c r="E149" i="49"/>
  <c r="J132" i="49"/>
  <c r="I132" i="49"/>
  <c r="H132" i="49"/>
  <c r="G132" i="49"/>
  <c r="F132" i="49"/>
  <c r="E132" i="49"/>
  <c r="J115" i="49"/>
  <c r="I115" i="49"/>
  <c r="H115" i="49"/>
  <c r="G115" i="49"/>
  <c r="F115" i="49"/>
  <c r="E115" i="49"/>
  <c r="J98" i="49"/>
  <c r="I98" i="49"/>
  <c r="H98" i="49"/>
  <c r="G98" i="49"/>
  <c r="F98" i="49"/>
  <c r="E98" i="49"/>
  <c r="J81" i="49"/>
  <c r="I81" i="49"/>
  <c r="H81" i="49"/>
  <c r="G81" i="49"/>
  <c r="F81" i="49"/>
  <c r="E81" i="49"/>
  <c r="J64" i="49"/>
  <c r="I64" i="49"/>
  <c r="H64" i="49"/>
  <c r="G64" i="49"/>
  <c r="F64" i="49"/>
  <c r="E64" i="49"/>
  <c r="J47" i="49"/>
  <c r="I47" i="49"/>
  <c r="H47" i="49"/>
  <c r="G47" i="49"/>
  <c r="F47" i="49"/>
  <c r="E47" i="49"/>
  <c r="F30" i="49"/>
  <c r="G30" i="49"/>
  <c r="H30" i="49"/>
  <c r="I30" i="49"/>
  <c r="J30" i="49"/>
  <c r="E30" i="49"/>
  <c r="L15" i="41" l="1"/>
  <c r="I181" i="15" l="1"/>
  <c r="I127" i="15" l="1"/>
  <c r="F415" i="15"/>
  <c r="G415" i="15" s="1"/>
  <c r="H415" i="15" s="1"/>
  <c r="I415" i="15" s="1"/>
  <c r="J415" i="15" s="1"/>
  <c r="K415" i="15" s="1"/>
  <c r="F403" i="15"/>
  <c r="G403" i="15" s="1"/>
  <c r="H403" i="15" s="1"/>
  <c r="I403" i="15" s="1"/>
  <c r="J403" i="15" s="1"/>
  <c r="K403" i="15" s="1"/>
  <c r="F391" i="15"/>
  <c r="G391" i="15" s="1"/>
  <c r="H391" i="15" s="1"/>
  <c r="I391" i="15" s="1"/>
  <c r="J391" i="15" s="1"/>
  <c r="K391" i="15" s="1"/>
  <c r="F379" i="15"/>
  <c r="G379" i="15" s="1"/>
  <c r="H379" i="15" s="1"/>
  <c r="I379" i="15" s="1"/>
  <c r="J379" i="15" s="1"/>
  <c r="K379" i="15" s="1"/>
  <c r="F367" i="15"/>
  <c r="G367" i="15" s="1"/>
  <c r="H367" i="15" s="1"/>
  <c r="I367" i="15" s="1"/>
  <c r="J367" i="15" s="1"/>
  <c r="K367" i="15" s="1"/>
  <c r="F355" i="15"/>
  <c r="G355" i="15" s="1"/>
  <c r="H355" i="15" s="1"/>
  <c r="I355" i="15" s="1"/>
  <c r="J355" i="15" s="1"/>
  <c r="K355" i="15" s="1"/>
  <c r="F343" i="15"/>
  <c r="G343" i="15" s="1"/>
  <c r="H343" i="15" s="1"/>
  <c r="I343" i="15" s="1"/>
  <c r="J343" i="15" s="1"/>
  <c r="K343" i="15" s="1"/>
  <c r="F331" i="15"/>
  <c r="G331" i="15" s="1"/>
  <c r="H331" i="15" s="1"/>
  <c r="I331" i="15" s="1"/>
  <c r="J331" i="15" s="1"/>
  <c r="K331" i="15" s="1"/>
  <c r="F319" i="15"/>
  <c r="G319" i="15" s="1"/>
  <c r="H319" i="15" s="1"/>
  <c r="I319" i="15" s="1"/>
  <c r="J319" i="15" s="1"/>
  <c r="K319" i="15" s="1"/>
  <c r="F307" i="15"/>
  <c r="G307" i="15" s="1"/>
  <c r="H307" i="15" s="1"/>
  <c r="I307" i="15" s="1"/>
  <c r="J307" i="15" s="1"/>
  <c r="K307" i="15" s="1"/>
  <c r="E403" i="15" l="1"/>
  <c r="E415" i="15"/>
  <c r="E379" i="15"/>
  <c r="E391" i="15"/>
  <c r="E355" i="15"/>
  <c r="E367" i="15"/>
  <c r="E331" i="15"/>
  <c r="E343" i="15"/>
  <c r="E319" i="15"/>
  <c r="E307" i="15"/>
  <c r="AB134" i="15"/>
  <c r="AB135" i="15"/>
  <c r="AB136" i="15"/>
  <c r="AB137" i="15"/>
  <c r="AB138" i="15"/>
  <c r="AB139" i="15"/>
  <c r="AB140" i="15"/>
  <c r="AB141" i="15"/>
  <c r="AB142" i="15"/>
  <c r="AB143" i="15"/>
  <c r="AB144" i="15"/>
  <c r="AB145" i="15"/>
  <c r="AB146" i="15"/>
  <c r="AB147" i="15"/>
  <c r="AB148" i="15"/>
  <c r="AB149" i="15"/>
  <c r="AB150" i="15"/>
  <c r="AB151" i="15"/>
  <c r="AB152" i="15"/>
  <c r="AB117" i="37" l="1"/>
  <c r="AB118" i="37"/>
  <c r="AB119" i="37"/>
  <c r="AB120" i="37"/>
  <c r="AB121" i="37"/>
  <c r="AB122" i="37"/>
  <c r="AB123" i="37"/>
  <c r="AB124" i="37"/>
  <c r="AB125" i="37"/>
  <c r="AB126" i="37"/>
  <c r="AB127" i="37"/>
  <c r="AB128" i="37"/>
  <c r="AB129" i="37"/>
  <c r="AB130" i="37"/>
  <c r="I156" i="53"/>
  <c r="I129" i="53"/>
  <c r="I102" i="53"/>
  <c r="I75" i="53"/>
  <c r="I48" i="53"/>
  <c r="I372" i="3"/>
  <c r="I336" i="3"/>
  <c r="I300" i="3"/>
  <c r="I264" i="3"/>
  <c r="I228" i="3"/>
  <c r="I192" i="3"/>
  <c r="I156" i="3"/>
  <c r="I120" i="3"/>
  <c r="I84" i="3"/>
  <c r="I48" i="3"/>
  <c r="C48" i="3" s="1"/>
  <c r="I372" i="56"/>
  <c r="C372" i="56"/>
  <c r="I336" i="56"/>
  <c r="C336" i="56"/>
  <c r="I300" i="56"/>
  <c r="C300" i="56"/>
  <c r="I264" i="56"/>
  <c r="C264" i="56"/>
  <c r="I228" i="56"/>
  <c r="C228" i="56"/>
  <c r="I192" i="56"/>
  <c r="C192" i="56"/>
  <c r="I156" i="56"/>
  <c r="C156" i="56"/>
  <c r="I84" i="56"/>
  <c r="C84" i="56"/>
  <c r="I48" i="56"/>
  <c r="C48" i="56" s="1"/>
  <c r="AE11" i="14" l="1"/>
  <c r="AE10" i="14"/>
  <c r="AE9" i="14"/>
  <c r="AE8" i="14"/>
  <c r="AE13" i="14"/>
  <c r="AE14" i="14"/>
  <c r="AE15" i="14"/>
  <c r="AE16" i="14"/>
  <c r="AE12" i="14"/>
  <c r="G33" i="1"/>
  <c r="G120" i="58"/>
  <c r="H120" i="58" s="1"/>
  <c r="I120" i="58" s="1"/>
  <c r="J120" i="58" s="1"/>
  <c r="K120" i="58" s="1"/>
  <c r="L120" i="58" s="1"/>
  <c r="M120" i="58" s="1"/>
  <c r="N120" i="58" s="1"/>
  <c r="O120" i="58" s="1"/>
  <c r="P120" i="58" s="1"/>
  <c r="H121" i="58"/>
  <c r="I121" i="58" s="1"/>
  <c r="J121" i="58" s="1"/>
  <c r="K121" i="58" s="1"/>
  <c r="L121" i="58" s="1"/>
  <c r="M121" i="58" s="1"/>
  <c r="N121" i="58" s="1"/>
  <c r="O121" i="58" s="1"/>
  <c r="P121" i="58" s="1"/>
  <c r="I122" i="58"/>
  <c r="J122" i="58" s="1"/>
  <c r="K122" i="58" s="1"/>
  <c r="L122" i="58" s="1"/>
  <c r="M122" i="58" s="1"/>
  <c r="N122" i="58" s="1"/>
  <c r="O122" i="58" s="1"/>
  <c r="P122" i="58" s="1"/>
  <c r="J123" i="58"/>
  <c r="K123" i="58" s="1"/>
  <c r="L123" i="58" s="1"/>
  <c r="M123" i="58" s="1"/>
  <c r="N123" i="58" s="1"/>
  <c r="O123" i="58" s="1"/>
  <c r="P123" i="58" s="1"/>
  <c r="K124" i="58"/>
  <c r="L124" i="58" s="1"/>
  <c r="M124" i="58" s="1"/>
  <c r="N124" i="58" s="1"/>
  <c r="O124" i="58" s="1"/>
  <c r="P124" i="58" s="1"/>
  <c r="L125" i="58"/>
  <c r="M125" i="58" s="1"/>
  <c r="N125" i="58" s="1"/>
  <c r="O125" i="58" s="1"/>
  <c r="P125" i="58" s="1"/>
  <c r="M126" i="58"/>
  <c r="N126" i="58" s="1"/>
  <c r="O126" i="58" s="1"/>
  <c r="P126" i="58" s="1"/>
  <c r="N127" i="58"/>
  <c r="O127" i="58" s="1"/>
  <c r="P127" i="58" s="1"/>
  <c r="O128" i="58"/>
  <c r="P128" i="58" s="1"/>
  <c r="P129" i="58"/>
  <c r="F119" i="58"/>
  <c r="G119" i="58" s="1"/>
  <c r="H119" i="58" s="1"/>
  <c r="I119" i="58" s="1"/>
  <c r="J119" i="58" s="1"/>
  <c r="K119" i="58" s="1"/>
  <c r="L119" i="58" s="1"/>
  <c r="M119" i="58" s="1"/>
  <c r="N119" i="58" s="1"/>
  <c r="O119" i="58" s="1"/>
  <c r="P119" i="58" s="1"/>
  <c r="K118" i="58"/>
  <c r="L118" i="58" s="1"/>
  <c r="M118" i="58" s="1"/>
  <c r="N118" i="58" s="1"/>
  <c r="O118" i="58" s="1"/>
  <c r="P118" i="58" s="1"/>
  <c r="G96" i="58"/>
  <c r="H96" i="58" s="1"/>
  <c r="I96" i="58" s="1"/>
  <c r="J96" i="58" s="1"/>
  <c r="K96" i="58" s="1"/>
  <c r="L96" i="58" s="1"/>
  <c r="M96" i="58" s="1"/>
  <c r="N96" i="58" s="1"/>
  <c r="O96" i="58" s="1"/>
  <c r="P96" i="58" s="1"/>
  <c r="H97" i="58"/>
  <c r="I97" i="58" s="1"/>
  <c r="J97" i="58" s="1"/>
  <c r="K97" i="58" s="1"/>
  <c r="L97" i="58" s="1"/>
  <c r="M97" i="58" s="1"/>
  <c r="N97" i="58" s="1"/>
  <c r="O97" i="58" s="1"/>
  <c r="P97" i="58" s="1"/>
  <c r="I98" i="58"/>
  <c r="J98" i="58" s="1"/>
  <c r="K98" i="58" s="1"/>
  <c r="L98" i="58" s="1"/>
  <c r="M98" i="58" s="1"/>
  <c r="N98" i="58" s="1"/>
  <c r="O98" i="58" s="1"/>
  <c r="P98" i="58" s="1"/>
  <c r="J99" i="58"/>
  <c r="K99" i="58" s="1"/>
  <c r="L99" i="58" s="1"/>
  <c r="M99" i="58" s="1"/>
  <c r="N99" i="58" s="1"/>
  <c r="O99" i="58" s="1"/>
  <c r="P99" i="58" s="1"/>
  <c r="K100" i="58"/>
  <c r="L100" i="58" s="1"/>
  <c r="M100" i="58" s="1"/>
  <c r="N100" i="58" s="1"/>
  <c r="O100" i="58" s="1"/>
  <c r="P100" i="58" s="1"/>
  <c r="L101" i="58"/>
  <c r="M101" i="58" s="1"/>
  <c r="N101" i="58" s="1"/>
  <c r="O101" i="58" s="1"/>
  <c r="P101" i="58" s="1"/>
  <c r="M102" i="58"/>
  <c r="N102" i="58" s="1"/>
  <c r="O102" i="58" s="1"/>
  <c r="P102" i="58" s="1"/>
  <c r="N103" i="58"/>
  <c r="O103" i="58" s="1"/>
  <c r="P103" i="58" s="1"/>
  <c r="O104" i="58"/>
  <c r="P104" i="58" s="1"/>
  <c r="P105" i="58"/>
  <c r="F95" i="58"/>
  <c r="G95" i="58" s="1"/>
  <c r="H95" i="58" s="1"/>
  <c r="I95" i="58" s="1"/>
  <c r="J95" i="58" s="1"/>
  <c r="K95" i="58" s="1"/>
  <c r="L95" i="58" s="1"/>
  <c r="M95" i="58" s="1"/>
  <c r="N95" i="58" s="1"/>
  <c r="O95" i="58" s="1"/>
  <c r="P95" i="58" s="1"/>
  <c r="K94" i="58"/>
  <c r="L94" i="58" s="1"/>
  <c r="M94" i="58" s="1"/>
  <c r="N94" i="58" s="1"/>
  <c r="O94" i="58" s="1"/>
  <c r="P94" i="58" s="1"/>
  <c r="H73" i="58"/>
  <c r="I73" i="58" s="1"/>
  <c r="J73" i="58" s="1"/>
  <c r="K73" i="58" s="1"/>
  <c r="L73" i="58" s="1"/>
  <c r="M73" i="58" s="1"/>
  <c r="N73" i="58" s="1"/>
  <c r="O73" i="58" s="1"/>
  <c r="P73" i="58" s="1"/>
  <c r="I74" i="58"/>
  <c r="J74" i="58" s="1"/>
  <c r="K74" i="58" s="1"/>
  <c r="L74" i="58" s="1"/>
  <c r="M74" i="58" s="1"/>
  <c r="N74" i="58" s="1"/>
  <c r="O74" i="58" s="1"/>
  <c r="P74" i="58" s="1"/>
  <c r="J75" i="58"/>
  <c r="K75" i="58" s="1"/>
  <c r="L75" i="58" s="1"/>
  <c r="M75" i="58" s="1"/>
  <c r="N75" i="58" s="1"/>
  <c r="O75" i="58" s="1"/>
  <c r="P75" i="58" s="1"/>
  <c r="K76" i="58"/>
  <c r="L76" i="58" s="1"/>
  <c r="M76" i="58" s="1"/>
  <c r="N76" i="58" s="1"/>
  <c r="O76" i="58" s="1"/>
  <c r="P76" i="58" s="1"/>
  <c r="L77" i="58"/>
  <c r="M77" i="58" s="1"/>
  <c r="N77" i="58" s="1"/>
  <c r="O77" i="58" s="1"/>
  <c r="P77" i="58" s="1"/>
  <c r="M78" i="58"/>
  <c r="N78" i="58" s="1"/>
  <c r="O78" i="58" s="1"/>
  <c r="P78" i="58" s="1"/>
  <c r="N79" i="58"/>
  <c r="O79" i="58" s="1"/>
  <c r="P79" i="58" s="1"/>
  <c r="O80" i="58"/>
  <c r="P80" i="58" s="1"/>
  <c r="P81" i="58"/>
  <c r="G72" i="58"/>
  <c r="H72" i="58" s="1"/>
  <c r="I72" i="58" s="1"/>
  <c r="J72" i="58" s="1"/>
  <c r="K72" i="58" s="1"/>
  <c r="L72" i="58" s="1"/>
  <c r="M72" i="58" s="1"/>
  <c r="N72" i="58" s="1"/>
  <c r="O72" i="58" s="1"/>
  <c r="P72" i="58" s="1"/>
  <c r="F71" i="58"/>
  <c r="G71" i="58" s="1"/>
  <c r="H71" i="58" s="1"/>
  <c r="I71" i="58" s="1"/>
  <c r="J71" i="58" s="1"/>
  <c r="K71" i="58" s="1"/>
  <c r="L71" i="58" s="1"/>
  <c r="M71" i="58" s="1"/>
  <c r="N71" i="58" s="1"/>
  <c r="O71" i="58" s="1"/>
  <c r="P71" i="58" s="1"/>
  <c r="K70" i="58"/>
  <c r="L70" i="58" s="1"/>
  <c r="M70" i="58" s="1"/>
  <c r="N70" i="58" s="1"/>
  <c r="O70" i="58" s="1"/>
  <c r="P70" i="58" s="1"/>
  <c r="P57" i="58"/>
  <c r="O56" i="58"/>
  <c r="P56" i="58" s="1"/>
  <c r="N55" i="58"/>
  <c r="O55" i="58" s="1"/>
  <c r="P55" i="58" s="1"/>
  <c r="M54" i="58"/>
  <c r="N54" i="58" s="1"/>
  <c r="O54" i="58" s="1"/>
  <c r="P54" i="58" s="1"/>
  <c r="L53" i="58"/>
  <c r="M53" i="58" s="1"/>
  <c r="N53" i="58" s="1"/>
  <c r="O53" i="58" s="1"/>
  <c r="P53" i="58" s="1"/>
  <c r="K52" i="58"/>
  <c r="L52" i="58" s="1"/>
  <c r="M52" i="58" s="1"/>
  <c r="N52" i="58" s="1"/>
  <c r="O52" i="58" s="1"/>
  <c r="P52" i="58" s="1"/>
  <c r="J51" i="58"/>
  <c r="K51" i="58" s="1"/>
  <c r="L51" i="58" s="1"/>
  <c r="M51" i="58" s="1"/>
  <c r="N51" i="58" s="1"/>
  <c r="O51" i="58" s="1"/>
  <c r="P51" i="58" s="1"/>
  <c r="I50" i="58"/>
  <c r="J50" i="58" s="1"/>
  <c r="K50" i="58" s="1"/>
  <c r="L50" i="58" s="1"/>
  <c r="M50" i="58" s="1"/>
  <c r="N50" i="58" s="1"/>
  <c r="O50" i="58" s="1"/>
  <c r="P50" i="58" s="1"/>
  <c r="H49" i="58"/>
  <c r="I49" i="58" s="1"/>
  <c r="J49" i="58" s="1"/>
  <c r="K49" i="58" s="1"/>
  <c r="L49" i="58" s="1"/>
  <c r="M49" i="58" s="1"/>
  <c r="N49" i="58" s="1"/>
  <c r="O49" i="58" s="1"/>
  <c r="P49" i="58" s="1"/>
  <c r="G48" i="58"/>
  <c r="H48" i="58" s="1"/>
  <c r="I48" i="58" s="1"/>
  <c r="J48" i="58" s="1"/>
  <c r="K48" i="58" s="1"/>
  <c r="L48" i="58" s="1"/>
  <c r="M48" i="58" s="1"/>
  <c r="N48" i="58" s="1"/>
  <c r="O48" i="58" s="1"/>
  <c r="P48" i="58" s="1"/>
  <c r="F47" i="58"/>
  <c r="G47" i="58" s="1"/>
  <c r="H47" i="58" s="1"/>
  <c r="I47" i="58" s="1"/>
  <c r="J47" i="58" s="1"/>
  <c r="K47" i="58" s="1"/>
  <c r="L47" i="58" s="1"/>
  <c r="M47" i="58" s="1"/>
  <c r="N47" i="58" s="1"/>
  <c r="O47" i="58" s="1"/>
  <c r="P47" i="58" s="1"/>
  <c r="K46" i="58"/>
  <c r="L46" i="58" s="1"/>
  <c r="M46" i="58" s="1"/>
  <c r="N46" i="58" s="1"/>
  <c r="O46" i="58" s="1"/>
  <c r="P46" i="58" s="1"/>
  <c r="E7" i="58"/>
  <c r="F7" i="58" s="1"/>
  <c r="G7" i="58" s="1"/>
  <c r="H7" i="58" s="1"/>
  <c r="I7" i="58" s="1"/>
  <c r="J7" i="58" s="1"/>
  <c r="P33" i="58"/>
  <c r="O32" i="58"/>
  <c r="P32" i="58" s="1"/>
  <c r="O31" i="58"/>
  <c r="P31" i="58" s="1"/>
  <c r="O30" i="58"/>
  <c r="P30" i="58" s="1"/>
  <c r="O29" i="58"/>
  <c r="P29" i="58" s="1"/>
  <c r="O28" i="58"/>
  <c r="P28" i="58" s="1"/>
  <c r="O27" i="58"/>
  <c r="P27" i="58" s="1"/>
  <c r="O26" i="58"/>
  <c r="P26" i="58" s="1"/>
  <c r="O25" i="58"/>
  <c r="P25" i="58" s="1"/>
  <c r="O24" i="58"/>
  <c r="P24" i="58" s="1"/>
  <c r="K22" i="58"/>
  <c r="L22" i="58" s="1"/>
  <c r="M22" i="58" s="1"/>
  <c r="N22" i="58" s="1"/>
  <c r="O22" i="58" s="1"/>
  <c r="P22" i="58" s="1"/>
  <c r="DB220" i="47"/>
  <c r="DC220" i="47" s="1"/>
  <c r="DB221" i="47"/>
  <c r="DC221" i="47" s="1"/>
  <c r="DB245" i="47"/>
  <c r="DC245" i="47" s="1"/>
  <c r="DB246" i="47"/>
  <c r="DC246" i="47" s="1"/>
  <c r="DB270" i="47"/>
  <c r="DC270" i="47" s="1"/>
  <c r="DB271" i="47"/>
  <c r="DC271" i="47" s="1"/>
  <c r="DD246" i="47" l="1"/>
  <c r="DD271" i="47"/>
  <c r="K131" i="58"/>
  <c r="E12" i="58" s="1"/>
  <c r="AL41" i="14" s="1"/>
  <c r="J118" i="58"/>
  <c r="I118" i="58" s="1"/>
  <c r="H118" i="58" s="1"/>
  <c r="G118" i="58" s="1"/>
  <c r="F118" i="58" s="1"/>
  <c r="E118" i="58" s="1"/>
  <c r="K107" i="58"/>
  <c r="E11" i="58" s="1"/>
  <c r="AL40" i="14" s="1"/>
  <c r="J94" i="58"/>
  <c r="I94" i="58" s="1"/>
  <c r="H94" i="58" s="1"/>
  <c r="G94" i="58" s="1"/>
  <c r="F94" i="58" s="1"/>
  <c r="E94" i="58" s="1"/>
  <c r="K83" i="58"/>
  <c r="E10" i="58" s="1"/>
  <c r="AL39" i="14" s="1"/>
  <c r="J70" i="58"/>
  <c r="I70" i="58" s="1"/>
  <c r="H70" i="58" s="1"/>
  <c r="G70" i="58" s="1"/>
  <c r="F70" i="58" s="1"/>
  <c r="E70" i="58" s="1"/>
  <c r="K59" i="58"/>
  <c r="E9" i="58" s="1"/>
  <c r="AL38" i="14" s="1"/>
  <c r="J46" i="58"/>
  <c r="I46" i="58" s="1"/>
  <c r="H46" i="58" s="1"/>
  <c r="G46" i="58" s="1"/>
  <c r="F46" i="58" s="1"/>
  <c r="E46" i="58" s="1"/>
  <c r="K35" i="58"/>
  <c r="E8" i="58" s="1"/>
  <c r="AL37" i="14" s="1"/>
  <c r="J22" i="58"/>
  <c r="I22" i="58" s="1"/>
  <c r="H22" i="58" s="1"/>
  <c r="G22" i="58" s="1"/>
  <c r="F22" i="58" s="1"/>
  <c r="E22" i="58" s="1"/>
  <c r="DD221" i="47"/>
  <c r="T229" i="7"/>
  <c r="U229" i="7" s="1"/>
  <c r="V229" i="7" s="1"/>
  <c r="W229" i="7" s="1"/>
  <c r="X229" i="7" s="1"/>
  <c r="Y229" i="7" s="1"/>
  <c r="N229" i="7"/>
  <c r="O229" i="7" s="1"/>
  <c r="P229" i="7" s="1"/>
  <c r="Q229" i="7" s="1"/>
  <c r="R229" i="7" s="1"/>
  <c r="S229" i="7" s="1"/>
  <c r="T40" i="7"/>
  <c r="U40" i="7" s="1"/>
  <c r="V40" i="7" s="1"/>
  <c r="W40" i="7" s="1"/>
  <c r="X40" i="7" s="1"/>
  <c r="Y40" i="7" s="1"/>
  <c r="N40" i="7"/>
  <c r="O40" i="7" s="1"/>
  <c r="P40" i="7" s="1"/>
  <c r="Q40" i="7" s="1"/>
  <c r="R40" i="7" s="1"/>
  <c r="S40" i="7" s="1"/>
  <c r="G187" i="47"/>
  <c r="G169" i="47"/>
  <c r="G151" i="47"/>
  <c r="G133" i="47"/>
  <c r="G115" i="47"/>
  <c r="G97" i="47"/>
  <c r="G79" i="47"/>
  <c r="G61" i="47"/>
  <c r="G43" i="47"/>
  <c r="G25" i="47"/>
  <c r="D14" i="58" l="1"/>
  <c r="AE7" i="14" s="1"/>
  <c r="AE17" i="14" s="1"/>
  <c r="L131" i="58"/>
  <c r="F12" i="58" s="1"/>
  <c r="AM41" i="14" s="1"/>
  <c r="L107" i="58"/>
  <c r="F11" i="58" s="1"/>
  <c r="AM40" i="14" s="1"/>
  <c r="L83" i="58"/>
  <c r="F10" i="58" s="1"/>
  <c r="AM39" i="14" s="1"/>
  <c r="L59" i="58"/>
  <c r="F9" i="58" s="1"/>
  <c r="AM38" i="14" s="1"/>
  <c r="L35" i="58"/>
  <c r="F8" i="58" s="1"/>
  <c r="AM37" i="14" s="1"/>
  <c r="A1" i="57"/>
  <c r="E34" i="1" s="1"/>
  <c r="M131" i="58" l="1"/>
  <c r="G12" i="58" s="1"/>
  <c r="AN41" i="14" s="1"/>
  <c r="M107" i="58"/>
  <c r="G11" i="58" s="1"/>
  <c r="AN40" i="14" s="1"/>
  <c r="M83" i="58"/>
  <c r="G10" i="58" s="1"/>
  <c r="AN39" i="14" s="1"/>
  <c r="M59" i="58"/>
  <c r="G9" i="58" s="1"/>
  <c r="AN38" i="14" s="1"/>
  <c r="M35" i="58"/>
  <c r="G8" i="58" s="1"/>
  <c r="AN37" i="14" s="1"/>
  <c r="D217" i="7"/>
  <c r="E217" i="7" s="1"/>
  <c r="F217" i="7" s="1"/>
  <c r="G217" i="7" s="1"/>
  <c r="H217" i="7" s="1"/>
  <c r="I217" i="7" s="1"/>
  <c r="D209" i="7"/>
  <c r="E209" i="7" s="1"/>
  <c r="F209" i="7" s="1"/>
  <c r="G209" i="7" s="1"/>
  <c r="H209" i="7" s="1"/>
  <c r="I209" i="7" s="1"/>
  <c r="D201" i="7"/>
  <c r="E201" i="7" s="1"/>
  <c r="F201" i="7" s="1"/>
  <c r="G201" i="7" s="1"/>
  <c r="H201" i="7" s="1"/>
  <c r="I201" i="7" s="1"/>
  <c r="D193" i="7"/>
  <c r="E193" i="7" s="1"/>
  <c r="F193" i="7" s="1"/>
  <c r="G193" i="7" s="1"/>
  <c r="H193" i="7" s="1"/>
  <c r="I193" i="7" s="1"/>
  <c r="D185" i="7"/>
  <c r="E185" i="7" s="1"/>
  <c r="F185" i="7" s="1"/>
  <c r="G185" i="7" s="1"/>
  <c r="H185" i="7" s="1"/>
  <c r="I185" i="7" s="1"/>
  <c r="D177" i="7"/>
  <c r="E177" i="7" s="1"/>
  <c r="F177" i="7" s="1"/>
  <c r="G177" i="7" s="1"/>
  <c r="H177" i="7" s="1"/>
  <c r="I177" i="7" s="1"/>
  <c r="D169" i="7"/>
  <c r="E169" i="7" s="1"/>
  <c r="F169" i="7" s="1"/>
  <c r="G169" i="7" s="1"/>
  <c r="H169" i="7" s="1"/>
  <c r="I169" i="7" s="1"/>
  <c r="D161" i="7"/>
  <c r="E161" i="7" s="1"/>
  <c r="F161" i="7" s="1"/>
  <c r="G161" i="7" s="1"/>
  <c r="H161" i="7" s="1"/>
  <c r="I161" i="7" s="1"/>
  <c r="D153" i="7"/>
  <c r="E153" i="7" s="1"/>
  <c r="F153" i="7" s="1"/>
  <c r="G153" i="7" s="1"/>
  <c r="H153" i="7" s="1"/>
  <c r="I153" i="7" s="1"/>
  <c r="D145" i="7"/>
  <c r="E145" i="7" s="1"/>
  <c r="F145" i="7" s="1"/>
  <c r="G145" i="7" s="1"/>
  <c r="H145" i="7" s="1"/>
  <c r="I145" i="7" s="1"/>
  <c r="D406" i="7"/>
  <c r="E406" i="7" s="1"/>
  <c r="F406" i="7" s="1"/>
  <c r="G406" i="7" s="1"/>
  <c r="H406" i="7" s="1"/>
  <c r="I406" i="7" s="1"/>
  <c r="D398" i="7"/>
  <c r="E398" i="7" s="1"/>
  <c r="F398" i="7" s="1"/>
  <c r="G398" i="7" s="1"/>
  <c r="H398" i="7" s="1"/>
  <c r="I398" i="7" s="1"/>
  <c r="D390" i="7"/>
  <c r="E390" i="7" s="1"/>
  <c r="F390" i="7" s="1"/>
  <c r="G390" i="7" s="1"/>
  <c r="H390" i="7" s="1"/>
  <c r="I390" i="7" s="1"/>
  <c r="D382" i="7"/>
  <c r="E382" i="7" s="1"/>
  <c r="F382" i="7" s="1"/>
  <c r="G382" i="7" s="1"/>
  <c r="H382" i="7" s="1"/>
  <c r="I382" i="7" s="1"/>
  <c r="D374" i="7"/>
  <c r="E374" i="7" s="1"/>
  <c r="F374" i="7" s="1"/>
  <c r="G374" i="7" s="1"/>
  <c r="H374" i="7" s="1"/>
  <c r="I374" i="7" s="1"/>
  <c r="D366" i="7"/>
  <c r="E366" i="7" s="1"/>
  <c r="F366" i="7" s="1"/>
  <c r="G366" i="7" s="1"/>
  <c r="H366" i="7" s="1"/>
  <c r="I366" i="7" s="1"/>
  <c r="D358" i="7"/>
  <c r="E358" i="7" s="1"/>
  <c r="F358" i="7" s="1"/>
  <c r="G358" i="7" s="1"/>
  <c r="H358" i="7" s="1"/>
  <c r="I358" i="7" s="1"/>
  <c r="D350" i="7"/>
  <c r="E350" i="7" s="1"/>
  <c r="F350" i="7" s="1"/>
  <c r="G350" i="7" s="1"/>
  <c r="H350" i="7" s="1"/>
  <c r="I350" i="7" s="1"/>
  <c r="D342" i="7"/>
  <c r="E342" i="7" s="1"/>
  <c r="F342" i="7" s="1"/>
  <c r="G342" i="7" s="1"/>
  <c r="H342" i="7" s="1"/>
  <c r="I342" i="7" s="1"/>
  <c r="D334" i="7"/>
  <c r="E334" i="7" s="1"/>
  <c r="F334" i="7" s="1"/>
  <c r="G334" i="7" s="1"/>
  <c r="H334" i="7" s="1"/>
  <c r="I334" i="7" s="1"/>
  <c r="AC152" i="15"/>
  <c r="AC151" i="15"/>
  <c r="AC150" i="15"/>
  <c r="AC149" i="15"/>
  <c r="AC148" i="15"/>
  <c r="AC147" i="15"/>
  <c r="AC146" i="15"/>
  <c r="AC145" i="15"/>
  <c r="AC144" i="15"/>
  <c r="AC143" i="15"/>
  <c r="AC142" i="15"/>
  <c r="AC141" i="15"/>
  <c r="AC140" i="15"/>
  <c r="AC139" i="15"/>
  <c r="AC138" i="15"/>
  <c r="AC137" i="15"/>
  <c r="AC136" i="15"/>
  <c r="AC135" i="15"/>
  <c r="AC134" i="15"/>
  <c r="AC133" i="15"/>
  <c r="AB133" i="15"/>
  <c r="D263" i="45"/>
  <c r="E263" i="45" s="1"/>
  <c r="F263" i="45" s="1"/>
  <c r="G263" i="45" s="1"/>
  <c r="H263" i="45" s="1"/>
  <c r="I263" i="45" s="1"/>
  <c r="D258" i="45"/>
  <c r="E258" i="45" s="1"/>
  <c r="F258" i="45" s="1"/>
  <c r="G258" i="45" s="1"/>
  <c r="H258" i="45" s="1"/>
  <c r="I258" i="45" s="1"/>
  <c r="D251" i="45"/>
  <c r="E251" i="45" s="1"/>
  <c r="F251" i="45" s="1"/>
  <c r="G251" i="45" s="1"/>
  <c r="H251" i="45" s="1"/>
  <c r="I251" i="45" s="1"/>
  <c r="D246" i="45"/>
  <c r="E246" i="45" s="1"/>
  <c r="F246" i="45" s="1"/>
  <c r="G246" i="45" s="1"/>
  <c r="H246" i="45" s="1"/>
  <c r="I246" i="45" s="1"/>
  <c r="D239" i="45"/>
  <c r="E239" i="45" s="1"/>
  <c r="F239" i="45" s="1"/>
  <c r="G239" i="45" s="1"/>
  <c r="H239" i="45" s="1"/>
  <c r="I239" i="45" s="1"/>
  <c r="D234" i="45"/>
  <c r="E234" i="45" s="1"/>
  <c r="F234" i="45" s="1"/>
  <c r="G234" i="45" s="1"/>
  <c r="H234" i="45" s="1"/>
  <c r="I234" i="45" s="1"/>
  <c r="D227" i="45"/>
  <c r="E227" i="45" s="1"/>
  <c r="F227" i="45" s="1"/>
  <c r="G227" i="45" s="1"/>
  <c r="H227" i="45" s="1"/>
  <c r="I227" i="45" s="1"/>
  <c r="D222" i="45"/>
  <c r="E222" i="45" s="1"/>
  <c r="F222" i="45" s="1"/>
  <c r="G222" i="45" s="1"/>
  <c r="H222" i="45" s="1"/>
  <c r="I222" i="45" s="1"/>
  <c r="D215" i="45"/>
  <c r="E215" i="45" s="1"/>
  <c r="F215" i="45" s="1"/>
  <c r="G215" i="45" s="1"/>
  <c r="H215" i="45" s="1"/>
  <c r="I215" i="45" s="1"/>
  <c r="D210" i="45"/>
  <c r="E210" i="45" s="1"/>
  <c r="F210" i="45" s="1"/>
  <c r="G210" i="45" s="1"/>
  <c r="H210" i="45" s="1"/>
  <c r="I210" i="45" s="1"/>
  <c r="D203" i="45"/>
  <c r="E203" i="45" s="1"/>
  <c r="F203" i="45" s="1"/>
  <c r="G203" i="45" s="1"/>
  <c r="H203" i="45" s="1"/>
  <c r="I203" i="45" s="1"/>
  <c r="D198" i="45"/>
  <c r="E198" i="45" s="1"/>
  <c r="F198" i="45" s="1"/>
  <c r="G198" i="45" s="1"/>
  <c r="H198" i="45" s="1"/>
  <c r="I198" i="45" s="1"/>
  <c r="D191" i="45"/>
  <c r="E191" i="45" s="1"/>
  <c r="F191" i="45" s="1"/>
  <c r="G191" i="45" s="1"/>
  <c r="H191" i="45" s="1"/>
  <c r="I191" i="45" s="1"/>
  <c r="D186" i="45"/>
  <c r="E186" i="45" s="1"/>
  <c r="F186" i="45" s="1"/>
  <c r="G186" i="45" s="1"/>
  <c r="H186" i="45" s="1"/>
  <c r="I186" i="45" s="1"/>
  <c r="D179" i="45"/>
  <c r="E179" i="45" s="1"/>
  <c r="F179" i="45" s="1"/>
  <c r="G179" i="45" s="1"/>
  <c r="H179" i="45" s="1"/>
  <c r="I179" i="45" s="1"/>
  <c r="D174" i="45"/>
  <c r="E174" i="45" s="1"/>
  <c r="F174" i="45" s="1"/>
  <c r="G174" i="45" s="1"/>
  <c r="H174" i="45" s="1"/>
  <c r="I174" i="45" s="1"/>
  <c r="D167" i="45"/>
  <c r="E167" i="45" s="1"/>
  <c r="F167" i="45" s="1"/>
  <c r="G167" i="45" s="1"/>
  <c r="H167" i="45" s="1"/>
  <c r="I167" i="45" s="1"/>
  <c r="D162" i="45"/>
  <c r="E162" i="45" s="1"/>
  <c r="F162" i="45" s="1"/>
  <c r="G162" i="45" s="1"/>
  <c r="H162" i="45" s="1"/>
  <c r="I162" i="45" s="1"/>
  <c r="D155" i="45"/>
  <c r="E155" i="45" s="1"/>
  <c r="F155" i="45" s="1"/>
  <c r="G155" i="45" s="1"/>
  <c r="H155" i="45" s="1"/>
  <c r="I155" i="45" s="1"/>
  <c r="D150" i="45"/>
  <c r="E150" i="45" s="1"/>
  <c r="F150" i="45" s="1"/>
  <c r="G150" i="45" s="1"/>
  <c r="H150" i="45" s="1"/>
  <c r="I150" i="45" s="1"/>
  <c r="G290" i="45"/>
  <c r="G291" i="45"/>
  <c r="G292" i="45"/>
  <c r="G293" i="45"/>
  <c r="D263" i="44"/>
  <c r="E263" i="44" s="1"/>
  <c r="F263" i="44" s="1"/>
  <c r="G263" i="44" s="1"/>
  <c r="H263" i="44" s="1"/>
  <c r="I263" i="44" s="1"/>
  <c r="D258" i="44"/>
  <c r="E258" i="44" s="1"/>
  <c r="F258" i="44" s="1"/>
  <c r="G258" i="44" s="1"/>
  <c r="H258" i="44" s="1"/>
  <c r="I258" i="44" s="1"/>
  <c r="D251" i="44"/>
  <c r="E251" i="44" s="1"/>
  <c r="F251" i="44" s="1"/>
  <c r="G251" i="44" s="1"/>
  <c r="H251" i="44" s="1"/>
  <c r="I251" i="44" s="1"/>
  <c r="D246" i="44"/>
  <c r="E246" i="44" s="1"/>
  <c r="F246" i="44" s="1"/>
  <c r="G246" i="44" s="1"/>
  <c r="H246" i="44" s="1"/>
  <c r="I246" i="44" s="1"/>
  <c r="D239" i="44"/>
  <c r="E239" i="44" s="1"/>
  <c r="F239" i="44" s="1"/>
  <c r="G239" i="44" s="1"/>
  <c r="H239" i="44" s="1"/>
  <c r="I239" i="44" s="1"/>
  <c r="D234" i="44"/>
  <c r="E234" i="44" s="1"/>
  <c r="F234" i="44" s="1"/>
  <c r="G234" i="44" s="1"/>
  <c r="H234" i="44" s="1"/>
  <c r="I234" i="44" s="1"/>
  <c r="D227" i="44"/>
  <c r="E227" i="44" s="1"/>
  <c r="F227" i="44" s="1"/>
  <c r="G227" i="44" s="1"/>
  <c r="H227" i="44" s="1"/>
  <c r="I227" i="44" s="1"/>
  <c r="D222" i="44"/>
  <c r="E222" i="44" s="1"/>
  <c r="F222" i="44" s="1"/>
  <c r="G222" i="44" s="1"/>
  <c r="H222" i="44" s="1"/>
  <c r="I222" i="44" s="1"/>
  <c r="D215" i="44"/>
  <c r="E215" i="44" s="1"/>
  <c r="F215" i="44" s="1"/>
  <c r="G215" i="44" s="1"/>
  <c r="H215" i="44" s="1"/>
  <c r="I215" i="44" s="1"/>
  <c r="D210" i="44"/>
  <c r="E210" i="44" s="1"/>
  <c r="F210" i="44" s="1"/>
  <c r="G210" i="44" s="1"/>
  <c r="H210" i="44" s="1"/>
  <c r="I210" i="44" s="1"/>
  <c r="D203" i="44"/>
  <c r="E203" i="44" s="1"/>
  <c r="F203" i="44" s="1"/>
  <c r="G203" i="44" s="1"/>
  <c r="H203" i="44" s="1"/>
  <c r="I203" i="44" s="1"/>
  <c r="D198" i="44"/>
  <c r="E198" i="44" s="1"/>
  <c r="F198" i="44" s="1"/>
  <c r="G198" i="44" s="1"/>
  <c r="H198" i="44" s="1"/>
  <c r="I198" i="44" s="1"/>
  <c r="D191" i="44"/>
  <c r="E191" i="44" s="1"/>
  <c r="F191" i="44" s="1"/>
  <c r="G191" i="44" s="1"/>
  <c r="H191" i="44" s="1"/>
  <c r="I191" i="44" s="1"/>
  <c r="D186" i="44"/>
  <c r="E186" i="44" s="1"/>
  <c r="F186" i="44" s="1"/>
  <c r="G186" i="44" s="1"/>
  <c r="H186" i="44" s="1"/>
  <c r="I186" i="44" s="1"/>
  <c r="D179" i="44"/>
  <c r="E179" i="44" s="1"/>
  <c r="F179" i="44" s="1"/>
  <c r="G179" i="44" s="1"/>
  <c r="H179" i="44" s="1"/>
  <c r="I179" i="44" s="1"/>
  <c r="D174" i="44"/>
  <c r="E174" i="44" s="1"/>
  <c r="F174" i="44" s="1"/>
  <c r="G174" i="44" s="1"/>
  <c r="H174" i="44" s="1"/>
  <c r="I174" i="44" s="1"/>
  <c r="D167" i="44"/>
  <c r="E167" i="44" s="1"/>
  <c r="F167" i="44" s="1"/>
  <c r="G167" i="44" s="1"/>
  <c r="H167" i="44" s="1"/>
  <c r="I167" i="44" s="1"/>
  <c r="D162" i="44"/>
  <c r="E162" i="44" s="1"/>
  <c r="F162" i="44" s="1"/>
  <c r="G162" i="44" s="1"/>
  <c r="H162" i="44" s="1"/>
  <c r="I162" i="44" s="1"/>
  <c r="D155" i="44"/>
  <c r="E155" i="44" s="1"/>
  <c r="F155" i="44" s="1"/>
  <c r="G155" i="44" s="1"/>
  <c r="H155" i="44" s="1"/>
  <c r="I155" i="44" s="1"/>
  <c r="D150" i="44"/>
  <c r="E150" i="44" s="1"/>
  <c r="F150" i="44" s="1"/>
  <c r="G150" i="44" s="1"/>
  <c r="H150" i="44" s="1"/>
  <c r="I150" i="44" s="1"/>
  <c r="O124" i="15"/>
  <c r="O115" i="15"/>
  <c r="L58" i="15" s="1"/>
  <c r="O116" i="15"/>
  <c r="O117" i="15"/>
  <c r="L60" i="15" s="1"/>
  <c r="O118" i="15"/>
  <c r="J61" i="15" s="1"/>
  <c r="O119" i="15"/>
  <c r="L62" i="15" s="1"/>
  <c r="O120" i="15"/>
  <c r="H63" i="15" s="1"/>
  <c r="O121" i="15"/>
  <c r="L64" i="15" s="1"/>
  <c r="O122" i="15"/>
  <c r="F65" i="15" s="1"/>
  <c r="O123" i="15"/>
  <c r="L66" i="15" s="1"/>
  <c r="M67" i="15"/>
  <c r="E58" i="15"/>
  <c r="H59" i="15"/>
  <c r="AD143" i="15"/>
  <c r="AD144" i="15"/>
  <c r="AD145" i="15"/>
  <c r="AD146" i="15"/>
  <c r="AD147" i="15"/>
  <c r="AD148" i="15"/>
  <c r="AD149" i="15"/>
  <c r="AD150" i="15"/>
  <c r="AD151" i="15"/>
  <c r="AD152" i="15"/>
  <c r="AB115" i="15"/>
  <c r="D58" i="15" s="1"/>
  <c r="AC115" i="15"/>
  <c r="AD115" i="15"/>
  <c r="AE115" i="15"/>
  <c r="AH115" i="15" s="1"/>
  <c r="AF115" i="15"/>
  <c r="AB116" i="15"/>
  <c r="D59" i="15" s="1"/>
  <c r="AC116" i="15"/>
  <c r="AD116" i="15"/>
  <c r="AE116" i="15"/>
  <c r="AH116" i="15" s="1"/>
  <c r="AF116" i="15"/>
  <c r="AB117" i="15"/>
  <c r="D60" i="15" s="1"/>
  <c r="AC117" i="15"/>
  <c r="AD117" i="15"/>
  <c r="AE117" i="15"/>
  <c r="AH117" i="15" s="1"/>
  <c r="AF117" i="15"/>
  <c r="AB118" i="15"/>
  <c r="D61" i="15" s="1"/>
  <c r="AC118" i="15"/>
  <c r="AD118" i="15"/>
  <c r="AE118" i="15"/>
  <c r="AH118" i="15" s="1"/>
  <c r="AF118" i="15"/>
  <c r="AB119" i="15"/>
  <c r="D62" i="15" s="1"/>
  <c r="AC119" i="15"/>
  <c r="AD119" i="15"/>
  <c r="AE119" i="15"/>
  <c r="AH119" i="15" s="1"/>
  <c r="AF119" i="15"/>
  <c r="AB120" i="15"/>
  <c r="D63" i="15" s="1"/>
  <c r="AC120" i="15"/>
  <c r="AD120" i="15"/>
  <c r="AE120" i="15"/>
  <c r="AH120" i="15" s="1"/>
  <c r="AF120" i="15"/>
  <c r="AB121" i="15"/>
  <c r="D64" i="15" s="1"/>
  <c r="AC121" i="15"/>
  <c r="AD121" i="15"/>
  <c r="AE121" i="15"/>
  <c r="AH121" i="15" s="1"/>
  <c r="AF121" i="15"/>
  <c r="AB122" i="15"/>
  <c r="D65" i="15" s="1"/>
  <c r="AC122" i="15"/>
  <c r="AD122" i="15"/>
  <c r="AE122" i="15"/>
  <c r="AH122" i="15" s="1"/>
  <c r="AF122" i="15"/>
  <c r="AB123" i="15"/>
  <c r="D66" i="15" s="1"/>
  <c r="AC123" i="15"/>
  <c r="AD123" i="15"/>
  <c r="AE123" i="15"/>
  <c r="AH123" i="15" s="1"/>
  <c r="AF123" i="15"/>
  <c r="AB124" i="15"/>
  <c r="D67" i="15" s="1"/>
  <c r="AC124" i="15"/>
  <c r="AD124" i="15"/>
  <c r="AE124" i="15"/>
  <c r="D263" i="43"/>
  <c r="E263" i="43" s="1"/>
  <c r="F263" i="43" s="1"/>
  <c r="G263" i="43" s="1"/>
  <c r="H263" i="43" s="1"/>
  <c r="I263" i="43" s="1"/>
  <c r="D258" i="43"/>
  <c r="E258" i="43" s="1"/>
  <c r="F258" i="43" s="1"/>
  <c r="G258" i="43" s="1"/>
  <c r="H258" i="43" s="1"/>
  <c r="I258" i="43" s="1"/>
  <c r="D251" i="43"/>
  <c r="E251" i="43" s="1"/>
  <c r="F251" i="43" s="1"/>
  <c r="G251" i="43" s="1"/>
  <c r="H251" i="43" s="1"/>
  <c r="I251" i="43" s="1"/>
  <c r="D246" i="43"/>
  <c r="E246" i="43" s="1"/>
  <c r="F246" i="43" s="1"/>
  <c r="G246" i="43" s="1"/>
  <c r="H246" i="43" s="1"/>
  <c r="I246" i="43" s="1"/>
  <c r="D239" i="43"/>
  <c r="E239" i="43" s="1"/>
  <c r="F239" i="43" s="1"/>
  <c r="G239" i="43" s="1"/>
  <c r="H239" i="43" s="1"/>
  <c r="I239" i="43" s="1"/>
  <c r="D234" i="43"/>
  <c r="E234" i="43" s="1"/>
  <c r="F234" i="43" s="1"/>
  <c r="G234" i="43" s="1"/>
  <c r="H234" i="43" s="1"/>
  <c r="I234" i="43" s="1"/>
  <c r="D227" i="43"/>
  <c r="E227" i="43" s="1"/>
  <c r="F227" i="43" s="1"/>
  <c r="G227" i="43" s="1"/>
  <c r="H227" i="43" s="1"/>
  <c r="I227" i="43" s="1"/>
  <c r="D222" i="43"/>
  <c r="E222" i="43" s="1"/>
  <c r="F222" i="43" s="1"/>
  <c r="G222" i="43" s="1"/>
  <c r="H222" i="43" s="1"/>
  <c r="I222" i="43" s="1"/>
  <c r="D215" i="43"/>
  <c r="E215" i="43" s="1"/>
  <c r="F215" i="43" s="1"/>
  <c r="G215" i="43" s="1"/>
  <c r="H215" i="43" s="1"/>
  <c r="I215" i="43" s="1"/>
  <c r="D210" i="43"/>
  <c r="E210" i="43" s="1"/>
  <c r="F210" i="43" s="1"/>
  <c r="G210" i="43" s="1"/>
  <c r="H210" i="43" s="1"/>
  <c r="I210" i="43" s="1"/>
  <c r="D203" i="43"/>
  <c r="E203" i="43" s="1"/>
  <c r="F203" i="43" s="1"/>
  <c r="G203" i="43" s="1"/>
  <c r="H203" i="43" s="1"/>
  <c r="I203" i="43" s="1"/>
  <c r="D198" i="43"/>
  <c r="E198" i="43" s="1"/>
  <c r="F198" i="43" s="1"/>
  <c r="G198" i="43" s="1"/>
  <c r="H198" i="43" s="1"/>
  <c r="I198" i="43" s="1"/>
  <c r="D191" i="43"/>
  <c r="E191" i="43" s="1"/>
  <c r="F191" i="43" s="1"/>
  <c r="G191" i="43" s="1"/>
  <c r="H191" i="43" s="1"/>
  <c r="I191" i="43" s="1"/>
  <c r="D186" i="43"/>
  <c r="E186" i="43" s="1"/>
  <c r="F186" i="43" s="1"/>
  <c r="G186" i="43" s="1"/>
  <c r="H186" i="43" s="1"/>
  <c r="I186" i="43" s="1"/>
  <c r="D179" i="43"/>
  <c r="E179" i="43" s="1"/>
  <c r="F179" i="43" s="1"/>
  <c r="G179" i="43" s="1"/>
  <c r="H179" i="43" s="1"/>
  <c r="I179" i="43" s="1"/>
  <c r="D174" i="43"/>
  <c r="E174" i="43" s="1"/>
  <c r="F174" i="43" s="1"/>
  <c r="G174" i="43" s="1"/>
  <c r="H174" i="43" s="1"/>
  <c r="I174" i="43" s="1"/>
  <c r="D167" i="43"/>
  <c r="E167" i="43" s="1"/>
  <c r="F167" i="43" s="1"/>
  <c r="G167" i="43" s="1"/>
  <c r="H167" i="43" s="1"/>
  <c r="I167" i="43" s="1"/>
  <c r="D162" i="43"/>
  <c r="E162" i="43" s="1"/>
  <c r="F162" i="43" s="1"/>
  <c r="G162" i="43" s="1"/>
  <c r="H162" i="43" s="1"/>
  <c r="I162" i="43" s="1"/>
  <c r="D155" i="43"/>
  <c r="E155" i="43" s="1"/>
  <c r="F155" i="43" s="1"/>
  <c r="G155" i="43" s="1"/>
  <c r="H155" i="43" s="1"/>
  <c r="I155" i="43" s="1"/>
  <c r="D150" i="43"/>
  <c r="E150" i="43" s="1"/>
  <c r="F150" i="43" s="1"/>
  <c r="G150" i="43" s="1"/>
  <c r="H150" i="43" s="1"/>
  <c r="I150" i="43" s="1"/>
  <c r="B66" i="15" l="1"/>
  <c r="B64" i="15"/>
  <c r="B62" i="15"/>
  <c r="B60" i="15"/>
  <c r="B58" i="15"/>
  <c r="B67" i="15"/>
  <c r="B65" i="15"/>
  <c r="B63" i="15"/>
  <c r="B61" i="15"/>
  <c r="B59" i="15"/>
  <c r="F61" i="15"/>
  <c r="J60" i="15"/>
  <c r="J65" i="15"/>
  <c r="E66" i="15"/>
  <c r="I66" i="15"/>
  <c r="G64" i="15"/>
  <c r="H62" i="15"/>
  <c r="F60" i="15"/>
  <c r="I58" i="15"/>
  <c r="G66" i="15"/>
  <c r="I64" i="15"/>
  <c r="E64" i="15"/>
  <c r="J62" i="15"/>
  <c r="F62" i="15"/>
  <c r="H60" i="15"/>
  <c r="G58" i="15"/>
  <c r="AF124" i="15"/>
  <c r="AH124" i="15"/>
  <c r="J66" i="15"/>
  <c r="H66" i="15"/>
  <c r="F66" i="15"/>
  <c r="J64" i="15"/>
  <c r="H64" i="15"/>
  <c r="F64" i="15"/>
  <c r="I62" i="15"/>
  <c r="G62" i="15"/>
  <c r="E62" i="15"/>
  <c r="I60" i="15"/>
  <c r="G60" i="15"/>
  <c r="E60" i="15"/>
  <c r="J58" i="15"/>
  <c r="H58" i="15"/>
  <c r="F58" i="15"/>
  <c r="N131" i="58"/>
  <c r="H12" i="58" s="1"/>
  <c r="AO41" i="14" s="1"/>
  <c r="N107" i="58"/>
  <c r="H11" i="58" s="1"/>
  <c r="AO40" i="14" s="1"/>
  <c r="N83" i="58"/>
  <c r="H10" i="58" s="1"/>
  <c r="AO39" i="14" s="1"/>
  <c r="N59" i="58"/>
  <c r="H9" i="58" s="1"/>
  <c r="AO38" i="14" s="1"/>
  <c r="N35" i="58"/>
  <c r="H8" i="58" s="1"/>
  <c r="AO37" i="14" s="1"/>
  <c r="O23" i="58"/>
  <c r="L65" i="15"/>
  <c r="E65" i="15"/>
  <c r="G65" i="15"/>
  <c r="I65" i="15"/>
  <c r="E63" i="15"/>
  <c r="G63" i="15"/>
  <c r="I63" i="15"/>
  <c r="E61" i="15"/>
  <c r="G61" i="15"/>
  <c r="I61" i="15"/>
  <c r="E59" i="15"/>
  <c r="G59" i="15"/>
  <c r="I59" i="15"/>
  <c r="H65" i="15"/>
  <c r="J63" i="15"/>
  <c r="F63" i="15"/>
  <c r="H61" i="15"/>
  <c r="J59" i="15"/>
  <c r="F59" i="15"/>
  <c r="M63" i="15"/>
  <c r="O63" i="15"/>
  <c r="M61" i="15"/>
  <c r="O61" i="15"/>
  <c r="Q61" i="15"/>
  <c r="M59" i="15"/>
  <c r="O59" i="15"/>
  <c r="Q59" i="15"/>
  <c r="Q66" i="15"/>
  <c r="O66" i="15"/>
  <c r="M66" i="15"/>
  <c r="Q65" i="15"/>
  <c r="O65" i="15"/>
  <c r="M65" i="15"/>
  <c r="Q64" i="15"/>
  <c r="O64" i="15"/>
  <c r="M64" i="15"/>
  <c r="Q63" i="15"/>
  <c r="N63" i="15"/>
  <c r="P62" i="15"/>
  <c r="N61" i="15"/>
  <c r="P60" i="15"/>
  <c r="N59" i="15"/>
  <c r="P58" i="15"/>
  <c r="M62" i="15"/>
  <c r="O62" i="15"/>
  <c r="Q62" i="15"/>
  <c r="M60" i="15"/>
  <c r="O60" i="15"/>
  <c r="Q60" i="15"/>
  <c r="M58" i="15"/>
  <c r="O58" i="15"/>
  <c r="Q58" i="15"/>
  <c r="P66" i="15"/>
  <c r="N66" i="15"/>
  <c r="P65" i="15"/>
  <c r="N65" i="15"/>
  <c r="P64" i="15"/>
  <c r="N64" i="15"/>
  <c r="P63" i="15"/>
  <c r="L63" i="15"/>
  <c r="N62" i="15"/>
  <c r="P61" i="15"/>
  <c r="L61" i="15"/>
  <c r="N60" i="15"/>
  <c r="P59" i="15"/>
  <c r="L59" i="15"/>
  <c r="N58" i="15"/>
  <c r="H67" i="15"/>
  <c r="J67" i="15"/>
  <c r="F67" i="15"/>
  <c r="I67" i="15"/>
  <c r="G67" i="15"/>
  <c r="E67" i="15"/>
  <c r="P67" i="15"/>
  <c r="N67" i="15"/>
  <c r="L67" i="15"/>
  <c r="Q67" i="15"/>
  <c r="O67" i="15"/>
  <c r="K240" i="7"/>
  <c r="K241" i="7"/>
  <c r="K242" i="7"/>
  <c r="K243" i="7"/>
  <c r="K244" i="7"/>
  <c r="K245" i="7"/>
  <c r="K246" i="7"/>
  <c r="K247" i="7"/>
  <c r="K248" i="7"/>
  <c r="K249" i="7"/>
  <c r="K51" i="7"/>
  <c r="K52" i="7"/>
  <c r="K53" i="7"/>
  <c r="K54" i="7"/>
  <c r="K55" i="7"/>
  <c r="K56" i="7"/>
  <c r="K57" i="7"/>
  <c r="K58" i="7"/>
  <c r="K59" i="7"/>
  <c r="K60" i="7"/>
  <c r="O131" i="58" l="1"/>
  <c r="I12" i="58" s="1"/>
  <c r="AP41" i="14" s="1"/>
  <c r="P131" i="58"/>
  <c r="J12" i="58" s="1"/>
  <c r="AQ41" i="14" s="1"/>
  <c r="O107" i="58"/>
  <c r="I11" i="58" s="1"/>
  <c r="AP40" i="14" s="1"/>
  <c r="P107" i="58"/>
  <c r="J11" i="58" s="1"/>
  <c r="AQ40" i="14" s="1"/>
  <c r="O83" i="58"/>
  <c r="I10" i="58" s="1"/>
  <c r="AP39" i="14" s="1"/>
  <c r="P83" i="58"/>
  <c r="J10" i="58" s="1"/>
  <c r="AQ39" i="14" s="1"/>
  <c r="O59" i="58"/>
  <c r="I9" i="58" s="1"/>
  <c r="AP38" i="14" s="1"/>
  <c r="P59" i="58"/>
  <c r="J9" i="58" s="1"/>
  <c r="AQ38" i="14" s="1"/>
  <c r="O35" i="58"/>
  <c r="I8" i="58" s="1"/>
  <c r="AP37" i="14" s="1"/>
  <c r="P23" i="58"/>
  <c r="P35" i="58" s="1"/>
  <c r="J8" i="58" s="1"/>
  <c r="AQ37" i="14" s="1"/>
  <c r="G240" i="7"/>
  <c r="L240" i="7" s="1"/>
  <c r="G241" i="7"/>
  <c r="L241" i="7" s="1"/>
  <c r="G242" i="7"/>
  <c r="L242" i="7" s="1"/>
  <c r="G243" i="7"/>
  <c r="L243" i="7" s="1"/>
  <c r="G244" i="7"/>
  <c r="L244" i="7" s="1"/>
  <c r="G245" i="7"/>
  <c r="L245" i="7" s="1"/>
  <c r="G246" i="7"/>
  <c r="L246" i="7" s="1"/>
  <c r="G247" i="7"/>
  <c r="L247" i="7" s="1"/>
  <c r="G248" i="7"/>
  <c r="L248" i="7" s="1"/>
  <c r="G249" i="7"/>
  <c r="L249" i="7" s="1"/>
  <c r="G51" i="7"/>
  <c r="L51" i="7" s="1"/>
  <c r="G52" i="7"/>
  <c r="L52" i="7" s="1"/>
  <c r="G53" i="7"/>
  <c r="L53" i="7" s="1"/>
  <c r="G54" i="7"/>
  <c r="L54" i="7" s="1"/>
  <c r="G55" i="7"/>
  <c r="L55" i="7" s="1"/>
  <c r="G56" i="7"/>
  <c r="L56" i="7" s="1"/>
  <c r="G57" i="7"/>
  <c r="L57" i="7" s="1"/>
  <c r="G58" i="7"/>
  <c r="L58" i="7" s="1"/>
  <c r="G59" i="7"/>
  <c r="L59" i="7" s="1"/>
  <c r="G60" i="7"/>
  <c r="L60" i="7" s="1"/>
  <c r="D263" i="34"/>
  <c r="E263" i="34" s="1"/>
  <c r="F263" i="34" s="1"/>
  <c r="G263" i="34" s="1"/>
  <c r="H263" i="34" s="1"/>
  <c r="I263" i="34" s="1"/>
  <c r="D258" i="34"/>
  <c r="E258" i="34" s="1"/>
  <c r="F258" i="34" s="1"/>
  <c r="G258" i="34" s="1"/>
  <c r="H258" i="34" s="1"/>
  <c r="I258" i="34" s="1"/>
  <c r="D251" i="34"/>
  <c r="E251" i="34" s="1"/>
  <c r="F251" i="34" s="1"/>
  <c r="G251" i="34" s="1"/>
  <c r="H251" i="34" s="1"/>
  <c r="I251" i="34" s="1"/>
  <c r="D246" i="34"/>
  <c r="E246" i="34" s="1"/>
  <c r="F246" i="34" s="1"/>
  <c r="G246" i="34" s="1"/>
  <c r="H246" i="34" s="1"/>
  <c r="I246" i="34" s="1"/>
  <c r="D239" i="34"/>
  <c r="E239" i="34" s="1"/>
  <c r="F239" i="34" s="1"/>
  <c r="G239" i="34" s="1"/>
  <c r="H239" i="34" s="1"/>
  <c r="I239" i="34" s="1"/>
  <c r="D234" i="34"/>
  <c r="E234" i="34" s="1"/>
  <c r="F234" i="34" s="1"/>
  <c r="G234" i="34" s="1"/>
  <c r="H234" i="34" s="1"/>
  <c r="I234" i="34" s="1"/>
  <c r="D227" i="34"/>
  <c r="E227" i="34" s="1"/>
  <c r="F227" i="34" s="1"/>
  <c r="G227" i="34" s="1"/>
  <c r="H227" i="34" s="1"/>
  <c r="I227" i="34" s="1"/>
  <c r="D222" i="34"/>
  <c r="E222" i="34" s="1"/>
  <c r="F222" i="34" s="1"/>
  <c r="G222" i="34" s="1"/>
  <c r="H222" i="34" s="1"/>
  <c r="I222" i="34" s="1"/>
  <c r="D215" i="34"/>
  <c r="E215" i="34" s="1"/>
  <c r="F215" i="34" s="1"/>
  <c r="G215" i="34" s="1"/>
  <c r="H215" i="34" s="1"/>
  <c r="I215" i="34" s="1"/>
  <c r="D210" i="34"/>
  <c r="E210" i="34" s="1"/>
  <c r="F210" i="34" s="1"/>
  <c r="G210" i="34" s="1"/>
  <c r="H210" i="34" s="1"/>
  <c r="I210" i="34" s="1"/>
  <c r="D203" i="34"/>
  <c r="E203" i="34" s="1"/>
  <c r="F203" i="34" s="1"/>
  <c r="G203" i="34" s="1"/>
  <c r="H203" i="34" s="1"/>
  <c r="I203" i="34" s="1"/>
  <c r="D198" i="34"/>
  <c r="E198" i="34" s="1"/>
  <c r="F198" i="34" s="1"/>
  <c r="G198" i="34" s="1"/>
  <c r="H198" i="34" s="1"/>
  <c r="I198" i="34" s="1"/>
  <c r="D191" i="34"/>
  <c r="E191" i="34" s="1"/>
  <c r="F191" i="34" s="1"/>
  <c r="G191" i="34" s="1"/>
  <c r="H191" i="34" s="1"/>
  <c r="I191" i="34" s="1"/>
  <c r="D186" i="34"/>
  <c r="E186" i="34" s="1"/>
  <c r="F186" i="34" s="1"/>
  <c r="G186" i="34" s="1"/>
  <c r="H186" i="34" s="1"/>
  <c r="I186" i="34" s="1"/>
  <c r="D179" i="34"/>
  <c r="E179" i="34" s="1"/>
  <c r="F179" i="34" s="1"/>
  <c r="G179" i="34" s="1"/>
  <c r="H179" i="34" s="1"/>
  <c r="I179" i="34" s="1"/>
  <c r="D174" i="34"/>
  <c r="E174" i="34" s="1"/>
  <c r="F174" i="34" s="1"/>
  <c r="G174" i="34" s="1"/>
  <c r="H174" i="34" s="1"/>
  <c r="I174" i="34" s="1"/>
  <c r="D167" i="34"/>
  <c r="E167" i="34" s="1"/>
  <c r="F167" i="34" s="1"/>
  <c r="G167" i="34" s="1"/>
  <c r="H167" i="34" s="1"/>
  <c r="I167" i="34" s="1"/>
  <c r="D162" i="34"/>
  <c r="E162" i="34" s="1"/>
  <c r="F162" i="34" s="1"/>
  <c r="G162" i="34" s="1"/>
  <c r="H162" i="34" s="1"/>
  <c r="I162" i="34" s="1"/>
  <c r="D155" i="34"/>
  <c r="E155" i="34" s="1"/>
  <c r="F155" i="34" s="1"/>
  <c r="G155" i="34" s="1"/>
  <c r="H155" i="34" s="1"/>
  <c r="I155" i="34" s="1"/>
  <c r="D150" i="34"/>
  <c r="E150" i="34" s="1"/>
  <c r="F150" i="34" s="1"/>
  <c r="G150" i="34" s="1"/>
  <c r="H150" i="34" s="1"/>
  <c r="I150" i="34" s="1"/>
  <c r="AE27" i="14"/>
  <c r="AD28" i="14"/>
  <c r="AE28" i="14"/>
  <c r="AD29" i="14"/>
  <c r="AE29" i="14"/>
  <c r="AD30" i="14"/>
  <c r="AE30" i="14"/>
  <c r="W121" i="37"/>
  <c r="E26" i="37" s="1"/>
  <c r="X121" i="37"/>
  <c r="Y121" i="37"/>
  <c r="Z121" i="37"/>
  <c r="W122" i="37"/>
  <c r="E27" i="37" s="1"/>
  <c r="X122" i="37"/>
  <c r="Y122" i="37"/>
  <c r="Z122" i="37"/>
  <c r="W123" i="37"/>
  <c r="E28" i="37" s="1"/>
  <c r="X123" i="37"/>
  <c r="Y123" i="37"/>
  <c r="Z123" i="37"/>
  <c r="W124" i="37"/>
  <c r="E29" i="37" s="1"/>
  <c r="X124" i="37"/>
  <c r="Y124" i="37"/>
  <c r="Z124" i="37"/>
  <c r="W125" i="37"/>
  <c r="E30" i="37" s="1"/>
  <c r="X125" i="37"/>
  <c r="Y125" i="37"/>
  <c r="Z125" i="37"/>
  <c r="W126" i="37"/>
  <c r="E31" i="37" s="1"/>
  <c r="X126" i="37"/>
  <c r="Y126" i="37"/>
  <c r="Z126" i="37"/>
  <c r="W127" i="37"/>
  <c r="E32" i="37" s="1"/>
  <c r="X127" i="37"/>
  <c r="Y127" i="37"/>
  <c r="Z127" i="37"/>
  <c r="W128" i="37"/>
  <c r="E33" i="37" s="1"/>
  <c r="X128" i="37"/>
  <c r="Y128" i="37"/>
  <c r="Z128" i="37"/>
  <c r="W129" i="37"/>
  <c r="E34" i="37" s="1"/>
  <c r="X129" i="37"/>
  <c r="Y129" i="37"/>
  <c r="Z129" i="37"/>
  <c r="W130" i="37"/>
  <c r="E35" i="37" s="1"/>
  <c r="X130" i="37"/>
  <c r="Y130" i="37"/>
  <c r="Z130" i="37"/>
  <c r="O121" i="37"/>
  <c r="O122" i="37"/>
  <c r="O123" i="37"/>
  <c r="O124" i="37"/>
  <c r="O125" i="37"/>
  <c r="O126" i="37"/>
  <c r="O127" i="37"/>
  <c r="O128" i="37"/>
  <c r="O129" i="37"/>
  <c r="O130" i="37"/>
  <c r="M249" i="7" l="1"/>
  <c r="I410" i="7"/>
  <c r="G410" i="7"/>
  <c r="E410" i="7"/>
  <c r="I409" i="7"/>
  <c r="G409" i="7"/>
  <c r="E409" i="7"/>
  <c r="H410" i="7"/>
  <c r="F410" i="7"/>
  <c r="D410" i="7"/>
  <c r="H409" i="7"/>
  <c r="F409" i="7"/>
  <c r="D409" i="7"/>
  <c r="M247" i="7"/>
  <c r="I394" i="7"/>
  <c r="G394" i="7"/>
  <c r="E394" i="7"/>
  <c r="I393" i="7"/>
  <c r="G393" i="7"/>
  <c r="E393" i="7"/>
  <c r="H394" i="7"/>
  <c r="F394" i="7"/>
  <c r="D394" i="7"/>
  <c r="H393" i="7"/>
  <c r="F393" i="7"/>
  <c r="D393" i="7"/>
  <c r="M245" i="7"/>
  <c r="M243" i="7"/>
  <c r="M241" i="7"/>
  <c r="M248" i="7"/>
  <c r="I402" i="7"/>
  <c r="G402" i="7"/>
  <c r="E402" i="7"/>
  <c r="I401" i="7"/>
  <c r="G401" i="7"/>
  <c r="E401" i="7"/>
  <c r="H402" i="7"/>
  <c r="F402" i="7"/>
  <c r="D402" i="7"/>
  <c r="H401" i="7"/>
  <c r="F401" i="7"/>
  <c r="D401" i="7"/>
  <c r="M246" i="7"/>
  <c r="I386" i="7"/>
  <c r="G386" i="7"/>
  <c r="E386" i="7"/>
  <c r="I385" i="7"/>
  <c r="G385" i="7"/>
  <c r="E385" i="7"/>
  <c r="H386" i="7"/>
  <c r="F386" i="7"/>
  <c r="D386" i="7"/>
  <c r="H385" i="7"/>
  <c r="F385" i="7"/>
  <c r="D385" i="7"/>
  <c r="M244" i="7"/>
  <c r="M242" i="7"/>
  <c r="M240" i="7"/>
  <c r="I221" i="7"/>
  <c r="G221" i="7"/>
  <c r="E221" i="7"/>
  <c r="I220" i="7"/>
  <c r="G220" i="7"/>
  <c r="E220" i="7"/>
  <c r="H221" i="7"/>
  <c r="F221" i="7"/>
  <c r="D221" i="7"/>
  <c r="H220" i="7"/>
  <c r="F220" i="7"/>
  <c r="D220" i="7"/>
  <c r="M60" i="7"/>
  <c r="I205" i="7"/>
  <c r="G205" i="7"/>
  <c r="E205" i="7"/>
  <c r="I204" i="7"/>
  <c r="G204" i="7"/>
  <c r="E204" i="7"/>
  <c r="H205" i="7"/>
  <c r="F205" i="7"/>
  <c r="D205" i="7"/>
  <c r="H204" i="7"/>
  <c r="F204" i="7"/>
  <c r="D204" i="7"/>
  <c r="M58" i="7"/>
  <c r="I189" i="7"/>
  <c r="G189" i="7"/>
  <c r="E189" i="7"/>
  <c r="I188" i="7"/>
  <c r="G188" i="7"/>
  <c r="E188" i="7"/>
  <c r="H189" i="7"/>
  <c r="F189" i="7"/>
  <c r="D189" i="7"/>
  <c r="H188" i="7"/>
  <c r="F188" i="7"/>
  <c r="D188" i="7"/>
  <c r="M56" i="7"/>
  <c r="I173" i="7"/>
  <c r="G173" i="7"/>
  <c r="E173" i="7"/>
  <c r="I172" i="7"/>
  <c r="G172" i="7"/>
  <c r="E172" i="7"/>
  <c r="H173" i="7"/>
  <c r="F173" i="7"/>
  <c r="D173" i="7"/>
  <c r="H172" i="7"/>
  <c r="F172" i="7"/>
  <c r="D172" i="7"/>
  <c r="M54" i="7"/>
  <c r="I157" i="7"/>
  <c r="G157" i="7"/>
  <c r="E157" i="7"/>
  <c r="I156" i="7"/>
  <c r="G156" i="7"/>
  <c r="E156" i="7"/>
  <c r="H157" i="7"/>
  <c r="F157" i="7"/>
  <c r="D157" i="7"/>
  <c r="H156" i="7"/>
  <c r="F156" i="7"/>
  <c r="D156" i="7"/>
  <c r="M52" i="7"/>
  <c r="I213" i="7"/>
  <c r="G213" i="7"/>
  <c r="E213" i="7"/>
  <c r="I212" i="7"/>
  <c r="G212" i="7"/>
  <c r="E212" i="7"/>
  <c r="H213" i="7"/>
  <c r="F213" i="7"/>
  <c r="D213" i="7"/>
  <c r="H212" i="7"/>
  <c r="F212" i="7"/>
  <c r="D212" i="7"/>
  <c r="M59" i="7"/>
  <c r="I197" i="7"/>
  <c r="G197" i="7"/>
  <c r="E197" i="7"/>
  <c r="I196" i="7"/>
  <c r="G196" i="7"/>
  <c r="E196" i="7"/>
  <c r="H197" i="7"/>
  <c r="F197" i="7"/>
  <c r="D197" i="7"/>
  <c r="H196" i="7"/>
  <c r="F196" i="7"/>
  <c r="D196" i="7"/>
  <c r="M57" i="7"/>
  <c r="I181" i="7"/>
  <c r="G181" i="7"/>
  <c r="E181" i="7"/>
  <c r="I180" i="7"/>
  <c r="G180" i="7"/>
  <c r="E180" i="7"/>
  <c r="H181" i="7"/>
  <c r="F181" i="7"/>
  <c r="D181" i="7"/>
  <c r="H180" i="7"/>
  <c r="F180" i="7"/>
  <c r="D180" i="7"/>
  <c r="M55" i="7"/>
  <c r="I165" i="7"/>
  <c r="G165" i="7"/>
  <c r="E165" i="7"/>
  <c r="I164" i="7"/>
  <c r="G164" i="7"/>
  <c r="E164" i="7"/>
  <c r="H165" i="7"/>
  <c r="F165" i="7"/>
  <c r="D165" i="7"/>
  <c r="H164" i="7"/>
  <c r="F164" i="7"/>
  <c r="D164" i="7"/>
  <c r="M53" i="7"/>
  <c r="I149" i="7"/>
  <c r="G149" i="7"/>
  <c r="E149" i="7"/>
  <c r="I148" i="7"/>
  <c r="G148" i="7"/>
  <c r="E148" i="7"/>
  <c r="H149" i="7"/>
  <c r="F149" i="7"/>
  <c r="D149" i="7"/>
  <c r="H148" i="7"/>
  <c r="F148" i="7"/>
  <c r="D148" i="7"/>
  <c r="M51" i="7"/>
  <c r="A1" i="58"/>
  <c r="C215" i="7"/>
  <c r="C293" i="34"/>
  <c r="C60" i="7"/>
  <c r="C59" i="7"/>
  <c r="C292" i="34"/>
  <c r="C207" i="7"/>
  <c r="C199" i="7"/>
  <c r="C58" i="7"/>
  <c r="C291" i="34"/>
  <c r="C57" i="7"/>
  <c r="C290" i="34"/>
  <c r="C191" i="7"/>
  <c r="C183" i="7"/>
  <c r="C289" i="34"/>
  <c r="C56" i="7"/>
  <c r="C55" i="7"/>
  <c r="C288" i="34"/>
  <c r="C175" i="7"/>
  <c r="C167" i="7"/>
  <c r="C54" i="7"/>
  <c r="C287" i="34"/>
  <c r="C53" i="7"/>
  <c r="C286" i="34"/>
  <c r="C159" i="7"/>
  <c r="C151" i="7"/>
  <c r="C285" i="34"/>
  <c r="C52" i="7"/>
  <c r="C143" i="7"/>
  <c r="C51" i="7"/>
  <c r="C284" i="34"/>
  <c r="C244" i="43"/>
  <c r="L244" i="43" s="1"/>
  <c r="C244" i="34"/>
  <c r="L244" i="34" s="1"/>
  <c r="C232" i="43"/>
  <c r="L232" i="43" s="1"/>
  <c r="C232" i="34"/>
  <c r="L232" i="34" s="1"/>
  <c r="C220" i="43"/>
  <c r="L220" i="43" s="1"/>
  <c r="C220" i="34"/>
  <c r="L220" i="34" s="1"/>
  <c r="C184" i="43"/>
  <c r="L184" i="43" s="1"/>
  <c r="C184" i="34"/>
  <c r="L184" i="34" s="1"/>
  <c r="C172" i="43"/>
  <c r="L172" i="43" s="1"/>
  <c r="C172" i="34"/>
  <c r="L172" i="34" s="1"/>
  <c r="C256" i="43"/>
  <c r="L256" i="43" s="1"/>
  <c r="C256" i="34"/>
  <c r="L256" i="34" s="1"/>
  <c r="C208" i="43"/>
  <c r="L208" i="43" s="1"/>
  <c r="C208" i="34"/>
  <c r="L208" i="34" s="1"/>
  <c r="C196" i="43"/>
  <c r="L196" i="43" s="1"/>
  <c r="C196" i="34"/>
  <c r="L196" i="34" s="1"/>
  <c r="C160" i="43"/>
  <c r="L160" i="43" s="1"/>
  <c r="C160" i="34"/>
  <c r="L160" i="34" s="1"/>
  <c r="C148" i="43"/>
  <c r="L148" i="43" s="1"/>
  <c r="C148" i="34"/>
  <c r="L148" i="34" s="1"/>
  <c r="E66" i="37"/>
  <c r="M66" i="37" s="1"/>
  <c r="E64" i="37"/>
  <c r="M64" i="37" s="1"/>
  <c r="E62" i="37"/>
  <c r="M62" i="37" s="1"/>
  <c r="E60" i="37"/>
  <c r="M60" i="37" s="1"/>
  <c r="E58" i="37"/>
  <c r="M58" i="37" s="1"/>
  <c r="E67" i="37"/>
  <c r="M67" i="37" s="1"/>
  <c r="E65" i="37"/>
  <c r="M65" i="37" s="1"/>
  <c r="E63" i="37"/>
  <c r="M63" i="37" s="1"/>
  <c r="E61" i="37"/>
  <c r="M61" i="37" s="1"/>
  <c r="E59" i="37"/>
  <c r="M59" i="37" s="1"/>
  <c r="E331" i="38"/>
  <c r="F331" i="38" s="1"/>
  <c r="G331" i="38" s="1"/>
  <c r="H331" i="38" s="1"/>
  <c r="I331" i="38" s="1"/>
  <c r="J331" i="38" s="1"/>
  <c r="E319" i="38"/>
  <c r="F319" i="38" s="1"/>
  <c r="G319" i="38" s="1"/>
  <c r="H319" i="38" s="1"/>
  <c r="I319" i="38" s="1"/>
  <c r="J319" i="38" s="1"/>
  <c r="E307" i="38"/>
  <c r="F307" i="38" s="1"/>
  <c r="G307" i="38" s="1"/>
  <c r="H307" i="38" s="1"/>
  <c r="I307" i="38" s="1"/>
  <c r="J307" i="38" s="1"/>
  <c r="E295" i="38"/>
  <c r="F295" i="38" s="1"/>
  <c r="G295" i="38" s="1"/>
  <c r="H295" i="38" s="1"/>
  <c r="I295" i="38" s="1"/>
  <c r="J295" i="38" s="1"/>
  <c r="E283" i="38"/>
  <c r="F283" i="38" s="1"/>
  <c r="G283" i="38" s="1"/>
  <c r="H283" i="38" s="1"/>
  <c r="I283" i="38" s="1"/>
  <c r="J283" i="38" s="1"/>
  <c r="E271" i="38"/>
  <c r="F271" i="38" s="1"/>
  <c r="G271" i="38" s="1"/>
  <c r="H271" i="38" s="1"/>
  <c r="I271" i="38" s="1"/>
  <c r="J271" i="38" s="1"/>
  <c r="E259" i="38"/>
  <c r="F259" i="38" s="1"/>
  <c r="G259" i="38" s="1"/>
  <c r="H259" i="38" s="1"/>
  <c r="I259" i="38" s="1"/>
  <c r="J259" i="38" s="1"/>
  <c r="E247" i="38"/>
  <c r="F247" i="38" s="1"/>
  <c r="G247" i="38" s="1"/>
  <c r="H247" i="38" s="1"/>
  <c r="I247" i="38" s="1"/>
  <c r="J247" i="38" s="1"/>
  <c r="E235" i="38"/>
  <c r="F235" i="38" s="1"/>
  <c r="G235" i="38" s="1"/>
  <c r="H235" i="38" s="1"/>
  <c r="I235" i="38" s="1"/>
  <c r="J235" i="38" s="1"/>
  <c r="E223" i="38"/>
  <c r="F223" i="38" s="1"/>
  <c r="G223" i="38" s="1"/>
  <c r="H223" i="38" s="1"/>
  <c r="I223" i="38" s="1"/>
  <c r="J223" i="38" s="1"/>
  <c r="U69" i="38"/>
  <c r="V69" i="38"/>
  <c r="W69" i="38"/>
  <c r="X69" i="38"/>
  <c r="J70" i="38"/>
  <c r="K70" i="38"/>
  <c r="L70" i="38"/>
  <c r="M70" i="38"/>
  <c r="N70" i="38"/>
  <c r="I70" i="38"/>
  <c r="U60" i="38"/>
  <c r="V60" i="38"/>
  <c r="W60" i="38"/>
  <c r="X60" i="38"/>
  <c r="U61" i="38"/>
  <c r="V61" i="38"/>
  <c r="W61" i="38"/>
  <c r="X61" i="38"/>
  <c r="U62" i="38"/>
  <c r="V62" i="38"/>
  <c r="W62" i="38"/>
  <c r="X62" i="38"/>
  <c r="U63" i="38"/>
  <c r="V63" i="38"/>
  <c r="W63" i="38"/>
  <c r="X63" i="38"/>
  <c r="U64" i="38"/>
  <c r="V64" i="38"/>
  <c r="W64" i="38"/>
  <c r="X64" i="38"/>
  <c r="U65" i="38"/>
  <c r="V65" i="38"/>
  <c r="W65" i="38"/>
  <c r="X65" i="38"/>
  <c r="U66" i="38"/>
  <c r="V66" i="38"/>
  <c r="W66" i="38"/>
  <c r="X66" i="38"/>
  <c r="U67" i="38"/>
  <c r="V67" i="38"/>
  <c r="W67" i="38"/>
  <c r="X67" i="38"/>
  <c r="U68" i="38"/>
  <c r="V68" i="38"/>
  <c r="W68" i="38"/>
  <c r="X68" i="38"/>
  <c r="O286" i="34" l="1"/>
  <c r="K286" i="34" s="1"/>
  <c r="O287" i="34"/>
  <c r="K287" i="34" s="1"/>
  <c r="O288" i="34"/>
  <c r="K288" i="34" s="1"/>
  <c r="O290" i="34"/>
  <c r="K290" i="34" s="1"/>
  <c r="O291" i="34"/>
  <c r="K291" i="34" s="1"/>
  <c r="R291" i="34" s="1"/>
  <c r="O292" i="34"/>
  <c r="K292" i="34" s="1"/>
  <c r="O284" i="34"/>
  <c r="K284" i="34" s="1"/>
  <c r="O285" i="34"/>
  <c r="K285" i="34" s="1"/>
  <c r="R285" i="34" s="1"/>
  <c r="O289" i="34"/>
  <c r="K289" i="34" s="1"/>
  <c r="R289" i="34" s="1"/>
  <c r="O293" i="34"/>
  <c r="K293" i="34" s="1"/>
  <c r="R293" i="34" s="1"/>
  <c r="Q62" i="37"/>
  <c r="R62" i="37"/>
  <c r="H65" i="37"/>
  <c r="K65" i="37"/>
  <c r="O59" i="37"/>
  <c r="O67" i="37"/>
  <c r="H66" i="37"/>
  <c r="O61" i="37"/>
  <c r="O65" i="37"/>
  <c r="J60" i="37"/>
  <c r="P65" i="37"/>
  <c r="F64" i="37"/>
  <c r="N64" i="37"/>
  <c r="I60" i="37"/>
  <c r="N59" i="37"/>
  <c r="P67" i="37"/>
  <c r="R60" i="37"/>
  <c r="G64" i="37"/>
  <c r="J58" i="37"/>
  <c r="F63" i="37"/>
  <c r="J67" i="37"/>
  <c r="N66" i="37"/>
  <c r="K58" i="37"/>
  <c r="I62" i="37"/>
  <c r="O58" i="37"/>
  <c r="Q63" i="37"/>
  <c r="O66" i="37"/>
  <c r="F58" i="37"/>
  <c r="H59" i="37"/>
  <c r="H62" i="37"/>
  <c r="J63" i="37"/>
  <c r="F67" i="37"/>
  <c r="P58" i="37"/>
  <c r="R59" i="37"/>
  <c r="N62" i="37"/>
  <c r="P63" i="37"/>
  <c r="R66" i="37"/>
  <c r="G58" i="37"/>
  <c r="G66" i="37"/>
  <c r="V1" i="58"/>
  <c r="E33" i="1"/>
  <c r="H33" i="1" s="1"/>
  <c r="Q58" i="37"/>
  <c r="Q59" i="37"/>
  <c r="O62" i="37"/>
  <c r="O63" i="37"/>
  <c r="Q66" i="37"/>
  <c r="Q67" i="37"/>
  <c r="H58" i="37"/>
  <c r="F59" i="37"/>
  <c r="J59" i="37"/>
  <c r="F62" i="37"/>
  <c r="J62" i="37"/>
  <c r="H63" i="37"/>
  <c r="F66" i="37"/>
  <c r="J66" i="37"/>
  <c r="H67" i="37"/>
  <c r="N58" i="37"/>
  <c r="R58" i="37"/>
  <c r="P59" i="37"/>
  <c r="P62" i="37"/>
  <c r="N63" i="37"/>
  <c r="R63" i="37"/>
  <c r="P66" i="37"/>
  <c r="N67" i="37"/>
  <c r="R67" i="37"/>
  <c r="I58" i="37"/>
  <c r="K59" i="37"/>
  <c r="G62" i="37"/>
  <c r="K62" i="37"/>
  <c r="I66" i="37"/>
  <c r="G59" i="37"/>
  <c r="I63" i="37"/>
  <c r="D235" i="38"/>
  <c r="D259" i="38"/>
  <c r="D283" i="38"/>
  <c r="D307" i="38"/>
  <c r="D331" i="38"/>
  <c r="O60" i="37"/>
  <c r="O64" i="37"/>
  <c r="F60" i="37"/>
  <c r="H61" i="37"/>
  <c r="J64" i="37"/>
  <c r="N60" i="37"/>
  <c r="P61" i="37"/>
  <c r="R64" i="37"/>
  <c r="G61" i="37"/>
  <c r="K64" i="37"/>
  <c r="D223" i="38"/>
  <c r="D247" i="38"/>
  <c r="D271" i="38"/>
  <c r="D295" i="38"/>
  <c r="Q60" i="37"/>
  <c r="Q61" i="37"/>
  <c r="Q64" i="37"/>
  <c r="Q65" i="37"/>
  <c r="H60" i="37"/>
  <c r="F61" i="37"/>
  <c r="J61" i="37"/>
  <c r="H64" i="37"/>
  <c r="F65" i="37"/>
  <c r="J65" i="37"/>
  <c r="P60" i="37"/>
  <c r="N61" i="37"/>
  <c r="R61" i="37"/>
  <c r="P64" i="37"/>
  <c r="N65" i="37"/>
  <c r="R65" i="37"/>
  <c r="G60" i="37"/>
  <c r="K60" i="37"/>
  <c r="K61" i="37"/>
  <c r="I64" i="37"/>
  <c r="G65" i="37"/>
  <c r="I59" i="37"/>
  <c r="G63" i="37"/>
  <c r="K63" i="37"/>
  <c r="K66" i="37"/>
  <c r="I67" i="37"/>
  <c r="G67" i="37"/>
  <c r="K67" i="37"/>
  <c r="I61" i="37"/>
  <c r="I65" i="37"/>
  <c r="R69" i="38"/>
  <c r="S69" i="38" s="1"/>
  <c r="D319" i="38"/>
  <c r="R68" i="38"/>
  <c r="S68" i="38" s="1"/>
  <c r="R66" i="38"/>
  <c r="S66" i="38" s="1"/>
  <c r="R64" i="38"/>
  <c r="R62" i="38"/>
  <c r="R60" i="38"/>
  <c r="R67" i="38"/>
  <c r="T67" i="38" s="1"/>
  <c r="R65" i="38"/>
  <c r="R63" i="38"/>
  <c r="R61" i="38"/>
  <c r="AB106" i="15"/>
  <c r="AB107" i="15"/>
  <c r="AB108" i="15"/>
  <c r="AB109" i="15"/>
  <c r="AB110" i="15"/>
  <c r="AB111" i="15"/>
  <c r="AB112" i="15"/>
  <c r="AB113" i="15"/>
  <c r="AB114" i="15"/>
  <c r="AB105" i="15"/>
  <c r="T61" i="38" l="1"/>
  <c r="T65" i="38"/>
  <c r="T60" i="38"/>
  <c r="T64" i="38"/>
  <c r="T63" i="38"/>
  <c r="S62" i="38"/>
  <c r="R287" i="34"/>
  <c r="P287" i="34"/>
  <c r="S291" i="34"/>
  <c r="J291" i="34" s="1"/>
  <c r="P285" i="34"/>
  <c r="P293" i="34"/>
  <c r="P291" i="34"/>
  <c r="S289" i="34"/>
  <c r="S287" i="34"/>
  <c r="P289" i="34"/>
  <c r="S293" i="34"/>
  <c r="J293" i="34" s="1"/>
  <c r="S285" i="34"/>
  <c r="J285" i="34" s="1"/>
  <c r="R288" i="34"/>
  <c r="Q288" i="34"/>
  <c r="S288" i="34"/>
  <c r="P288" i="34"/>
  <c r="R292" i="34"/>
  <c r="Q292" i="34"/>
  <c r="S292" i="34"/>
  <c r="P292" i="34"/>
  <c r="R284" i="34"/>
  <c r="Q284" i="34"/>
  <c r="S284" i="34"/>
  <c r="P284" i="34"/>
  <c r="R290" i="34"/>
  <c r="Q290" i="34"/>
  <c r="S290" i="34"/>
  <c r="P290" i="34"/>
  <c r="R286" i="34"/>
  <c r="Q286" i="34"/>
  <c r="S286" i="34"/>
  <c r="P286" i="34"/>
  <c r="Q293" i="34"/>
  <c r="Q289" i="34"/>
  <c r="Q285" i="34"/>
  <c r="Q291" i="34"/>
  <c r="Q287" i="34"/>
  <c r="J289" i="34"/>
  <c r="J288" i="34"/>
  <c r="T69" i="38"/>
  <c r="S64" i="38"/>
  <c r="T68" i="38"/>
  <c r="S60" i="38"/>
  <c r="S63" i="38"/>
  <c r="S67" i="38"/>
  <c r="T62" i="38"/>
  <c r="T66" i="38"/>
  <c r="S61" i="38"/>
  <c r="S65" i="38"/>
  <c r="L76" i="15"/>
  <c r="M76" i="15" s="1"/>
  <c r="N76" i="15" s="1"/>
  <c r="O76" i="15" s="1"/>
  <c r="P76" i="15" s="1"/>
  <c r="Q76" i="15" s="1"/>
  <c r="E76" i="15"/>
  <c r="F76" i="15" s="1"/>
  <c r="G76" i="15" s="1"/>
  <c r="H76" i="15" s="1"/>
  <c r="I76" i="15" s="1"/>
  <c r="J76" i="15" s="1"/>
  <c r="J287" i="34" l="1"/>
  <c r="J284" i="34"/>
  <c r="J286" i="34"/>
  <c r="J290" i="34"/>
  <c r="J292" i="34"/>
  <c r="L68" i="3"/>
  <c r="M68" i="3"/>
  <c r="N68" i="3"/>
  <c r="O68" i="3"/>
  <c r="P68" i="3"/>
  <c r="K68" i="3"/>
  <c r="L104" i="3"/>
  <c r="M104" i="3"/>
  <c r="N104" i="3"/>
  <c r="O104" i="3"/>
  <c r="P104" i="3"/>
  <c r="K104" i="3"/>
  <c r="L140" i="3"/>
  <c r="M140" i="3"/>
  <c r="N140" i="3"/>
  <c r="O140" i="3"/>
  <c r="P140" i="3"/>
  <c r="K140" i="3"/>
  <c r="L176" i="3"/>
  <c r="M176" i="3"/>
  <c r="N176" i="3"/>
  <c r="O176" i="3"/>
  <c r="P176" i="3"/>
  <c r="K176" i="3"/>
  <c r="L212" i="3"/>
  <c r="M212" i="3"/>
  <c r="N212" i="3"/>
  <c r="O212" i="3"/>
  <c r="P212" i="3"/>
  <c r="K212" i="3"/>
  <c r="L248" i="3"/>
  <c r="M248" i="3"/>
  <c r="N248" i="3"/>
  <c r="O248" i="3"/>
  <c r="P248" i="3"/>
  <c r="K248" i="3"/>
  <c r="L284" i="3"/>
  <c r="M284" i="3"/>
  <c r="N284" i="3"/>
  <c r="O284" i="3"/>
  <c r="P284" i="3"/>
  <c r="K284" i="3"/>
  <c r="L320" i="3"/>
  <c r="M320" i="3"/>
  <c r="N320" i="3"/>
  <c r="O320" i="3"/>
  <c r="P320" i="3"/>
  <c r="K320" i="3"/>
  <c r="L356" i="3"/>
  <c r="M356" i="3"/>
  <c r="N356" i="3"/>
  <c r="O356" i="3"/>
  <c r="P356" i="3"/>
  <c r="K356" i="3"/>
  <c r="L392" i="3"/>
  <c r="M392" i="3"/>
  <c r="N392" i="3"/>
  <c r="O392" i="3"/>
  <c r="P392" i="3"/>
  <c r="K392" i="3"/>
  <c r="L68" i="56"/>
  <c r="M68" i="56"/>
  <c r="N68" i="56"/>
  <c r="O68" i="56"/>
  <c r="P68" i="56"/>
  <c r="K68" i="56"/>
  <c r="L104" i="56"/>
  <c r="M104" i="56"/>
  <c r="N104" i="56"/>
  <c r="O104" i="56"/>
  <c r="P104" i="56"/>
  <c r="K104" i="56"/>
  <c r="L140" i="56"/>
  <c r="M140" i="56"/>
  <c r="N140" i="56"/>
  <c r="O140" i="56"/>
  <c r="P140" i="56"/>
  <c r="K140" i="56"/>
  <c r="L176" i="56"/>
  <c r="M176" i="56"/>
  <c r="N176" i="56"/>
  <c r="O176" i="56"/>
  <c r="P176" i="56"/>
  <c r="K176" i="56"/>
  <c r="L212" i="56"/>
  <c r="M212" i="56"/>
  <c r="N212" i="56"/>
  <c r="O212" i="56"/>
  <c r="P212" i="56"/>
  <c r="K212" i="56"/>
  <c r="L248" i="56"/>
  <c r="M248" i="56"/>
  <c r="N248" i="56"/>
  <c r="O248" i="56"/>
  <c r="P248" i="56"/>
  <c r="K248" i="56"/>
  <c r="L284" i="56"/>
  <c r="M284" i="56"/>
  <c r="N284" i="56"/>
  <c r="O284" i="56"/>
  <c r="P284" i="56"/>
  <c r="K284" i="56"/>
  <c r="L320" i="56"/>
  <c r="M320" i="56"/>
  <c r="N320" i="56"/>
  <c r="O320" i="56"/>
  <c r="P320" i="56"/>
  <c r="K320" i="56"/>
  <c r="L356" i="56"/>
  <c r="M356" i="56"/>
  <c r="N356" i="56"/>
  <c r="O356" i="56"/>
  <c r="P356" i="56"/>
  <c r="K356" i="56"/>
  <c r="L392" i="56"/>
  <c r="M392" i="56"/>
  <c r="N392" i="56"/>
  <c r="O392" i="56"/>
  <c r="P392" i="56"/>
  <c r="K392" i="56"/>
  <c r="AD106" i="15" l="1"/>
  <c r="AD107" i="15"/>
  <c r="AD108" i="15"/>
  <c r="AD109" i="15"/>
  <c r="AD110" i="15"/>
  <c r="AD111" i="15"/>
  <c r="AD112" i="15"/>
  <c r="AD113" i="15"/>
  <c r="AD114" i="15"/>
  <c r="AD105" i="15"/>
  <c r="D50" i="1" l="1"/>
  <c r="Y254" i="50"/>
  <c r="Y255" i="50"/>
  <c r="Y256" i="50"/>
  <c r="Y257" i="50"/>
  <c r="Y258" i="50"/>
  <c r="Y259" i="50"/>
  <c r="Y260" i="50"/>
  <c r="Y261" i="50"/>
  <c r="Y262" i="50"/>
  <c r="Y253" i="50"/>
  <c r="Y39" i="50"/>
  <c r="Y40" i="50"/>
  <c r="Y41" i="50"/>
  <c r="Y42" i="50"/>
  <c r="Y43" i="50"/>
  <c r="Y44" i="50"/>
  <c r="Y45" i="50"/>
  <c r="Y46" i="50"/>
  <c r="Y47" i="50"/>
  <c r="Y38" i="50"/>
  <c r="AS237" i="50"/>
  <c r="AT237" i="50" s="1"/>
  <c r="AU237" i="50" s="1"/>
  <c r="AV237" i="50" s="1"/>
  <c r="AW237" i="50" s="1"/>
  <c r="AX237" i="50" s="1"/>
  <c r="AS224" i="50"/>
  <c r="AT224" i="50" s="1"/>
  <c r="AU224" i="50" s="1"/>
  <c r="AV224" i="50" s="1"/>
  <c r="AW224" i="50" s="1"/>
  <c r="AX224" i="50" s="1"/>
  <c r="AS21" i="50"/>
  <c r="AT21" i="50" s="1"/>
  <c r="AU21" i="50" s="1"/>
  <c r="AV21" i="50" s="1"/>
  <c r="AW21" i="50" s="1"/>
  <c r="AX21" i="50" s="1"/>
  <c r="AS12" i="50"/>
  <c r="AT12" i="50" s="1"/>
  <c r="AU12" i="50" s="1"/>
  <c r="AV12" i="50" s="1"/>
  <c r="AW12" i="50" s="1"/>
  <c r="AX12" i="50" s="1"/>
  <c r="AJ252" i="50"/>
  <c r="AK252" i="50" s="1"/>
  <c r="AL252" i="50" s="1"/>
  <c r="AM252" i="50" s="1"/>
  <c r="AN252" i="50" s="1"/>
  <c r="AO252" i="50" s="1"/>
  <c r="AD252" i="50"/>
  <c r="AE252" i="50" s="1"/>
  <c r="AF252" i="50" s="1"/>
  <c r="AG252" i="50" s="1"/>
  <c r="AH252" i="50" s="1"/>
  <c r="AI252" i="50" s="1"/>
  <c r="AL237" i="50"/>
  <c r="AM237" i="50" s="1"/>
  <c r="AN237" i="50" s="1"/>
  <c r="AO237" i="50" s="1"/>
  <c r="AP237" i="50" s="1"/>
  <c r="AQ237" i="50" s="1"/>
  <c r="AE237" i="50"/>
  <c r="AF237" i="50" s="1"/>
  <c r="AG237" i="50" s="1"/>
  <c r="AH237" i="50" s="1"/>
  <c r="AI237" i="50" s="1"/>
  <c r="AJ237" i="50" s="1"/>
  <c r="AL224" i="50"/>
  <c r="AM224" i="50" s="1"/>
  <c r="AN224" i="50" s="1"/>
  <c r="AO224" i="50" s="1"/>
  <c r="AP224" i="50" s="1"/>
  <c r="AQ224" i="50" s="1"/>
  <c r="AE224" i="50"/>
  <c r="AF224" i="50" s="1"/>
  <c r="AG224" i="50" s="1"/>
  <c r="AH224" i="50" s="1"/>
  <c r="AI224" i="50" s="1"/>
  <c r="AJ224" i="50" s="1"/>
  <c r="AJ37" i="50"/>
  <c r="AK37" i="50" s="1"/>
  <c r="AL37" i="50" s="1"/>
  <c r="AM37" i="50" s="1"/>
  <c r="AN37" i="50" s="1"/>
  <c r="AO37" i="50" s="1"/>
  <c r="AD37" i="50"/>
  <c r="AE37" i="50" s="1"/>
  <c r="AF37" i="50" s="1"/>
  <c r="AG37" i="50" s="1"/>
  <c r="AH37" i="50" s="1"/>
  <c r="AI37" i="50" s="1"/>
  <c r="AL21" i="50"/>
  <c r="AM21" i="50" s="1"/>
  <c r="AN21" i="50" s="1"/>
  <c r="AO21" i="50" s="1"/>
  <c r="AP21" i="50" s="1"/>
  <c r="AQ21" i="50" s="1"/>
  <c r="AE21" i="50"/>
  <c r="AF21" i="50" s="1"/>
  <c r="AG21" i="50" s="1"/>
  <c r="AH21" i="50" s="1"/>
  <c r="AI21" i="50" s="1"/>
  <c r="AJ21" i="50" s="1"/>
  <c r="AL12" i="50"/>
  <c r="AM12" i="50" s="1"/>
  <c r="AN12" i="50" s="1"/>
  <c r="AO12" i="50" s="1"/>
  <c r="AP12" i="50" s="1"/>
  <c r="AQ12" i="50" s="1"/>
  <c r="AE12" i="50"/>
  <c r="AF12" i="50" s="1"/>
  <c r="AG12" i="50" s="1"/>
  <c r="AH12" i="50" s="1"/>
  <c r="AI12" i="50" s="1"/>
  <c r="AJ12" i="50" s="1"/>
  <c r="AA262" i="50"/>
  <c r="Z262" i="50"/>
  <c r="AA261" i="50"/>
  <c r="Z261" i="50"/>
  <c r="AA260" i="50"/>
  <c r="Z260" i="50"/>
  <c r="AA259" i="50"/>
  <c r="Z259" i="50"/>
  <c r="AA258" i="50"/>
  <c r="Z258" i="50"/>
  <c r="AA257" i="50"/>
  <c r="Z257" i="50"/>
  <c r="AA256" i="50"/>
  <c r="Z256" i="50"/>
  <c r="AA255" i="50"/>
  <c r="Z255" i="50"/>
  <c r="Z254" i="50"/>
  <c r="Z253" i="50"/>
  <c r="AA40" i="50"/>
  <c r="AA41" i="50"/>
  <c r="AA42" i="50"/>
  <c r="AA43" i="50"/>
  <c r="AA44" i="50"/>
  <c r="AA45" i="50"/>
  <c r="AA46" i="50"/>
  <c r="AA47" i="50"/>
  <c r="Z39" i="50"/>
  <c r="Z40" i="50"/>
  <c r="Z41" i="50"/>
  <c r="Z42" i="50"/>
  <c r="Z43" i="50"/>
  <c r="Z44" i="50"/>
  <c r="Z45" i="50"/>
  <c r="Z46" i="50"/>
  <c r="Z47" i="50"/>
  <c r="Z38" i="50"/>
  <c r="O109" i="15"/>
  <c r="O110" i="15"/>
  <c r="X112" i="37"/>
  <c r="X113" i="37"/>
  <c r="X114" i="37"/>
  <c r="X115" i="37"/>
  <c r="X116" i="37"/>
  <c r="X117" i="37"/>
  <c r="X118" i="37"/>
  <c r="X119" i="37"/>
  <c r="X120" i="37"/>
  <c r="X111" i="37"/>
  <c r="AC106" i="15"/>
  <c r="AC107" i="15"/>
  <c r="AC108" i="15"/>
  <c r="AC109" i="15"/>
  <c r="AC110" i="15"/>
  <c r="AC111" i="15"/>
  <c r="AC112" i="15"/>
  <c r="AC113" i="15"/>
  <c r="AC114" i="15"/>
  <c r="AC105" i="15"/>
  <c r="AO72" i="15"/>
  <c r="AP72" i="15" s="1"/>
  <c r="AQ72" i="15" s="1"/>
  <c r="AR72" i="15" s="1"/>
  <c r="AS72" i="15" s="1"/>
  <c r="AT72" i="15" s="1"/>
  <c r="AI72" i="15"/>
  <c r="AJ72" i="15" s="1"/>
  <c r="AK72" i="15" s="1"/>
  <c r="AL72" i="15" s="1"/>
  <c r="AM72" i="15" s="1"/>
  <c r="AN72" i="15" s="1"/>
  <c r="AO47" i="15"/>
  <c r="AP47" i="15" s="1"/>
  <c r="AQ47" i="15" s="1"/>
  <c r="AR47" i="15" s="1"/>
  <c r="AS47" i="15" s="1"/>
  <c r="AT47" i="15" s="1"/>
  <c r="AI47" i="15"/>
  <c r="AJ47" i="15" s="1"/>
  <c r="AK47" i="15" s="1"/>
  <c r="AL47" i="15" s="1"/>
  <c r="AM47" i="15" s="1"/>
  <c r="AN47" i="15" s="1"/>
  <c r="AF114" i="15"/>
  <c r="AE114" i="15"/>
  <c r="AH114" i="15" s="1"/>
  <c r="D57" i="15"/>
  <c r="O114" i="15"/>
  <c r="AF113" i="15"/>
  <c r="AE113" i="15"/>
  <c r="AH113" i="15" s="1"/>
  <c r="D56" i="15"/>
  <c r="O113" i="15"/>
  <c r="AF112" i="15"/>
  <c r="AE112" i="15"/>
  <c r="AH112" i="15" s="1"/>
  <c r="D55" i="15"/>
  <c r="O112" i="15"/>
  <c r="AF111" i="15"/>
  <c r="AE111" i="15"/>
  <c r="AH111" i="15" s="1"/>
  <c r="D54" i="15"/>
  <c r="O111" i="15"/>
  <c r="AF110" i="15"/>
  <c r="AE110" i="15"/>
  <c r="AH110" i="15" s="1"/>
  <c r="D53" i="15"/>
  <c r="AF109" i="15"/>
  <c r="AE109" i="15"/>
  <c r="AH109" i="15" s="1"/>
  <c r="D52" i="15"/>
  <c r="AE108" i="15"/>
  <c r="AH108" i="15" s="1"/>
  <c r="AF108" i="15"/>
  <c r="D51" i="15"/>
  <c r="O108" i="15"/>
  <c r="AE107" i="15"/>
  <c r="AH107" i="15" s="1"/>
  <c r="AF107" i="15"/>
  <c r="D50" i="15"/>
  <c r="O107" i="15"/>
  <c r="AE106" i="15"/>
  <c r="AH106" i="15" s="1"/>
  <c r="D49" i="15"/>
  <c r="O106" i="15"/>
  <c r="AE105" i="15"/>
  <c r="AH105" i="15" s="1"/>
  <c r="D48" i="15"/>
  <c r="O105" i="15"/>
  <c r="AO104" i="15"/>
  <c r="AP104" i="15" s="1"/>
  <c r="AQ104" i="15" s="1"/>
  <c r="AR104" i="15" s="1"/>
  <c r="AS104" i="15" s="1"/>
  <c r="AT104" i="15" s="1"/>
  <c r="AI104" i="15"/>
  <c r="AJ104" i="15" s="1"/>
  <c r="AK104" i="15" s="1"/>
  <c r="AL104" i="15" s="1"/>
  <c r="AM104" i="15" s="1"/>
  <c r="AN104" i="15" s="1"/>
  <c r="F38" i="37"/>
  <c r="G38" i="37" s="1"/>
  <c r="H38" i="37" s="1"/>
  <c r="I38" i="37" s="1"/>
  <c r="J38" i="37" s="1"/>
  <c r="K38" i="37" s="1"/>
  <c r="L47" i="15"/>
  <c r="M47" i="15" s="1"/>
  <c r="N47" i="15" s="1"/>
  <c r="O47" i="15" s="1"/>
  <c r="P47" i="15" s="1"/>
  <c r="Q47" i="15" s="1"/>
  <c r="E47" i="15"/>
  <c r="F47" i="15" s="1"/>
  <c r="G47" i="15" s="1"/>
  <c r="H47" i="15" s="1"/>
  <c r="I47" i="15" s="1"/>
  <c r="J47" i="15" s="1"/>
  <c r="AD27" i="14"/>
  <c r="AD26" i="14"/>
  <c r="AD25" i="14"/>
  <c r="AD24" i="14"/>
  <c r="AD23" i="14"/>
  <c r="AC31" i="14"/>
  <c r="AC30" i="14"/>
  <c r="AC29" i="14"/>
  <c r="AC28" i="14"/>
  <c r="AC27" i="14"/>
  <c r="AC26" i="14"/>
  <c r="AC25" i="14"/>
  <c r="AC24" i="14"/>
  <c r="AC23" i="14"/>
  <c r="AB32" i="14"/>
  <c r="AB31" i="14"/>
  <c r="AB30" i="14"/>
  <c r="AB29" i="14"/>
  <c r="AB28" i="14"/>
  <c r="AB27" i="14"/>
  <c r="AB26" i="14"/>
  <c r="AB25" i="14"/>
  <c r="AB24" i="14"/>
  <c r="AB23" i="14"/>
  <c r="AI82" i="37"/>
  <c r="AJ82" i="37" s="1"/>
  <c r="AK82" i="37" s="1"/>
  <c r="AL82" i="37" s="1"/>
  <c r="AM82" i="37" s="1"/>
  <c r="AN82" i="37" s="1"/>
  <c r="AC82" i="37"/>
  <c r="AD82" i="37" s="1"/>
  <c r="AE82" i="37" s="1"/>
  <c r="AF82" i="37" s="1"/>
  <c r="AG82" i="37" s="1"/>
  <c r="AH82" i="37" s="1"/>
  <c r="AI47" i="37"/>
  <c r="AJ47" i="37" s="1"/>
  <c r="AK47" i="37" s="1"/>
  <c r="AL47" i="37" s="1"/>
  <c r="AM47" i="37" s="1"/>
  <c r="AN47" i="37" s="1"/>
  <c r="AD47" i="37"/>
  <c r="AE47" i="37" s="1"/>
  <c r="AF47" i="37" s="1"/>
  <c r="AG47" i="37" s="1"/>
  <c r="AH47" i="37" s="1"/>
  <c r="AI110" i="37"/>
  <c r="AJ110" i="37" s="1"/>
  <c r="AK110" i="37" s="1"/>
  <c r="AL110" i="37" s="1"/>
  <c r="AM110" i="37" s="1"/>
  <c r="AN110" i="37" s="1"/>
  <c r="AC110" i="37"/>
  <c r="AD110" i="37" s="1"/>
  <c r="AE110" i="37" s="1"/>
  <c r="AF110" i="37" s="1"/>
  <c r="AG110" i="37" s="1"/>
  <c r="AH110" i="37" s="1"/>
  <c r="AE32" i="14"/>
  <c r="AE31" i="14"/>
  <c r="Y112" i="37"/>
  <c r="Y113" i="37"/>
  <c r="Y114" i="37"/>
  <c r="Y115" i="37"/>
  <c r="Y116" i="37"/>
  <c r="Y117" i="37"/>
  <c r="Z117" i="37"/>
  <c r="Y118" i="37"/>
  <c r="Z118" i="37"/>
  <c r="Y119" i="37"/>
  <c r="Z119" i="37"/>
  <c r="Y120" i="37"/>
  <c r="Y111" i="37"/>
  <c r="L165" i="53"/>
  <c r="K165" i="53"/>
  <c r="L138" i="53"/>
  <c r="K138" i="53"/>
  <c r="L111" i="53"/>
  <c r="K111" i="53"/>
  <c r="L84" i="53"/>
  <c r="K84" i="53"/>
  <c r="L397" i="3"/>
  <c r="K397" i="3"/>
  <c r="L361" i="3"/>
  <c r="K361" i="3"/>
  <c r="L325" i="3"/>
  <c r="K325" i="3"/>
  <c r="L289" i="3"/>
  <c r="K289" i="3"/>
  <c r="L253" i="3"/>
  <c r="K253" i="3"/>
  <c r="L217" i="3"/>
  <c r="K217" i="3"/>
  <c r="K181" i="3"/>
  <c r="K145" i="3"/>
  <c r="K109" i="3"/>
  <c r="K397" i="56"/>
  <c r="L361" i="56"/>
  <c r="K361" i="56"/>
  <c r="L325" i="56"/>
  <c r="K325" i="56"/>
  <c r="L289" i="56"/>
  <c r="K289" i="56"/>
  <c r="L253" i="56"/>
  <c r="K253" i="56"/>
  <c r="L217" i="56"/>
  <c r="K217" i="56"/>
  <c r="K181" i="56"/>
  <c r="K145" i="56"/>
  <c r="L397" i="56"/>
  <c r="K109" i="56"/>
  <c r="K73" i="56"/>
  <c r="AD32" i="14"/>
  <c r="AD31" i="14"/>
  <c r="AC32" i="14"/>
  <c r="AL82" i="14"/>
  <c r="AM82" i="14" s="1"/>
  <c r="AN82" i="14" s="1"/>
  <c r="AO82" i="14" s="1"/>
  <c r="AP82" i="14" s="1"/>
  <c r="AQ82" i="14" s="1"/>
  <c r="AF34" i="14"/>
  <c r="AL44" i="14"/>
  <c r="AM44" i="14" s="1"/>
  <c r="AN44" i="14" s="1"/>
  <c r="AO44" i="14" s="1"/>
  <c r="AP44" i="14" s="1"/>
  <c r="AQ44" i="14" s="1"/>
  <c r="AA39" i="50"/>
  <c r="AA254" i="50"/>
  <c r="AF106" i="15"/>
  <c r="AF105" i="15"/>
  <c r="Z120" i="37"/>
  <c r="O397" i="41"/>
  <c r="O396" i="41"/>
  <c r="O395" i="41"/>
  <c r="K1" i="43" s="1"/>
  <c r="O120" i="37"/>
  <c r="O119" i="37"/>
  <c r="O118" i="37"/>
  <c r="O117" i="37"/>
  <c r="O116" i="37"/>
  <c r="O115" i="37"/>
  <c r="O114" i="37"/>
  <c r="O113" i="37"/>
  <c r="O112" i="37"/>
  <c r="O111" i="37"/>
  <c r="E179" i="51"/>
  <c r="F179" i="51" s="1"/>
  <c r="F182" i="51" s="1"/>
  <c r="E162" i="51"/>
  <c r="F162" i="51" s="1"/>
  <c r="E145" i="51"/>
  <c r="F145" i="51" s="1"/>
  <c r="E128" i="51"/>
  <c r="F128" i="51" s="1"/>
  <c r="E111" i="51"/>
  <c r="E94" i="51"/>
  <c r="F94" i="51" s="1"/>
  <c r="F97" i="51" s="1"/>
  <c r="E77" i="51"/>
  <c r="F77" i="51" s="1"/>
  <c r="F80" i="51" s="1"/>
  <c r="E60" i="51"/>
  <c r="E63" i="51" s="1"/>
  <c r="E43" i="51"/>
  <c r="F43" i="51" s="1"/>
  <c r="E26" i="51"/>
  <c r="E29" i="51" s="1"/>
  <c r="E77" i="49"/>
  <c r="E80" i="49" s="1"/>
  <c r="E179" i="49"/>
  <c r="E182" i="49" s="1"/>
  <c r="E162" i="49"/>
  <c r="E145" i="49"/>
  <c r="E148" i="49" s="1"/>
  <c r="E128" i="49"/>
  <c r="E111" i="49"/>
  <c r="E114" i="49" s="1"/>
  <c r="E94" i="49"/>
  <c r="E60" i="49"/>
  <c r="E63" i="49" s="1"/>
  <c r="E43" i="49"/>
  <c r="E46" i="49" s="1"/>
  <c r="E26" i="49"/>
  <c r="E29" i="49" s="1"/>
  <c r="E190" i="47"/>
  <c r="E193" i="47" s="1"/>
  <c r="E172" i="47"/>
  <c r="E175" i="47" s="1"/>
  <c r="E154" i="47"/>
  <c r="E157" i="47" s="1"/>
  <c r="E136" i="47"/>
  <c r="E139" i="47" s="1"/>
  <c r="E118" i="47"/>
  <c r="E100" i="47"/>
  <c r="E103" i="47" s="1"/>
  <c r="E82" i="47"/>
  <c r="E64" i="47"/>
  <c r="E67" i="47" s="1"/>
  <c r="E46" i="47"/>
  <c r="E28" i="47"/>
  <c r="E31" i="47" s="1"/>
  <c r="G77" i="51"/>
  <c r="G80" i="51" s="1"/>
  <c r="AF18" i="14"/>
  <c r="P391" i="3"/>
  <c r="O391" i="3"/>
  <c r="N391" i="3"/>
  <c r="M391" i="3"/>
  <c r="L391" i="3"/>
  <c r="K391" i="3"/>
  <c r="P390" i="3"/>
  <c r="O390" i="3"/>
  <c r="N390" i="3"/>
  <c r="M390" i="3"/>
  <c r="L390" i="3"/>
  <c r="K390" i="3"/>
  <c r="P389" i="3"/>
  <c r="O389" i="3"/>
  <c r="N389" i="3"/>
  <c r="M389" i="3"/>
  <c r="L389" i="3"/>
  <c r="K389" i="3"/>
  <c r="P388" i="3"/>
  <c r="O388" i="3"/>
  <c r="N388" i="3"/>
  <c r="M388" i="3"/>
  <c r="L388" i="3"/>
  <c r="K388" i="3"/>
  <c r="P387" i="3"/>
  <c r="O387" i="3"/>
  <c r="N387" i="3"/>
  <c r="M387" i="3"/>
  <c r="L387" i="3"/>
  <c r="K387" i="3"/>
  <c r="P386" i="3"/>
  <c r="O386" i="3"/>
  <c r="N386" i="3"/>
  <c r="M386" i="3"/>
  <c r="L386" i="3"/>
  <c r="K386" i="3"/>
  <c r="P385" i="3"/>
  <c r="O385" i="3"/>
  <c r="N385" i="3"/>
  <c r="M385" i="3"/>
  <c r="L385" i="3"/>
  <c r="K385" i="3"/>
  <c r="P384" i="3"/>
  <c r="O384" i="3"/>
  <c r="N384" i="3"/>
  <c r="M384" i="3"/>
  <c r="L384" i="3"/>
  <c r="K384" i="3"/>
  <c r="P383" i="3"/>
  <c r="I393" i="3" s="1"/>
  <c r="O383" i="3"/>
  <c r="H393" i="3" s="1"/>
  <c r="N383" i="3"/>
  <c r="G393" i="3" s="1"/>
  <c r="M383" i="3"/>
  <c r="F393" i="3" s="1"/>
  <c r="L383" i="3"/>
  <c r="E393" i="3" s="1"/>
  <c r="K383" i="3"/>
  <c r="D393" i="3" s="1"/>
  <c r="D379" i="3"/>
  <c r="E379" i="3" s="1"/>
  <c r="F379" i="3" s="1"/>
  <c r="G379" i="3" s="1"/>
  <c r="H379" i="3" s="1"/>
  <c r="I379" i="3" s="1"/>
  <c r="P355" i="3"/>
  <c r="O355" i="3"/>
  <c r="N355" i="3"/>
  <c r="M355" i="3"/>
  <c r="L355" i="3"/>
  <c r="K355" i="3"/>
  <c r="P354" i="3"/>
  <c r="O354" i="3"/>
  <c r="N354" i="3"/>
  <c r="M354" i="3"/>
  <c r="L354" i="3"/>
  <c r="K354" i="3"/>
  <c r="P353" i="3"/>
  <c r="O353" i="3"/>
  <c r="N353" i="3"/>
  <c r="M353" i="3"/>
  <c r="L353" i="3"/>
  <c r="K353" i="3"/>
  <c r="P352" i="3"/>
  <c r="O352" i="3"/>
  <c r="N352" i="3"/>
  <c r="M352" i="3"/>
  <c r="L352" i="3"/>
  <c r="K352" i="3"/>
  <c r="P351" i="3"/>
  <c r="O351" i="3"/>
  <c r="N351" i="3"/>
  <c r="M351" i="3"/>
  <c r="L351" i="3"/>
  <c r="K351" i="3"/>
  <c r="P350" i="3"/>
  <c r="O350" i="3"/>
  <c r="N350" i="3"/>
  <c r="M350" i="3"/>
  <c r="L350" i="3"/>
  <c r="K350" i="3"/>
  <c r="P349" i="3"/>
  <c r="O349" i="3"/>
  <c r="N349" i="3"/>
  <c r="M349" i="3"/>
  <c r="L349" i="3"/>
  <c r="K349" i="3"/>
  <c r="P348" i="3"/>
  <c r="O348" i="3"/>
  <c r="N348" i="3"/>
  <c r="M348" i="3"/>
  <c r="L348" i="3"/>
  <c r="K348" i="3"/>
  <c r="P347" i="3"/>
  <c r="O347" i="3"/>
  <c r="H357" i="3" s="1"/>
  <c r="N347" i="3"/>
  <c r="G357" i="3" s="1"/>
  <c r="M347" i="3"/>
  <c r="F357" i="3" s="1"/>
  <c r="L347" i="3"/>
  <c r="E357" i="3" s="1"/>
  <c r="K347" i="3"/>
  <c r="D357" i="3" s="1"/>
  <c r="D343" i="3"/>
  <c r="E343" i="3" s="1"/>
  <c r="F343" i="3" s="1"/>
  <c r="G343" i="3" s="1"/>
  <c r="H343" i="3" s="1"/>
  <c r="I343" i="3" s="1"/>
  <c r="P319" i="3"/>
  <c r="O319" i="3"/>
  <c r="N319" i="3"/>
  <c r="M319" i="3"/>
  <c r="L319" i="3"/>
  <c r="K319" i="3"/>
  <c r="P318" i="3"/>
  <c r="O318" i="3"/>
  <c r="N318" i="3"/>
  <c r="M318" i="3"/>
  <c r="L318" i="3"/>
  <c r="K318" i="3"/>
  <c r="P317" i="3"/>
  <c r="O317" i="3"/>
  <c r="N317" i="3"/>
  <c r="M317" i="3"/>
  <c r="L317" i="3"/>
  <c r="K317" i="3"/>
  <c r="P316" i="3"/>
  <c r="O316" i="3"/>
  <c r="N316" i="3"/>
  <c r="M316" i="3"/>
  <c r="L316" i="3"/>
  <c r="K316" i="3"/>
  <c r="P315" i="3"/>
  <c r="O315" i="3"/>
  <c r="N315" i="3"/>
  <c r="M315" i="3"/>
  <c r="L315" i="3"/>
  <c r="K315" i="3"/>
  <c r="P314" i="3"/>
  <c r="O314" i="3"/>
  <c r="N314" i="3"/>
  <c r="M314" i="3"/>
  <c r="L314" i="3"/>
  <c r="K314" i="3"/>
  <c r="P313" i="3"/>
  <c r="O313" i="3"/>
  <c r="N313" i="3"/>
  <c r="M313" i="3"/>
  <c r="L313" i="3"/>
  <c r="K313" i="3"/>
  <c r="P312" i="3"/>
  <c r="O312" i="3"/>
  <c r="N312" i="3"/>
  <c r="M312" i="3"/>
  <c r="L312" i="3"/>
  <c r="K312" i="3"/>
  <c r="P311" i="3"/>
  <c r="I321" i="3" s="1"/>
  <c r="O311" i="3"/>
  <c r="H321" i="3" s="1"/>
  <c r="N311" i="3"/>
  <c r="G321" i="3" s="1"/>
  <c r="M311" i="3"/>
  <c r="F321" i="3" s="1"/>
  <c r="L311" i="3"/>
  <c r="E321" i="3" s="1"/>
  <c r="K311" i="3"/>
  <c r="D321" i="3" s="1"/>
  <c r="D307" i="3"/>
  <c r="E307" i="3" s="1"/>
  <c r="F307" i="3" s="1"/>
  <c r="G307" i="3" s="1"/>
  <c r="H307" i="3" s="1"/>
  <c r="I307" i="3" s="1"/>
  <c r="P283" i="3"/>
  <c r="O283" i="3"/>
  <c r="N283" i="3"/>
  <c r="M283" i="3"/>
  <c r="L283" i="3"/>
  <c r="K283" i="3"/>
  <c r="P282" i="3"/>
  <c r="O282" i="3"/>
  <c r="N282" i="3"/>
  <c r="M282" i="3"/>
  <c r="L282" i="3"/>
  <c r="K282" i="3"/>
  <c r="P281" i="3"/>
  <c r="O281" i="3"/>
  <c r="N281" i="3"/>
  <c r="M281" i="3"/>
  <c r="L281" i="3"/>
  <c r="K281" i="3"/>
  <c r="P280" i="3"/>
  <c r="O280" i="3"/>
  <c r="N280" i="3"/>
  <c r="M280" i="3"/>
  <c r="L280" i="3"/>
  <c r="K280" i="3"/>
  <c r="P279" i="3"/>
  <c r="O279" i="3"/>
  <c r="N279" i="3"/>
  <c r="M279" i="3"/>
  <c r="L279" i="3"/>
  <c r="K279" i="3"/>
  <c r="P278" i="3"/>
  <c r="O278" i="3"/>
  <c r="N278" i="3"/>
  <c r="M278" i="3"/>
  <c r="L278" i="3"/>
  <c r="K278" i="3"/>
  <c r="P277" i="3"/>
  <c r="O277" i="3"/>
  <c r="N277" i="3"/>
  <c r="M277" i="3"/>
  <c r="L277" i="3"/>
  <c r="K277" i="3"/>
  <c r="P276" i="3"/>
  <c r="O276" i="3"/>
  <c r="N276" i="3"/>
  <c r="M276" i="3"/>
  <c r="L276" i="3"/>
  <c r="K276" i="3"/>
  <c r="P275" i="3"/>
  <c r="I285" i="3" s="1"/>
  <c r="O275" i="3"/>
  <c r="H285" i="3" s="1"/>
  <c r="N275" i="3"/>
  <c r="G285" i="3" s="1"/>
  <c r="M275" i="3"/>
  <c r="F285" i="3" s="1"/>
  <c r="L275" i="3"/>
  <c r="E285" i="3" s="1"/>
  <c r="K275" i="3"/>
  <c r="D285" i="3" s="1"/>
  <c r="D271" i="3"/>
  <c r="E271" i="3" s="1"/>
  <c r="F271" i="3" s="1"/>
  <c r="G271" i="3" s="1"/>
  <c r="H271" i="3" s="1"/>
  <c r="I271" i="3" s="1"/>
  <c r="P247" i="3"/>
  <c r="O247" i="3"/>
  <c r="N247" i="3"/>
  <c r="M247" i="3"/>
  <c r="L247" i="3"/>
  <c r="K247" i="3"/>
  <c r="P246" i="3"/>
  <c r="O246" i="3"/>
  <c r="N246" i="3"/>
  <c r="M246" i="3"/>
  <c r="L246" i="3"/>
  <c r="K246" i="3"/>
  <c r="P245" i="3"/>
  <c r="O245" i="3"/>
  <c r="N245" i="3"/>
  <c r="M245" i="3"/>
  <c r="L245" i="3"/>
  <c r="K245" i="3"/>
  <c r="P244" i="3"/>
  <c r="O244" i="3"/>
  <c r="N244" i="3"/>
  <c r="M244" i="3"/>
  <c r="L244" i="3"/>
  <c r="K244" i="3"/>
  <c r="P243" i="3"/>
  <c r="O243" i="3"/>
  <c r="N243" i="3"/>
  <c r="M243" i="3"/>
  <c r="L243" i="3"/>
  <c r="K243" i="3"/>
  <c r="P242" i="3"/>
  <c r="O242" i="3"/>
  <c r="N242" i="3"/>
  <c r="M242" i="3"/>
  <c r="L242" i="3"/>
  <c r="K242" i="3"/>
  <c r="P241" i="3"/>
  <c r="O241" i="3"/>
  <c r="N241" i="3"/>
  <c r="M241" i="3"/>
  <c r="L241" i="3"/>
  <c r="K241" i="3"/>
  <c r="P240" i="3"/>
  <c r="O240" i="3"/>
  <c r="N240" i="3"/>
  <c r="M240" i="3"/>
  <c r="L240" i="3"/>
  <c r="K240" i="3"/>
  <c r="P239" i="3"/>
  <c r="I249" i="3" s="1"/>
  <c r="O239" i="3"/>
  <c r="H249" i="3" s="1"/>
  <c r="N239" i="3"/>
  <c r="G249" i="3" s="1"/>
  <c r="M239" i="3"/>
  <c r="F249" i="3" s="1"/>
  <c r="L239" i="3"/>
  <c r="E249" i="3" s="1"/>
  <c r="K239" i="3"/>
  <c r="D249" i="3" s="1"/>
  <c r="D235" i="3"/>
  <c r="E235" i="3" s="1"/>
  <c r="F235" i="3" s="1"/>
  <c r="G235" i="3" s="1"/>
  <c r="H235" i="3" s="1"/>
  <c r="I235" i="3" s="1"/>
  <c r="I357" i="3"/>
  <c r="P391" i="56"/>
  <c r="O391" i="56"/>
  <c r="N391" i="56"/>
  <c r="M391" i="56"/>
  <c r="L391" i="56"/>
  <c r="K391" i="56"/>
  <c r="P390" i="56"/>
  <c r="O390" i="56"/>
  <c r="N390" i="56"/>
  <c r="M390" i="56"/>
  <c r="L390" i="56"/>
  <c r="K390" i="56"/>
  <c r="P389" i="56"/>
  <c r="O389" i="56"/>
  <c r="N389" i="56"/>
  <c r="M389" i="56"/>
  <c r="L389" i="56"/>
  <c r="K389" i="56"/>
  <c r="P388" i="56"/>
  <c r="O388" i="56"/>
  <c r="N388" i="56"/>
  <c r="M388" i="56"/>
  <c r="L388" i="56"/>
  <c r="K388" i="56"/>
  <c r="P387" i="56"/>
  <c r="O387" i="56"/>
  <c r="N387" i="56"/>
  <c r="M387" i="56"/>
  <c r="L387" i="56"/>
  <c r="K387" i="56"/>
  <c r="P386" i="56"/>
  <c r="O386" i="56"/>
  <c r="N386" i="56"/>
  <c r="M386" i="56"/>
  <c r="L386" i="56"/>
  <c r="K386" i="56"/>
  <c r="P385" i="56"/>
  <c r="O385" i="56"/>
  <c r="N385" i="56"/>
  <c r="M385" i="56"/>
  <c r="L385" i="56"/>
  <c r="K385" i="56"/>
  <c r="P384" i="56"/>
  <c r="O384" i="56"/>
  <c r="N384" i="56"/>
  <c r="M384" i="56"/>
  <c r="L384" i="56"/>
  <c r="K384" i="56"/>
  <c r="P383" i="56"/>
  <c r="I393" i="56" s="1"/>
  <c r="O383" i="56"/>
  <c r="H393" i="56" s="1"/>
  <c r="N383" i="56"/>
  <c r="G393" i="56" s="1"/>
  <c r="M383" i="56"/>
  <c r="F393" i="56" s="1"/>
  <c r="L383" i="56"/>
  <c r="E393" i="56" s="1"/>
  <c r="K383" i="56"/>
  <c r="D393" i="56" s="1"/>
  <c r="D379" i="56"/>
  <c r="E379" i="56" s="1"/>
  <c r="F379" i="56" s="1"/>
  <c r="G379" i="56" s="1"/>
  <c r="H379" i="56" s="1"/>
  <c r="I379" i="56" s="1"/>
  <c r="P355" i="56"/>
  <c r="O355" i="56"/>
  <c r="N355" i="56"/>
  <c r="M355" i="56"/>
  <c r="L355" i="56"/>
  <c r="K355" i="56"/>
  <c r="P354" i="56"/>
  <c r="O354" i="56"/>
  <c r="N354" i="56"/>
  <c r="M354" i="56"/>
  <c r="L354" i="56"/>
  <c r="K354" i="56"/>
  <c r="P353" i="56"/>
  <c r="O353" i="56"/>
  <c r="N353" i="56"/>
  <c r="M353" i="56"/>
  <c r="L353" i="56"/>
  <c r="K353" i="56"/>
  <c r="P352" i="56"/>
  <c r="O352" i="56"/>
  <c r="N352" i="56"/>
  <c r="M352" i="56"/>
  <c r="L352" i="56"/>
  <c r="K352" i="56"/>
  <c r="P351" i="56"/>
  <c r="O351" i="56"/>
  <c r="N351" i="56"/>
  <c r="M351" i="56"/>
  <c r="L351" i="56"/>
  <c r="K351" i="56"/>
  <c r="P350" i="56"/>
  <c r="O350" i="56"/>
  <c r="N350" i="56"/>
  <c r="M350" i="56"/>
  <c r="L350" i="56"/>
  <c r="K350" i="56"/>
  <c r="P349" i="56"/>
  <c r="O349" i="56"/>
  <c r="N349" i="56"/>
  <c r="M349" i="56"/>
  <c r="L349" i="56"/>
  <c r="K349" i="56"/>
  <c r="P348" i="56"/>
  <c r="O348" i="56"/>
  <c r="N348" i="56"/>
  <c r="M348" i="56"/>
  <c r="L348" i="56"/>
  <c r="K348" i="56"/>
  <c r="P347" i="56"/>
  <c r="I357" i="56" s="1"/>
  <c r="O347" i="56"/>
  <c r="H357" i="56" s="1"/>
  <c r="N347" i="56"/>
  <c r="G357" i="56" s="1"/>
  <c r="M347" i="56"/>
  <c r="F357" i="56" s="1"/>
  <c r="L347" i="56"/>
  <c r="E357" i="56" s="1"/>
  <c r="K347" i="56"/>
  <c r="D357" i="56" s="1"/>
  <c r="D343" i="56"/>
  <c r="E343" i="56" s="1"/>
  <c r="F343" i="56" s="1"/>
  <c r="G343" i="56" s="1"/>
  <c r="H343" i="56" s="1"/>
  <c r="I343" i="56" s="1"/>
  <c r="P319" i="56"/>
  <c r="O319" i="56"/>
  <c r="N319" i="56"/>
  <c r="M319" i="56"/>
  <c r="L319" i="56"/>
  <c r="K319" i="56"/>
  <c r="P318" i="56"/>
  <c r="O318" i="56"/>
  <c r="N318" i="56"/>
  <c r="M318" i="56"/>
  <c r="L318" i="56"/>
  <c r="K318" i="56"/>
  <c r="P317" i="56"/>
  <c r="O317" i="56"/>
  <c r="N317" i="56"/>
  <c r="M317" i="56"/>
  <c r="L317" i="56"/>
  <c r="K317" i="56"/>
  <c r="P316" i="56"/>
  <c r="O316" i="56"/>
  <c r="N316" i="56"/>
  <c r="M316" i="56"/>
  <c r="L316" i="56"/>
  <c r="K316" i="56"/>
  <c r="P315" i="56"/>
  <c r="O315" i="56"/>
  <c r="N315" i="56"/>
  <c r="M315" i="56"/>
  <c r="L315" i="56"/>
  <c r="K315" i="56"/>
  <c r="P314" i="56"/>
  <c r="O314" i="56"/>
  <c r="N314" i="56"/>
  <c r="M314" i="56"/>
  <c r="L314" i="56"/>
  <c r="K314" i="56"/>
  <c r="P313" i="56"/>
  <c r="O313" i="56"/>
  <c r="N313" i="56"/>
  <c r="M313" i="56"/>
  <c r="L313" i="56"/>
  <c r="K313" i="56"/>
  <c r="P312" i="56"/>
  <c r="O312" i="56"/>
  <c r="N312" i="56"/>
  <c r="M312" i="56"/>
  <c r="L312" i="56"/>
  <c r="K312" i="56"/>
  <c r="P311" i="56"/>
  <c r="I321" i="56" s="1"/>
  <c r="O311" i="56"/>
  <c r="H321" i="56" s="1"/>
  <c r="N311" i="56"/>
  <c r="G321" i="56" s="1"/>
  <c r="M311" i="56"/>
  <c r="F321" i="56" s="1"/>
  <c r="L311" i="56"/>
  <c r="E321" i="56" s="1"/>
  <c r="K311" i="56"/>
  <c r="D321" i="56" s="1"/>
  <c r="D307" i="56"/>
  <c r="E307" i="56" s="1"/>
  <c r="F307" i="56" s="1"/>
  <c r="G307" i="56" s="1"/>
  <c r="H307" i="56" s="1"/>
  <c r="I307" i="56" s="1"/>
  <c r="P283" i="56"/>
  <c r="O283" i="56"/>
  <c r="N283" i="56"/>
  <c r="M283" i="56"/>
  <c r="L283" i="56"/>
  <c r="K283" i="56"/>
  <c r="P282" i="56"/>
  <c r="O282" i="56"/>
  <c r="N282" i="56"/>
  <c r="M282" i="56"/>
  <c r="L282" i="56"/>
  <c r="K282" i="56"/>
  <c r="P281" i="56"/>
  <c r="O281" i="56"/>
  <c r="N281" i="56"/>
  <c r="M281" i="56"/>
  <c r="L281" i="56"/>
  <c r="K281" i="56"/>
  <c r="P280" i="56"/>
  <c r="O280" i="56"/>
  <c r="N280" i="56"/>
  <c r="M280" i="56"/>
  <c r="L280" i="56"/>
  <c r="K280" i="56"/>
  <c r="P279" i="56"/>
  <c r="O279" i="56"/>
  <c r="N279" i="56"/>
  <c r="M279" i="56"/>
  <c r="L279" i="56"/>
  <c r="K279" i="56"/>
  <c r="P278" i="56"/>
  <c r="O278" i="56"/>
  <c r="N278" i="56"/>
  <c r="M278" i="56"/>
  <c r="L278" i="56"/>
  <c r="K278" i="56"/>
  <c r="P277" i="56"/>
  <c r="O277" i="56"/>
  <c r="N277" i="56"/>
  <c r="M277" i="56"/>
  <c r="L277" i="56"/>
  <c r="K277" i="56"/>
  <c r="P276" i="56"/>
  <c r="O276" i="56"/>
  <c r="N276" i="56"/>
  <c r="M276" i="56"/>
  <c r="L276" i="56"/>
  <c r="K276" i="56"/>
  <c r="P275" i="56"/>
  <c r="I285" i="56" s="1"/>
  <c r="O275" i="56"/>
  <c r="H285" i="56" s="1"/>
  <c r="N275" i="56"/>
  <c r="G285" i="56" s="1"/>
  <c r="M275" i="56"/>
  <c r="F285" i="56" s="1"/>
  <c r="L275" i="56"/>
  <c r="E285" i="56" s="1"/>
  <c r="K275" i="56"/>
  <c r="D285" i="56" s="1"/>
  <c r="D271" i="56"/>
  <c r="E271" i="56" s="1"/>
  <c r="F271" i="56" s="1"/>
  <c r="G271" i="56" s="1"/>
  <c r="H271" i="56" s="1"/>
  <c r="I271" i="56" s="1"/>
  <c r="P247" i="56"/>
  <c r="O247" i="56"/>
  <c r="N247" i="56"/>
  <c r="M247" i="56"/>
  <c r="L247" i="56"/>
  <c r="K247" i="56"/>
  <c r="P246" i="56"/>
  <c r="O246" i="56"/>
  <c r="N246" i="56"/>
  <c r="M246" i="56"/>
  <c r="L246" i="56"/>
  <c r="K246" i="56"/>
  <c r="P245" i="56"/>
  <c r="O245" i="56"/>
  <c r="N245" i="56"/>
  <c r="M245" i="56"/>
  <c r="L245" i="56"/>
  <c r="K245" i="56"/>
  <c r="P244" i="56"/>
  <c r="O244" i="56"/>
  <c r="N244" i="56"/>
  <c r="M244" i="56"/>
  <c r="L244" i="56"/>
  <c r="K244" i="56"/>
  <c r="P243" i="56"/>
  <c r="O243" i="56"/>
  <c r="N243" i="56"/>
  <c r="M243" i="56"/>
  <c r="L243" i="56"/>
  <c r="K243" i="56"/>
  <c r="P242" i="56"/>
  <c r="O242" i="56"/>
  <c r="N242" i="56"/>
  <c r="M242" i="56"/>
  <c r="L242" i="56"/>
  <c r="K242" i="56"/>
  <c r="P241" i="56"/>
  <c r="O241" i="56"/>
  <c r="N241" i="56"/>
  <c r="M241" i="56"/>
  <c r="L241" i="56"/>
  <c r="K241" i="56"/>
  <c r="P240" i="56"/>
  <c r="O240" i="56"/>
  <c r="N240" i="56"/>
  <c r="M240" i="56"/>
  <c r="L240" i="56"/>
  <c r="K240" i="56"/>
  <c r="P239" i="56"/>
  <c r="I249" i="56" s="1"/>
  <c r="O239" i="56"/>
  <c r="H249" i="56" s="1"/>
  <c r="N239" i="56"/>
  <c r="G249" i="56" s="1"/>
  <c r="M239" i="56"/>
  <c r="F249" i="56" s="1"/>
  <c r="L239" i="56"/>
  <c r="E249" i="56" s="1"/>
  <c r="K239" i="56"/>
  <c r="D249" i="56" s="1"/>
  <c r="D235" i="56"/>
  <c r="E235" i="56" s="1"/>
  <c r="F235" i="56" s="1"/>
  <c r="G235" i="56" s="1"/>
  <c r="H235" i="56" s="1"/>
  <c r="I235" i="56" s="1"/>
  <c r="B181" i="47"/>
  <c r="B163" i="47"/>
  <c r="D163" i="47" s="1"/>
  <c r="B145" i="47"/>
  <c r="D145" i="47" s="1"/>
  <c r="DB203" i="47"/>
  <c r="DC203" i="47" s="1"/>
  <c r="DB204" i="47"/>
  <c r="DC204" i="47" s="1"/>
  <c r="DB205" i="47"/>
  <c r="DC205" i="47" s="1"/>
  <c r="DB206" i="47"/>
  <c r="DC206" i="47" s="1"/>
  <c r="DB207" i="47"/>
  <c r="DC207" i="47" s="1"/>
  <c r="DB208" i="47"/>
  <c r="DC208" i="47" s="1"/>
  <c r="DB209" i="47"/>
  <c r="DC209" i="47" s="1"/>
  <c r="DB210" i="47"/>
  <c r="DC210" i="47" s="1"/>
  <c r="DB211" i="47"/>
  <c r="DC211" i="47" s="1"/>
  <c r="DB212" i="47"/>
  <c r="DC212" i="47" s="1"/>
  <c r="DB213" i="47"/>
  <c r="DC213" i="47" s="1"/>
  <c r="B127" i="47"/>
  <c r="D127" i="47" s="1"/>
  <c r="B109" i="47"/>
  <c r="D109" i="47" s="1"/>
  <c r="B172" i="49"/>
  <c r="B155" i="49"/>
  <c r="F145" i="49"/>
  <c r="G145" i="49" s="1"/>
  <c r="B138" i="49"/>
  <c r="B121" i="49"/>
  <c r="B104" i="49"/>
  <c r="B172" i="51"/>
  <c r="B155" i="51"/>
  <c r="B138" i="51"/>
  <c r="B121" i="51"/>
  <c r="B104" i="51"/>
  <c r="V446" i="50"/>
  <c r="V447" i="50" s="1"/>
  <c r="V448" i="50" s="1"/>
  <c r="V449" i="50" s="1"/>
  <c r="V450" i="50" s="1"/>
  <c r="V451" i="50" s="1"/>
  <c r="V428" i="50"/>
  <c r="V429" i="50" s="1"/>
  <c r="V430" i="50" s="1"/>
  <c r="V431" i="50" s="1"/>
  <c r="V432" i="50" s="1"/>
  <c r="V433" i="50" s="1"/>
  <c r="V410" i="50"/>
  <c r="V411" i="50" s="1"/>
  <c r="V412" i="50" s="1"/>
  <c r="V413" i="50" s="1"/>
  <c r="V414" i="50" s="1"/>
  <c r="V415" i="50" s="1"/>
  <c r="V392" i="50"/>
  <c r="V393" i="50" s="1"/>
  <c r="V394" i="50" s="1"/>
  <c r="V395" i="50" s="1"/>
  <c r="V396" i="50" s="1"/>
  <c r="V397" i="50" s="1"/>
  <c r="V374" i="50"/>
  <c r="V375" i="50" s="1"/>
  <c r="V376" i="50" s="1"/>
  <c r="V377" i="50" s="1"/>
  <c r="V378" i="50" s="1"/>
  <c r="V379" i="50" s="1"/>
  <c r="V356" i="50"/>
  <c r="V357" i="50" s="1"/>
  <c r="V358" i="50" s="1"/>
  <c r="V359" i="50" s="1"/>
  <c r="V360" i="50" s="1"/>
  <c r="V361" i="50" s="1"/>
  <c r="V338" i="50"/>
  <c r="V339" i="50" s="1"/>
  <c r="V340" i="50" s="1"/>
  <c r="V341" i="50" s="1"/>
  <c r="V342" i="50" s="1"/>
  <c r="V343" i="50" s="1"/>
  <c r="V320" i="50"/>
  <c r="V321" i="50" s="1"/>
  <c r="V322" i="50" s="1"/>
  <c r="V323" i="50" s="1"/>
  <c r="V324" i="50" s="1"/>
  <c r="V325" i="50" s="1"/>
  <c r="V302" i="50"/>
  <c r="V303" i="50" s="1"/>
  <c r="V304" i="50" s="1"/>
  <c r="V305" i="50" s="1"/>
  <c r="V306" i="50" s="1"/>
  <c r="V307" i="50" s="1"/>
  <c r="V284" i="50"/>
  <c r="V285" i="50" s="1"/>
  <c r="V286" i="50" s="1"/>
  <c r="V287" i="50" s="1"/>
  <c r="V288" i="50" s="1"/>
  <c r="V289" i="50" s="1"/>
  <c r="V231" i="50"/>
  <c r="V232" i="50" s="1"/>
  <c r="V233" i="50" s="1"/>
  <c r="V234" i="50" s="1"/>
  <c r="V235" i="50" s="1"/>
  <c r="V236" i="50" s="1"/>
  <c r="V213" i="50"/>
  <c r="V214" i="50" s="1"/>
  <c r="V215" i="50" s="1"/>
  <c r="V216" i="50" s="1"/>
  <c r="V217" i="50" s="1"/>
  <c r="V218" i="50" s="1"/>
  <c r="V195" i="50"/>
  <c r="V196" i="50" s="1"/>
  <c r="V197" i="50" s="1"/>
  <c r="V198" i="50" s="1"/>
  <c r="V199" i="50" s="1"/>
  <c r="V200" i="50" s="1"/>
  <c r="V177" i="50"/>
  <c r="V178" i="50" s="1"/>
  <c r="V179" i="50" s="1"/>
  <c r="V180" i="50" s="1"/>
  <c r="V181" i="50" s="1"/>
  <c r="V182" i="50" s="1"/>
  <c r="V159" i="50"/>
  <c r="V160" i="50" s="1"/>
  <c r="V161" i="50" s="1"/>
  <c r="V162" i="50" s="1"/>
  <c r="V163" i="50" s="1"/>
  <c r="V164" i="50" s="1"/>
  <c r="V141" i="50"/>
  <c r="V142" i="50" s="1"/>
  <c r="V143" i="50" s="1"/>
  <c r="V144" i="50" s="1"/>
  <c r="V145" i="50" s="1"/>
  <c r="V146" i="50" s="1"/>
  <c r="V123" i="50"/>
  <c r="V124" i="50" s="1"/>
  <c r="V125" i="50" s="1"/>
  <c r="V126" i="50" s="1"/>
  <c r="V127" i="50" s="1"/>
  <c r="V128" i="50" s="1"/>
  <c r="V105" i="50"/>
  <c r="V106" i="50" s="1"/>
  <c r="V107" i="50" s="1"/>
  <c r="V108" i="50" s="1"/>
  <c r="V109" i="50" s="1"/>
  <c r="V110" i="50" s="1"/>
  <c r="V87" i="50"/>
  <c r="V88" i="50" s="1"/>
  <c r="V89" i="50" s="1"/>
  <c r="V90" i="50" s="1"/>
  <c r="V91" i="50" s="1"/>
  <c r="V92" i="50" s="1"/>
  <c r="V69" i="50"/>
  <c r="V70" i="50" s="1"/>
  <c r="V71" i="50" s="1"/>
  <c r="V72" i="50" s="1"/>
  <c r="V73" i="50" s="1"/>
  <c r="V74" i="50" s="1"/>
  <c r="P406" i="41"/>
  <c r="P404" i="41"/>
  <c r="P389" i="41"/>
  <c r="P61" i="41"/>
  <c r="P51" i="41"/>
  <c r="P52" i="41"/>
  <c r="P53" i="41"/>
  <c r="P54" i="41"/>
  <c r="P55" i="41"/>
  <c r="P56" i="41"/>
  <c r="P50" i="41"/>
  <c r="P44" i="41"/>
  <c r="P9" i="41"/>
  <c r="P7" i="41"/>
  <c r="G15" i="1"/>
  <c r="G21" i="1"/>
  <c r="G22" i="1"/>
  <c r="G27" i="1"/>
  <c r="G28" i="1"/>
  <c r="G29" i="1"/>
  <c r="G30" i="1"/>
  <c r="G31" i="1"/>
  <c r="G32" i="1"/>
  <c r="G34" i="1"/>
  <c r="C36" i="54"/>
  <c r="D36" i="54" s="1"/>
  <c r="E36" i="54" s="1"/>
  <c r="F36" i="54" s="1"/>
  <c r="G36" i="54" s="1"/>
  <c r="H36" i="54" s="1"/>
  <c r="C29" i="54"/>
  <c r="D29" i="54" s="1"/>
  <c r="E29" i="54" s="1"/>
  <c r="F29" i="54" s="1"/>
  <c r="G29" i="54" s="1"/>
  <c r="H29" i="54" s="1"/>
  <c r="C22" i="54"/>
  <c r="D22" i="54" s="1"/>
  <c r="E22" i="54" s="1"/>
  <c r="F22" i="54" s="1"/>
  <c r="G22" i="54" s="1"/>
  <c r="H22" i="54" s="1"/>
  <c r="P211" i="56"/>
  <c r="O211" i="56"/>
  <c r="N211" i="56"/>
  <c r="M211" i="56"/>
  <c r="L211" i="56"/>
  <c r="K211" i="56"/>
  <c r="P210" i="56"/>
  <c r="O210" i="56"/>
  <c r="N210" i="56"/>
  <c r="M210" i="56"/>
  <c r="L210" i="56"/>
  <c r="K210" i="56"/>
  <c r="P209" i="56"/>
  <c r="O209" i="56"/>
  <c r="N209" i="56"/>
  <c r="M209" i="56"/>
  <c r="L209" i="56"/>
  <c r="K209" i="56"/>
  <c r="P208" i="56"/>
  <c r="O208" i="56"/>
  <c r="N208" i="56"/>
  <c r="M208" i="56"/>
  <c r="L208" i="56"/>
  <c r="K208" i="56"/>
  <c r="P207" i="56"/>
  <c r="O207" i="56"/>
  <c r="N207" i="56"/>
  <c r="M207" i="56"/>
  <c r="L207" i="56"/>
  <c r="K207" i="56"/>
  <c r="P206" i="56"/>
  <c r="O206" i="56"/>
  <c r="N206" i="56"/>
  <c r="M206" i="56"/>
  <c r="L206" i="56"/>
  <c r="K206" i="56"/>
  <c r="P205" i="56"/>
  <c r="O205" i="56"/>
  <c r="N205" i="56"/>
  <c r="M205" i="56"/>
  <c r="L205" i="56"/>
  <c r="K205" i="56"/>
  <c r="P204" i="56"/>
  <c r="O204" i="56"/>
  <c r="N204" i="56"/>
  <c r="M204" i="56"/>
  <c r="L204" i="56"/>
  <c r="K204" i="56"/>
  <c r="P203" i="56"/>
  <c r="I213" i="56" s="1"/>
  <c r="O203" i="56"/>
  <c r="H213" i="56" s="1"/>
  <c r="N203" i="56"/>
  <c r="M203" i="56"/>
  <c r="L203" i="56"/>
  <c r="E213" i="56" s="1"/>
  <c r="K203" i="56"/>
  <c r="D213" i="56" s="1"/>
  <c r="D199" i="56"/>
  <c r="E199" i="56" s="1"/>
  <c r="F199" i="56" s="1"/>
  <c r="G199" i="56" s="1"/>
  <c r="H199" i="56" s="1"/>
  <c r="I199" i="56" s="1"/>
  <c r="P175" i="56"/>
  <c r="O175" i="56"/>
  <c r="N175" i="56"/>
  <c r="M175" i="56"/>
  <c r="L175" i="56"/>
  <c r="K175" i="56"/>
  <c r="P174" i="56"/>
  <c r="O174" i="56"/>
  <c r="N174" i="56"/>
  <c r="M174" i="56"/>
  <c r="L174" i="56"/>
  <c r="K174" i="56"/>
  <c r="P173" i="56"/>
  <c r="O173" i="56"/>
  <c r="N173" i="56"/>
  <c r="M173" i="56"/>
  <c r="L173" i="56"/>
  <c r="K173" i="56"/>
  <c r="P172" i="56"/>
  <c r="O172" i="56"/>
  <c r="N172" i="56"/>
  <c r="M172" i="56"/>
  <c r="L172" i="56"/>
  <c r="K172" i="56"/>
  <c r="P171" i="56"/>
  <c r="O171" i="56"/>
  <c r="N171" i="56"/>
  <c r="M171" i="56"/>
  <c r="L171" i="56"/>
  <c r="K171" i="56"/>
  <c r="P170" i="56"/>
  <c r="O170" i="56"/>
  <c r="N170" i="56"/>
  <c r="M170" i="56"/>
  <c r="L170" i="56"/>
  <c r="K170" i="56"/>
  <c r="P169" i="56"/>
  <c r="O169" i="56"/>
  <c r="N169" i="56"/>
  <c r="M169" i="56"/>
  <c r="L169" i="56"/>
  <c r="K169" i="56"/>
  <c r="P168" i="56"/>
  <c r="O168" i="56"/>
  <c r="N168" i="56"/>
  <c r="M168" i="56"/>
  <c r="L168" i="56"/>
  <c r="K168" i="56"/>
  <c r="P167" i="56"/>
  <c r="I177" i="56" s="1"/>
  <c r="O167" i="56"/>
  <c r="H177" i="56" s="1"/>
  <c r="N167" i="56"/>
  <c r="G177" i="56" s="1"/>
  <c r="M167" i="56"/>
  <c r="F177" i="56" s="1"/>
  <c r="L167" i="56"/>
  <c r="E177" i="56" s="1"/>
  <c r="K167" i="56"/>
  <c r="D163" i="56"/>
  <c r="E163" i="56" s="1"/>
  <c r="F163" i="56" s="1"/>
  <c r="G163" i="56" s="1"/>
  <c r="H163" i="56" s="1"/>
  <c r="I163" i="56" s="1"/>
  <c r="P139" i="56"/>
  <c r="O139" i="56"/>
  <c r="N139" i="56"/>
  <c r="M139" i="56"/>
  <c r="L139" i="56"/>
  <c r="K139" i="56"/>
  <c r="P138" i="56"/>
  <c r="O138" i="56"/>
  <c r="N138" i="56"/>
  <c r="M138" i="56"/>
  <c r="L138" i="56"/>
  <c r="K138" i="56"/>
  <c r="P137" i="56"/>
  <c r="O137" i="56"/>
  <c r="N137" i="56"/>
  <c r="M137" i="56"/>
  <c r="L137" i="56"/>
  <c r="K137" i="56"/>
  <c r="P136" i="56"/>
  <c r="O136" i="56"/>
  <c r="N136" i="56"/>
  <c r="M136" i="56"/>
  <c r="L136" i="56"/>
  <c r="K136" i="56"/>
  <c r="P135" i="56"/>
  <c r="O135" i="56"/>
  <c r="N135" i="56"/>
  <c r="M135" i="56"/>
  <c r="L135" i="56"/>
  <c r="K135" i="56"/>
  <c r="P134" i="56"/>
  <c r="O134" i="56"/>
  <c r="N134" i="56"/>
  <c r="M134" i="56"/>
  <c r="L134" i="56"/>
  <c r="K134" i="56"/>
  <c r="P133" i="56"/>
  <c r="O133" i="56"/>
  <c r="N133" i="56"/>
  <c r="M133" i="56"/>
  <c r="L133" i="56"/>
  <c r="K133" i="56"/>
  <c r="P132" i="56"/>
  <c r="O132" i="56"/>
  <c r="N132" i="56"/>
  <c r="M132" i="56"/>
  <c r="L132" i="56"/>
  <c r="K132" i="56"/>
  <c r="P131" i="56"/>
  <c r="I141" i="56" s="1"/>
  <c r="O131" i="56"/>
  <c r="H141" i="56" s="1"/>
  <c r="N131" i="56"/>
  <c r="G141" i="56" s="1"/>
  <c r="M131" i="56"/>
  <c r="L131" i="56"/>
  <c r="E141" i="56" s="1"/>
  <c r="K131" i="56"/>
  <c r="D141" i="56" s="1"/>
  <c r="D127" i="56"/>
  <c r="E127" i="56" s="1"/>
  <c r="F127" i="56" s="1"/>
  <c r="G127" i="56" s="1"/>
  <c r="H127" i="56" s="1"/>
  <c r="I127" i="56" s="1"/>
  <c r="P103" i="56"/>
  <c r="O103" i="56"/>
  <c r="N103" i="56"/>
  <c r="M103" i="56"/>
  <c r="L103" i="56"/>
  <c r="K103" i="56"/>
  <c r="P102" i="56"/>
  <c r="O102" i="56"/>
  <c r="N102" i="56"/>
  <c r="M102" i="56"/>
  <c r="L102" i="56"/>
  <c r="K102" i="56"/>
  <c r="P101" i="56"/>
  <c r="O101" i="56"/>
  <c r="N101" i="56"/>
  <c r="M101" i="56"/>
  <c r="L101" i="56"/>
  <c r="K101" i="56"/>
  <c r="P100" i="56"/>
  <c r="O100" i="56"/>
  <c r="N100" i="56"/>
  <c r="M100" i="56"/>
  <c r="L100" i="56"/>
  <c r="K100" i="56"/>
  <c r="P99" i="56"/>
  <c r="O99" i="56"/>
  <c r="N99" i="56"/>
  <c r="M99" i="56"/>
  <c r="L99" i="56"/>
  <c r="K99" i="56"/>
  <c r="P98" i="56"/>
  <c r="O98" i="56"/>
  <c r="N98" i="56"/>
  <c r="M98" i="56"/>
  <c r="L98" i="56"/>
  <c r="K98" i="56"/>
  <c r="P97" i="56"/>
  <c r="O97" i="56"/>
  <c r="N97" i="56"/>
  <c r="M97" i="56"/>
  <c r="L97" i="56"/>
  <c r="K97" i="56"/>
  <c r="P96" i="56"/>
  <c r="O96" i="56"/>
  <c r="N96" i="56"/>
  <c r="M96" i="56"/>
  <c r="L96" i="56"/>
  <c r="K96" i="56"/>
  <c r="P95" i="56"/>
  <c r="I105" i="56" s="1"/>
  <c r="O95" i="56"/>
  <c r="H105" i="56" s="1"/>
  <c r="N95" i="56"/>
  <c r="M95" i="56"/>
  <c r="F105" i="56" s="1"/>
  <c r="L95" i="56"/>
  <c r="E105" i="56" s="1"/>
  <c r="K95" i="56"/>
  <c r="D105" i="56" s="1"/>
  <c r="D91" i="56"/>
  <c r="E91" i="56" s="1"/>
  <c r="F91" i="56" s="1"/>
  <c r="G91" i="56" s="1"/>
  <c r="H91" i="56" s="1"/>
  <c r="I91" i="56" s="1"/>
  <c r="P67" i="56"/>
  <c r="O67" i="56"/>
  <c r="N67" i="56"/>
  <c r="M67" i="56"/>
  <c r="L67" i="56"/>
  <c r="K67" i="56"/>
  <c r="P66" i="56"/>
  <c r="O66" i="56"/>
  <c r="N66" i="56"/>
  <c r="M66" i="56"/>
  <c r="L66" i="56"/>
  <c r="K66" i="56"/>
  <c r="P65" i="56"/>
  <c r="O65" i="56"/>
  <c r="N65" i="56"/>
  <c r="M65" i="56"/>
  <c r="L65" i="56"/>
  <c r="K65" i="56"/>
  <c r="P64" i="56"/>
  <c r="O64" i="56"/>
  <c r="N64" i="56"/>
  <c r="M64" i="56"/>
  <c r="L64" i="56"/>
  <c r="K64" i="56"/>
  <c r="P63" i="56"/>
  <c r="O63" i="56"/>
  <c r="N63" i="56"/>
  <c r="M63" i="56"/>
  <c r="L63" i="56"/>
  <c r="K63" i="56"/>
  <c r="P62" i="56"/>
  <c r="O62" i="56"/>
  <c r="N62" i="56"/>
  <c r="M62" i="56"/>
  <c r="L62" i="56"/>
  <c r="K62" i="56"/>
  <c r="P61" i="56"/>
  <c r="O61" i="56"/>
  <c r="N61" i="56"/>
  <c r="M61" i="56"/>
  <c r="L61" i="56"/>
  <c r="K61" i="56"/>
  <c r="P60" i="56"/>
  <c r="O60" i="56"/>
  <c r="N60" i="56"/>
  <c r="M60" i="56"/>
  <c r="L60" i="56"/>
  <c r="K60" i="56"/>
  <c r="P59" i="56"/>
  <c r="O59" i="56"/>
  <c r="H69" i="56" s="1"/>
  <c r="N59" i="56"/>
  <c r="G69" i="56" s="1"/>
  <c r="M59" i="56"/>
  <c r="L59" i="56"/>
  <c r="K59" i="56"/>
  <c r="D55" i="56"/>
  <c r="E55" i="56" s="1"/>
  <c r="F55" i="56" s="1"/>
  <c r="G55" i="56" s="1"/>
  <c r="H55" i="56" s="1"/>
  <c r="I55" i="56" s="1"/>
  <c r="D41" i="56"/>
  <c r="E41" i="56" s="1"/>
  <c r="F41" i="56" s="1"/>
  <c r="G41" i="56" s="1"/>
  <c r="H41" i="56" s="1"/>
  <c r="I41" i="56" s="1"/>
  <c r="D13" i="56"/>
  <c r="E13" i="56" s="1"/>
  <c r="F13" i="56" s="1"/>
  <c r="G13" i="56" s="1"/>
  <c r="H13" i="56" s="1"/>
  <c r="I13" i="56" s="1"/>
  <c r="G105" i="56"/>
  <c r="I69" i="56"/>
  <c r="C91" i="53"/>
  <c r="C118" i="53" s="1"/>
  <c r="C145" i="53" s="1"/>
  <c r="C172" i="53" s="1"/>
  <c r="P211" i="3"/>
  <c r="O211" i="3"/>
  <c r="N211" i="3"/>
  <c r="M211" i="3"/>
  <c r="L211" i="3"/>
  <c r="K211" i="3"/>
  <c r="P210" i="3"/>
  <c r="O210" i="3"/>
  <c r="N210" i="3"/>
  <c r="M210" i="3"/>
  <c r="L210" i="3"/>
  <c r="K210" i="3"/>
  <c r="P209" i="3"/>
  <c r="O209" i="3"/>
  <c r="N209" i="3"/>
  <c r="M209" i="3"/>
  <c r="L209" i="3"/>
  <c r="K209" i="3"/>
  <c r="P208" i="3"/>
  <c r="O208" i="3"/>
  <c r="N208" i="3"/>
  <c r="M208" i="3"/>
  <c r="L208" i="3"/>
  <c r="K208" i="3"/>
  <c r="P207" i="3"/>
  <c r="O207" i="3"/>
  <c r="N207" i="3"/>
  <c r="M207" i="3"/>
  <c r="L207" i="3"/>
  <c r="K207" i="3"/>
  <c r="P206" i="3"/>
  <c r="O206" i="3"/>
  <c r="N206" i="3"/>
  <c r="M206" i="3"/>
  <c r="L206" i="3"/>
  <c r="K206" i="3"/>
  <c r="P205" i="3"/>
  <c r="O205" i="3"/>
  <c r="N205" i="3"/>
  <c r="M205" i="3"/>
  <c r="L205" i="3"/>
  <c r="K205" i="3"/>
  <c r="P204" i="3"/>
  <c r="O204" i="3"/>
  <c r="N204" i="3"/>
  <c r="M204" i="3"/>
  <c r="L204" i="3"/>
  <c r="K204" i="3"/>
  <c r="P203" i="3"/>
  <c r="O203" i="3"/>
  <c r="N203" i="3"/>
  <c r="M203" i="3"/>
  <c r="F213" i="3" s="1"/>
  <c r="L203" i="3"/>
  <c r="E213" i="3" s="1"/>
  <c r="K203" i="3"/>
  <c r="D213" i="3" s="1"/>
  <c r="D199" i="3"/>
  <c r="E199" i="3" s="1"/>
  <c r="F199" i="3" s="1"/>
  <c r="G199" i="3" s="1"/>
  <c r="H199" i="3" s="1"/>
  <c r="I199" i="3" s="1"/>
  <c r="P175" i="3"/>
  <c r="O175" i="3"/>
  <c r="N175" i="3"/>
  <c r="M175" i="3"/>
  <c r="L175" i="3"/>
  <c r="K175" i="3"/>
  <c r="P174" i="3"/>
  <c r="O174" i="3"/>
  <c r="N174" i="3"/>
  <c r="M174" i="3"/>
  <c r="L174" i="3"/>
  <c r="K174" i="3"/>
  <c r="P173" i="3"/>
  <c r="O173" i="3"/>
  <c r="N173" i="3"/>
  <c r="M173" i="3"/>
  <c r="L173" i="3"/>
  <c r="K173" i="3"/>
  <c r="P172" i="3"/>
  <c r="O172" i="3"/>
  <c r="N172" i="3"/>
  <c r="M172" i="3"/>
  <c r="L172" i="3"/>
  <c r="K172" i="3"/>
  <c r="P171" i="3"/>
  <c r="O171" i="3"/>
  <c r="N171" i="3"/>
  <c r="M171" i="3"/>
  <c r="L171" i="3"/>
  <c r="K171" i="3"/>
  <c r="P170" i="3"/>
  <c r="O170" i="3"/>
  <c r="N170" i="3"/>
  <c r="M170" i="3"/>
  <c r="L170" i="3"/>
  <c r="K170" i="3"/>
  <c r="P169" i="3"/>
  <c r="O169" i="3"/>
  <c r="N169" i="3"/>
  <c r="M169" i="3"/>
  <c r="L169" i="3"/>
  <c r="K169" i="3"/>
  <c r="P168" i="3"/>
  <c r="O168" i="3"/>
  <c r="N168" i="3"/>
  <c r="M168" i="3"/>
  <c r="L168" i="3"/>
  <c r="K168" i="3"/>
  <c r="P167" i="3"/>
  <c r="I177" i="3" s="1"/>
  <c r="O167" i="3"/>
  <c r="H177" i="3" s="1"/>
  <c r="N167" i="3"/>
  <c r="G177" i="3" s="1"/>
  <c r="M167" i="3"/>
  <c r="F177" i="3" s="1"/>
  <c r="L167" i="3"/>
  <c r="K167" i="3"/>
  <c r="D177" i="3" s="1"/>
  <c r="D163" i="3"/>
  <c r="E163" i="3" s="1"/>
  <c r="F163" i="3" s="1"/>
  <c r="G163" i="3" s="1"/>
  <c r="H163" i="3" s="1"/>
  <c r="I163" i="3" s="1"/>
  <c r="P139" i="3"/>
  <c r="O139" i="3"/>
  <c r="N139" i="3"/>
  <c r="M139" i="3"/>
  <c r="L139" i="3"/>
  <c r="K139" i="3"/>
  <c r="P138" i="3"/>
  <c r="O138" i="3"/>
  <c r="N138" i="3"/>
  <c r="M138" i="3"/>
  <c r="L138" i="3"/>
  <c r="K138" i="3"/>
  <c r="P137" i="3"/>
  <c r="O137" i="3"/>
  <c r="N137" i="3"/>
  <c r="M137" i="3"/>
  <c r="L137" i="3"/>
  <c r="K137" i="3"/>
  <c r="P136" i="3"/>
  <c r="O136" i="3"/>
  <c r="N136" i="3"/>
  <c r="M136" i="3"/>
  <c r="L136" i="3"/>
  <c r="K136" i="3"/>
  <c r="P135" i="3"/>
  <c r="O135" i="3"/>
  <c r="N135" i="3"/>
  <c r="M135" i="3"/>
  <c r="L135" i="3"/>
  <c r="K135" i="3"/>
  <c r="P134" i="3"/>
  <c r="O134" i="3"/>
  <c r="N134" i="3"/>
  <c r="M134" i="3"/>
  <c r="L134" i="3"/>
  <c r="K134" i="3"/>
  <c r="P133" i="3"/>
  <c r="O133" i="3"/>
  <c r="N133" i="3"/>
  <c r="M133" i="3"/>
  <c r="L133" i="3"/>
  <c r="K133" i="3"/>
  <c r="P132" i="3"/>
  <c r="O132" i="3"/>
  <c r="N132" i="3"/>
  <c r="M132" i="3"/>
  <c r="L132" i="3"/>
  <c r="K132" i="3"/>
  <c r="P131" i="3"/>
  <c r="O131" i="3"/>
  <c r="H141" i="3" s="1"/>
  <c r="N131" i="3"/>
  <c r="G141" i="3" s="1"/>
  <c r="M131" i="3"/>
  <c r="F141" i="3" s="1"/>
  <c r="L131" i="3"/>
  <c r="E141" i="3" s="1"/>
  <c r="K131" i="3"/>
  <c r="D127" i="3"/>
  <c r="E127" i="3" s="1"/>
  <c r="F127" i="3" s="1"/>
  <c r="G127" i="3" s="1"/>
  <c r="H127" i="3" s="1"/>
  <c r="I127" i="3" s="1"/>
  <c r="P103" i="3"/>
  <c r="O103" i="3"/>
  <c r="N103" i="3"/>
  <c r="M103" i="3"/>
  <c r="L103" i="3"/>
  <c r="K103" i="3"/>
  <c r="P102" i="3"/>
  <c r="O102" i="3"/>
  <c r="N102" i="3"/>
  <c r="M102" i="3"/>
  <c r="L102" i="3"/>
  <c r="K102" i="3"/>
  <c r="P101" i="3"/>
  <c r="O101" i="3"/>
  <c r="N101" i="3"/>
  <c r="M101" i="3"/>
  <c r="L101" i="3"/>
  <c r="K101" i="3"/>
  <c r="P100" i="3"/>
  <c r="O100" i="3"/>
  <c r="N100" i="3"/>
  <c r="M100" i="3"/>
  <c r="L100" i="3"/>
  <c r="K100" i="3"/>
  <c r="P99" i="3"/>
  <c r="O99" i="3"/>
  <c r="N99" i="3"/>
  <c r="M99" i="3"/>
  <c r="L99" i="3"/>
  <c r="K99" i="3"/>
  <c r="P98" i="3"/>
  <c r="O98" i="3"/>
  <c r="N98" i="3"/>
  <c r="M98" i="3"/>
  <c r="L98" i="3"/>
  <c r="K98" i="3"/>
  <c r="P97" i="3"/>
  <c r="O97" i="3"/>
  <c r="N97" i="3"/>
  <c r="M97" i="3"/>
  <c r="L97" i="3"/>
  <c r="K97" i="3"/>
  <c r="P96" i="3"/>
  <c r="O96" i="3"/>
  <c r="N96" i="3"/>
  <c r="M96" i="3"/>
  <c r="L96" i="3"/>
  <c r="K96" i="3"/>
  <c r="P95" i="3"/>
  <c r="I105" i="3" s="1"/>
  <c r="O95" i="3"/>
  <c r="H105" i="3" s="1"/>
  <c r="N95" i="3"/>
  <c r="G105" i="3" s="1"/>
  <c r="M95" i="3"/>
  <c r="F105" i="3" s="1"/>
  <c r="L95" i="3"/>
  <c r="E105" i="3" s="1"/>
  <c r="K95" i="3"/>
  <c r="D91" i="3"/>
  <c r="E91" i="3" s="1"/>
  <c r="F91" i="3" s="1"/>
  <c r="G91" i="3" s="1"/>
  <c r="H91" i="3" s="1"/>
  <c r="I91" i="3" s="1"/>
  <c r="I141" i="3"/>
  <c r="E177" i="3"/>
  <c r="E7" i="51"/>
  <c r="F7" i="51" s="1"/>
  <c r="G7" i="51" s="1"/>
  <c r="H7" i="51" s="1"/>
  <c r="I7" i="51" s="1"/>
  <c r="J7" i="51" s="1"/>
  <c r="E7" i="49"/>
  <c r="F7" i="49" s="1"/>
  <c r="G7" i="49" s="1"/>
  <c r="H7" i="49" s="1"/>
  <c r="I7" i="49" s="1"/>
  <c r="J7" i="49" s="1"/>
  <c r="AL6" i="14"/>
  <c r="AM6" i="14" s="1"/>
  <c r="AN6" i="14" s="1"/>
  <c r="AO6" i="14" s="1"/>
  <c r="AP6" i="14" s="1"/>
  <c r="AQ6" i="14" s="1"/>
  <c r="E7" i="47"/>
  <c r="F7" i="47" s="1"/>
  <c r="G7" i="47" s="1"/>
  <c r="H7" i="47" s="1"/>
  <c r="I7" i="47" s="1"/>
  <c r="J7" i="47" s="1"/>
  <c r="D164" i="53"/>
  <c r="E164" i="53" s="1"/>
  <c r="F164" i="53" s="1"/>
  <c r="G164" i="53" s="1"/>
  <c r="H164" i="53" s="1"/>
  <c r="I164" i="53" s="1"/>
  <c r="D137" i="53"/>
  <c r="E137" i="53" s="1"/>
  <c r="F137" i="53" s="1"/>
  <c r="G137" i="53" s="1"/>
  <c r="H137" i="53" s="1"/>
  <c r="I137" i="53" s="1"/>
  <c r="D110" i="53"/>
  <c r="E110" i="53" s="1"/>
  <c r="F110" i="53" s="1"/>
  <c r="G110" i="53" s="1"/>
  <c r="H110" i="53" s="1"/>
  <c r="I110" i="53" s="1"/>
  <c r="D83" i="53"/>
  <c r="E83" i="53" s="1"/>
  <c r="F83" i="53" s="1"/>
  <c r="G83" i="53" s="1"/>
  <c r="H83" i="53" s="1"/>
  <c r="I83" i="53" s="1"/>
  <c r="C14" i="54"/>
  <c r="D14" i="54" s="1"/>
  <c r="E14" i="54" s="1"/>
  <c r="F14" i="54" s="1"/>
  <c r="G14" i="54" s="1"/>
  <c r="H14" i="54" s="1"/>
  <c r="D56" i="53"/>
  <c r="E56" i="53" s="1"/>
  <c r="F56" i="53" s="1"/>
  <c r="G56" i="53" s="1"/>
  <c r="H56" i="53" s="1"/>
  <c r="I56" i="53" s="1"/>
  <c r="D41" i="53"/>
  <c r="E41" i="53" s="1"/>
  <c r="F41" i="53" s="1"/>
  <c r="G41" i="53" s="1"/>
  <c r="H41" i="53" s="1"/>
  <c r="I41" i="53" s="1"/>
  <c r="D13" i="53"/>
  <c r="E13" i="53" s="1"/>
  <c r="F13" i="53" s="1"/>
  <c r="G13" i="53" s="1"/>
  <c r="H13" i="53" s="1"/>
  <c r="I13" i="53" s="1"/>
  <c r="B87" i="51"/>
  <c r="B70" i="51"/>
  <c r="B53" i="51"/>
  <c r="B36" i="51"/>
  <c r="F26" i="51"/>
  <c r="F29" i="51" s="1"/>
  <c r="B19" i="51"/>
  <c r="B87" i="49"/>
  <c r="B70" i="49"/>
  <c r="B53" i="49"/>
  <c r="B36" i="49"/>
  <c r="B19" i="49"/>
  <c r="B91" i="47"/>
  <c r="D91" i="47" s="1"/>
  <c r="B73" i="47"/>
  <c r="D73" i="47" s="1"/>
  <c r="B55" i="47"/>
  <c r="D55" i="47" s="1"/>
  <c r="B37" i="47"/>
  <c r="D37" i="47" s="1"/>
  <c r="H34" i="1"/>
  <c r="H27" i="1"/>
  <c r="F27" i="50"/>
  <c r="G27" i="50" s="1"/>
  <c r="H27" i="50" s="1"/>
  <c r="I27" i="50" s="1"/>
  <c r="J27" i="50" s="1"/>
  <c r="K27" i="50" s="1"/>
  <c r="H3" i="14"/>
  <c r="X254" i="50"/>
  <c r="D299" i="50" s="1"/>
  <c r="J299" i="50" s="1"/>
  <c r="X255" i="50"/>
  <c r="X256" i="50"/>
  <c r="D271" i="50" s="1"/>
  <c r="X257" i="50"/>
  <c r="X258" i="50"/>
  <c r="D371" i="50" s="1"/>
  <c r="J371" i="50" s="1"/>
  <c r="X259" i="50"/>
  <c r="X260" i="50"/>
  <c r="X261" i="50"/>
  <c r="X262" i="50"/>
  <c r="D443" i="50" s="1"/>
  <c r="J443" i="50" s="1"/>
  <c r="X253" i="50"/>
  <c r="X39" i="50"/>
  <c r="D84" i="50" s="1"/>
  <c r="J84" i="50" s="1"/>
  <c r="X40" i="50"/>
  <c r="D55" i="50" s="1"/>
  <c r="X41" i="50"/>
  <c r="D56" i="50" s="1"/>
  <c r="X42" i="50"/>
  <c r="X43" i="50"/>
  <c r="D156" i="50" s="1"/>
  <c r="J156" i="50" s="1"/>
  <c r="X44" i="50"/>
  <c r="X45" i="50"/>
  <c r="D60" i="50" s="1"/>
  <c r="X46" i="50"/>
  <c r="X47" i="50"/>
  <c r="X38" i="50"/>
  <c r="F215" i="41"/>
  <c r="H217" i="41" s="1"/>
  <c r="F200" i="41"/>
  <c r="H202" i="41" s="1"/>
  <c r="F185" i="41"/>
  <c r="H187" i="41" s="1"/>
  <c r="F170" i="41"/>
  <c r="H172" i="41" s="1"/>
  <c r="F155" i="41"/>
  <c r="H157" i="41" s="1"/>
  <c r="F140" i="41"/>
  <c r="H142" i="41" s="1"/>
  <c r="F125" i="41"/>
  <c r="H127" i="41" s="1"/>
  <c r="F110" i="41"/>
  <c r="H112" i="41" s="1"/>
  <c r="F95" i="41"/>
  <c r="H97" i="41" s="1"/>
  <c r="F80" i="41"/>
  <c r="H82" i="41" s="1"/>
  <c r="F65" i="41"/>
  <c r="F67" i="41"/>
  <c r="F217" i="41"/>
  <c r="F202" i="41"/>
  <c r="F187" i="41"/>
  <c r="F172" i="41"/>
  <c r="F157" i="41"/>
  <c r="F142" i="41"/>
  <c r="F127" i="41"/>
  <c r="F112" i="41"/>
  <c r="F97" i="41"/>
  <c r="F82" i="41"/>
  <c r="C214" i="41"/>
  <c r="C199" i="41"/>
  <c r="C184" i="41"/>
  <c r="C169" i="41"/>
  <c r="C154" i="41"/>
  <c r="C139" i="41"/>
  <c r="C124" i="41"/>
  <c r="C109" i="41"/>
  <c r="C94" i="41"/>
  <c r="C79" i="41"/>
  <c r="C64" i="41"/>
  <c r="E215" i="41"/>
  <c r="E200" i="41"/>
  <c r="E185" i="41"/>
  <c r="E170" i="41"/>
  <c r="E155" i="41"/>
  <c r="E140" i="41"/>
  <c r="E125" i="41"/>
  <c r="E110" i="41"/>
  <c r="E95" i="41"/>
  <c r="E80" i="41"/>
  <c r="E65" i="41"/>
  <c r="N185" i="37"/>
  <c r="O185" i="37" s="1"/>
  <c r="P185" i="37" s="1"/>
  <c r="Q185" i="37" s="1"/>
  <c r="R185" i="37" s="1"/>
  <c r="S185" i="37" s="1"/>
  <c r="D48" i="1"/>
  <c r="W254" i="50"/>
  <c r="W255" i="50"/>
  <c r="W256" i="50"/>
  <c r="W257" i="50"/>
  <c r="W258" i="50"/>
  <c r="W259" i="50"/>
  <c r="W260" i="50"/>
  <c r="W261" i="50"/>
  <c r="W262" i="50"/>
  <c r="W253" i="50"/>
  <c r="W39" i="50"/>
  <c r="W40" i="50"/>
  <c r="W41" i="50"/>
  <c r="W42" i="50"/>
  <c r="W43" i="50"/>
  <c r="W44" i="50"/>
  <c r="W45" i="50"/>
  <c r="W46" i="50"/>
  <c r="W47" i="50"/>
  <c r="W38" i="50"/>
  <c r="J275" i="50"/>
  <c r="W275" i="50" s="1"/>
  <c r="J61" i="50"/>
  <c r="W61" i="50" s="1"/>
  <c r="V39" i="50"/>
  <c r="V40" i="50" s="1"/>
  <c r="F453" i="50"/>
  <c r="G453" i="50" s="1"/>
  <c r="H453" i="50" s="1"/>
  <c r="I453" i="50" s="1"/>
  <c r="J453" i="50" s="1"/>
  <c r="K453" i="50" s="1"/>
  <c r="F445" i="50"/>
  <c r="G445" i="50" s="1"/>
  <c r="H445" i="50" s="1"/>
  <c r="I445" i="50" s="1"/>
  <c r="J445" i="50" s="1"/>
  <c r="K445" i="50" s="1"/>
  <c r="F435" i="50"/>
  <c r="G435" i="50" s="1"/>
  <c r="H435" i="50" s="1"/>
  <c r="I435" i="50" s="1"/>
  <c r="J435" i="50" s="1"/>
  <c r="K435" i="50" s="1"/>
  <c r="F427" i="50"/>
  <c r="G427" i="50" s="1"/>
  <c r="H427" i="50" s="1"/>
  <c r="I427" i="50" s="1"/>
  <c r="J427" i="50" s="1"/>
  <c r="K427" i="50" s="1"/>
  <c r="F417" i="50"/>
  <c r="G417" i="50" s="1"/>
  <c r="H417" i="50" s="1"/>
  <c r="I417" i="50" s="1"/>
  <c r="J417" i="50" s="1"/>
  <c r="K417" i="50" s="1"/>
  <c r="F409" i="50"/>
  <c r="G409" i="50" s="1"/>
  <c r="H409" i="50" s="1"/>
  <c r="I409" i="50" s="1"/>
  <c r="J409" i="50" s="1"/>
  <c r="K409" i="50" s="1"/>
  <c r="F399" i="50"/>
  <c r="G399" i="50" s="1"/>
  <c r="H399" i="50" s="1"/>
  <c r="I399" i="50" s="1"/>
  <c r="J399" i="50" s="1"/>
  <c r="K399" i="50" s="1"/>
  <c r="F391" i="50"/>
  <c r="G391" i="50" s="1"/>
  <c r="H391" i="50" s="1"/>
  <c r="I391" i="50" s="1"/>
  <c r="J391" i="50" s="1"/>
  <c r="K391" i="50" s="1"/>
  <c r="F381" i="50"/>
  <c r="G381" i="50" s="1"/>
  <c r="H381" i="50" s="1"/>
  <c r="I381" i="50" s="1"/>
  <c r="J381" i="50" s="1"/>
  <c r="K381" i="50" s="1"/>
  <c r="F373" i="50"/>
  <c r="G373" i="50" s="1"/>
  <c r="H373" i="50" s="1"/>
  <c r="I373" i="50" s="1"/>
  <c r="J373" i="50" s="1"/>
  <c r="K373" i="50" s="1"/>
  <c r="F363" i="50"/>
  <c r="G363" i="50" s="1"/>
  <c r="H363" i="50" s="1"/>
  <c r="I363" i="50" s="1"/>
  <c r="J363" i="50" s="1"/>
  <c r="K363" i="50" s="1"/>
  <c r="F355" i="50"/>
  <c r="G355" i="50" s="1"/>
  <c r="H355" i="50" s="1"/>
  <c r="I355" i="50" s="1"/>
  <c r="J355" i="50" s="1"/>
  <c r="K355" i="50" s="1"/>
  <c r="F345" i="50"/>
  <c r="G345" i="50" s="1"/>
  <c r="H345" i="50" s="1"/>
  <c r="I345" i="50" s="1"/>
  <c r="J345" i="50" s="1"/>
  <c r="K345" i="50" s="1"/>
  <c r="F337" i="50"/>
  <c r="G337" i="50" s="1"/>
  <c r="H337" i="50" s="1"/>
  <c r="I337" i="50" s="1"/>
  <c r="J337" i="50" s="1"/>
  <c r="K337" i="50" s="1"/>
  <c r="F327" i="50"/>
  <c r="G327" i="50" s="1"/>
  <c r="H327" i="50" s="1"/>
  <c r="I327" i="50" s="1"/>
  <c r="J327" i="50" s="1"/>
  <c r="K327" i="50" s="1"/>
  <c r="F319" i="50"/>
  <c r="G319" i="50" s="1"/>
  <c r="H319" i="50" s="1"/>
  <c r="I319" i="50" s="1"/>
  <c r="J319" i="50" s="1"/>
  <c r="K319" i="50" s="1"/>
  <c r="F309" i="50"/>
  <c r="G309" i="50" s="1"/>
  <c r="H309" i="50" s="1"/>
  <c r="I309" i="50" s="1"/>
  <c r="J309" i="50" s="1"/>
  <c r="K309" i="50" s="1"/>
  <c r="F301" i="50"/>
  <c r="G301" i="50" s="1"/>
  <c r="H301" i="50" s="1"/>
  <c r="I301" i="50" s="1"/>
  <c r="J301" i="50" s="1"/>
  <c r="K301" i="50" s="1"/>
  <c r="F291" i="50"/>
  <c r="G291" i="50" s="1"/>
  <c r="H291" i="50" s="1"/>
  <c r="I291" i="50" s="1"/>
  <c r="J291" i="50" s="1"/>
  <c r="K291" i="50" s="1"/>
  <c r="F283" i="50"/>
  <c r="G283" i="50" s="1"/>
  <c r="H283" i="50" s="1"/>
  <c r="I283" i="50" s="1"/>
  <c r="J283" i="50" s="1"/>
  <c r="K283" i="50" s="1"/>
  <c r="J262" i="50"/>
  <c r="J261" i="50"/>
  <c r="J260" i="50"/>
  <c r="J259" i="50"/>
  <c r="J258" i="50"/>
  <c r="J257" i="50"/>
  <c r="J256" i="50"/>
  <c r="J255" i="50"/>
  <c r="J254" i="50"/>
  <c r="J253" i="50"/>
  <c r="F238" i="50"/>
  <c r="G238" i="50" s="1"/>
  <c r="H238" i="50" s="1"/>
  <c r="I238" i="50" s="1"/>
  <c r="J238" i="50" s="1"/>
  <c r="K238" i="50" s="1"/>
  <c r="F230" i="50"/>
  <c r="G230" i="50" s="1"/>
  <c r="H230" i="50" s="1"/>
  <c r="I230" i="50" s="1"/>
  <c r="J230" i="50" s="1"/>
  <c r="K230" i="50" s="1"/>
  <c r="F220" i="50"/>
  <c r="G220" i="50" s="1"/>
  <c r="H220" i="50" s="1"/>
  <c r="I220" i="50" s="1"/>
  <c r="J220" i="50" s="1"/>
  <c r="K220" i="50" s="1"/>
  <c r="F212" i="50"/>
  <c r="G212" i="50" s="1"/>
  <c r="H212" i="50" s="1"/>
  <c r="I212" i="50" s="1"/>
  <c r="J212" i="50" s="1"/>
  <c r="K212" i="50" s="1"/>
  <c r="F202" i="50"/>
  <c r="G202" i="50" s="1"/>
  <c r="H202" i="50" s="1"/>
  <c r="I202" i="50" s="1"/>
  <c r="J202" i="50" s="1"/>
  <c r="K202" i="50" s="1"/>
  <c r="F194" i="50"/>
  <c r="G194" i="50" s="1"/>
  <c r="H194" i="50" s="1"/>
  <c r="I194" i="50" s="1"/>
  <c r="J194" i="50" s="1"/>
  <c r="K194" i="50" s="1"/>
  <c r="F184" i="50"/>
  <c r="G184" i="50" s="1"/>
  <c r="H184" i="50" s="1"/>
  <c r="I184" i="50" s="1"/>
  <c r="J184" i="50" s="1"/>
  <c r="K184" i="50" s="1"/>
  <c r="F176" i="50"/>
  <c r="G176" i="50" s="1"/>
  <c r="H176" i="50" s="1"/>
  <c r="I176" i="50" s="1"/>
  <c r="J176" i="50" s="1"/>
  <c r="K176" i="50" s="1"/>
  <c r="F166" i="50"/>
  <c r="G166" i="50" s="1"/>
  <c r="H166" i="50" s="1"/>
  <c r="I166" i="50" s="1"/>
  <c r="J166" i="50" s="1"/>
  <c r="K166" i="50" s="1"/>
  <c r="F158" i="50"/>
  <c r="G158" i="50" s="1"/>
  <c r="H158" i="50" s="1"/>
  <c r="I158" i="50" s="1"/>
  <c r="J158" i="50" s="1"/>
  <c r="K158" i="50" s="1"/>
  <c r="F148" i="50"/>
  <c r="G148" i="50" s="1"/>
  <c r="H148" i="50" s="1"/>
  <c r="I148" i="50" s="1"/>
  <c r="J148" i="50" s="1"/>
  <c r="K148" i="50" s="1"/>
  <c r="F140" i="50"/>
  <c r="G140" i="50" s="1"/>
  <c r="H140" i="50" s="1"/>
  <c r="I140" i="50" s="1"/>
  <c r="J140" i="50" s="1"/>
  <c r="K140" i="50" s="1"/>
  <c r="F130" i="50"/>
  <c r="G130" i="50" s="1"/>
  <c r="H130" i="50" s="1"/>
  <c r="I130" i="50" s="1"/>
  <c r="J130" i="50" s="1"/>
  <c r="K130" i="50" s="1"/>
  <c r="F122" i="50"/>
  <c r="G122" i="50" s="1"/>
  <c r="H122" i="50" s="1"/>
  <c r="I122" i="50" s="1"/>
  <c r="J122" i="50" s="1"/>
  <c r="K122" i="50" s="1"/>
  <c r="F112" i="50"/>
  <c r="G112" i="50" s="1"/>
  <c r="H112" i="50" s="1"/>
  <c r="I112" i="50" s="1"/>
  <c r="J112" i="50" s="1"/>
  <c r="K112" i="50" s="1"/>
  <c r="F104" i="50"/>
  <c r="G104" i="50" s="1"/>
  <c r="H104" i="50" s="1"/>
  <c r="I104" i="50" s="1"/>
  <c r="J104" i="50" s="1"/>
  <c r="K104" i="50" s="1"/>
  <c r="F94" i="50"/>
  <c r="G94" i="50" s="1"/>
  <c r="H94" i="50" s="1"/>
  <c r="I94" i="50" s="1"/>
  <c r="J94" i="50" s="1"/>
  <c r="K94" i="50" s="1"/>
  <c r="F86" i="50"/>
  <c r="G86" i="50" s="1"/>
  <c r="H86" i="50" s="1"/>
  <c r="I86" i="50" s="1"/>
  <c r="J86" i="50" s="1"/>
  <c r="K86" i="50" s="1"/>
  <c r="F76" i="50"/>
  <c r="G76" i="50" s="1"/>
  <c r="H76" i="50" s="1"/>
  <c r="I76" i="50" s="1"/>
  <c r="J76" i="50" s="1"/>
  <c r="K76" i="50" s="1"/>
  <c r="F68" i="50"/>
  <c r="G68" i="50" s="1"/>
  <c r="H68" i="50" s="1"/>
  <c r="I68" i="50" s="1"/>
  <c r="J68" i="50" s="1"/>
  <c r="K68" i="50" s="1"/>
  <c r="J47" i="50"/>
  <c r="J46" i="50"/>
  <c r="J45" i="50"/>
  <c r="J44" i="50"/>
  <c r="J43" i="50"/>
  <c r="J42" i="50"/>
  <c r="J41" i="50"/>
  <c r="J40" i="50"/>
  <c r="J39" i="50"/>
  <c r="F21" i="50"/>
  <c r="G21" i="50" s="1"/>
  <c r="H21" i="50" s="1"/>
  <c r="I21" i="50" s="1"/>
  <c r="J21" i="50" s="1"/>
  <c r="K21" i="50" s="1"/>
  <c r="F15" i="50"/>
  <c r="G15" i="50" s="1"/>
  <c r="H15" i="50" s="1"/>
  <c r="I15" i="50" s="1"/>
  <c r="J15" i="50" s="1"/>
  <c r="K15" i="50" s="1"/>
  <c r="K1" i="50"/>
  <c r="I395" i="41"/>
  <c r="O402" i="41" s="1"/>
  <c r="L402" i="41" s="1"/>
  <c r="W112" i="37"/>
  <c r="W113" i="37"/>
  <c r="E50" i="37" s="1"/>
  <c r="W114" i="37"/>
  <c r="E51" i="37" s="1"/>
  <c r="W115" i="37"/>
  <c r="E52" i="37" s="1"/>
  <c r="W116" i="37"/>
  <c r="E53" i="37" s="1"/>
  <c r="W117" i="37"/>
  <c r="E54" i="37" s="1"/>
  <c r="W118" i="37"/>
  <c r="E55" i="37" s="1"/>
  <c r="W119" i="37"/>
  <c r="E56" i="37" s="1"/>
  <c r="W120" i="37"/>
  <c r="E57" i="37" s="1"/>
  <c r="W111" i="37"/>
  <c r="E48" i="37" s="1"/>
  <c r="E23" i="37"/>
  <c r="E18" i="37"/>
  <c r="U90" i="38"/>
  <c r="G43" i="7"/>
  <c r="DB254" i="47"/>
  <c r="DC254" i="47" s="1"/>
  <c r="DB255" i="47"/>
  <c r="DC255" i="47" s="1"/>
  <c r="DB256" i="47"/>
  <c r="DC256" i="47" s="1"/>
  <c r="DB257" i="47"/>
  <c r="DC257" i="47" s="1"/>
  <c r="DB258" i="47"/>
  <c r="DC258" i="47" s="1"/>
  <c r="DB259" i="47"/>
  <c r="DC259" i="47" s="1"/>
  <c r="DB260" i="47"/>
  <c r="DC260" i="47" s="1"/>
  <c r="DB261" i="47"/>
  <c r="DC261" i="47" s="1"/>
  <c r="DB262" i="47"/>
  <c r="DC262" i="47" s="1"/>
  <c r="DB263" i="47"/>
  <c r="DC263" i="47" s="1"/>
  <c r="DB264" i="47"/>
  <c r="DC264" i="47" s="1"/>
  <c r="DB265" i="47"/>
  <c r="DC265" i="47" s="1"/>
  <c r="DB266" i="47"/>
  <c r="DC266" i="47" s="1"/>
  <c r="DB267" i="47"/>
  <c r="DC267" i="47" s="1"/>
  <c r="DB268" i="47"/>
  <c r="DC268" i="47" s="1"/>
  <c r="DB269" i="47"/>
  <c r="DC269" i="47" s="1"/>
  <c r="DD270" i="47" s="1"/>
  <c r="DB253" i="47"/>
  <c r="DC253" i="47" s="1"/>
  <c r="DB229" i="47"/>
  <c r="DC229" i="47" s="1"/>
  <c r="DB230" i="47"/>
  <c r="DC230" i="47" s="1"/>
  <c r="DB231" i="47"/>
  <c r="DC231" i="47" s="1"/>
  <c r="DB232" i="47"/>
  <c r="DC232" i="47" s="1"/>
  <c r="DB233" i="47"/>
  <c r="DC233" i="47" s="1"/>
  <c r="DB234" i="47"/>
  <c r="DC234" i="47" s="1"/>
  <c r="DB235" i="47"/>
  <c r="DC235" i="47" s="1"/>
  <c r="DB236" i="47"/>
  <c r="DC236" i="47" s="1"/>
  <c r="DB237" i="47"/>
  <c r="DC237" i="47" s="1"/>
  <c r="DB238" i="47"/>
  <c r="DC238" i="47" s="1"/>
  <c r="DB239" i="47"/>
  <c r="DC239" i="47" s="1"/>
  <c r="DB240" i="47"/>
  <c r="DC240" i="47" s="1"/>
  <c r="DB241" i="47"/>
  <c r="DC241" i="47" s="1"/>
  <c r="DB242" i="47"/>
  <c r="DC242" i="47" s="1"/>
  <c r="DB243" i="47"/>
  <c r="DC243" i="47" s="1"/>
  <c r="DB244" i="47"/>
  <c r="DC244" i="47" s="1"/>
  <c r="DD245" i="47" s="1"/>
  <c r="DB228" i="47"/>
  <c r="DC228" i="47" s="1"/>
  <c r="U56" i="38"/>
  <c r="V56" i="38"/>
  <c r="U57" i="38"/>
  <c r="V57" i="38"/>
  <c r="U58" i="38"/>
  <c r="V58" i="38"/>
  <c r="U59" i="38"/>
  <c r="V59" i="38"/>
  <c r="N163" i="37"/>
  <c r="O163" i="37" s="1"/>
  <c r="P163" i="37" s="1"/>
  <c r="Q163" i="37" s="1"/>
  <c r="R163" i="37" s="1"/>
  <c r="S163" i="37" s="1"/>
  <c r="G42" i="7"/>
  <c r="L42" i="7" s="1"/>
  <c r="M42" i="7" s="1"/>
  <c r="G232" i="7"/>
  <c r="L232" i="7" s="1"/>
  <c r="G233" i="7"/>
  <c r="L233" i="7" s="1"/>
  <c r="G234" i="7"/>
  <c r="L234" i="7" s="1"/>
  <c r="G235" i="7"/>
  <c r="L235" i="7" s="1"/>
  <c r="G236" i="7"/>
  <c r="L236" i="7" s="1"/>
  <c r="G237" i="7"/>
  <c r="L237" i="7" s="1"/>
  <c r="G238" i="7"/>
  <c r="L238" i="7" s="1"/>
  <c r="G239" i="7"/>
  <c r="L239" i="7" s="1"/>
  <c r="D13" i="3"/>
  <c r="E13" i="3" s="1"/>
  <c r="F13" i="3" s="1"/>
  <c r="G13" i="3" s="1"/>
  <c r="H13" i="3" s="1"/>
  <c r="I13" i="3" s="1"/>
  <c r="K239" i="7"/>
  <c r="K238" i="7"/>
  <c r="K237" i="7"/>
  <c r="K236" i="7"/>
  <c r="K235" i="7"/>
  <c r="K234" i="7"/>
  <c r="K233" i="7"/>
  <c r="K232" i="7"/>
  <c r="K45" i="7"/>
  <c r="K46" i="7"/>
  <c r="K47" i="7"/>
  <c r="K48" i="7"/>
  <c r="K49" i="7"/>
  <c r="K50" i="7"/>
  <c r="J404" i="41"/>
  <c r="AD134" i="15"/>
  <c r="AD135" i="15"/>
  <c r="AD136" i="15"/>
  <c r="AD137" i="15"/>
  <c r="AD138" i="15"/>
  <c r="AD139" i="15"/>
  <c r="AD140" i="15"/>
  <c r="AD141" i="15"/>
  <c r="AD142" i="15"/>
  <c r="AD133" i="15"/>
  <c r="E188" i="15" s="1"/>
  <c r="B19" i="47"/>
  <c r="DB219" i="47"/>
  <c r="DC219" i="47" s="1"/>
  <c r="DD220" i="47" s="1"/>
  <c r="DB218" i="47"/>
  <c r="DC218" i="47" s="1"/>
  <c r="DB217" i="47"/>
  <c r="DC217" i="47" s="1"/>
  <c r="DB216" i="47"/>
  <c r="DC216" i="47" s="1"/>
  <c r="DB215" i="47"/>
  <c r="DC215" i="47" s="1"/>
  <c r="DB214" i="47"/>
  <c r="DC214" i="47" s="1"/>
  <c r="C37" i="46"/>
  <c r="D37" i="46" s="1"/>
  <c r="E37" i="46" s="1"/>
  <c r="F37" i="46" s="1"/>
  <c r="G37" i="46" s="1"/>
  <c r="H37" i="46" s="1"/>
  <c r="C31" i="46"/>
  <c r="D31" i="46" s="1"/>
  <c r="E31" i="46" s="1"/>
  <c r="F31" i="46" s="1"/>
  <c r="G31" i="46" s="1"/>
  <c r="H31" i="46" s="1"/>
  <c r="C19" i="46"/>
  <c r="D19" i="46" s="1"/>
  <c r="E19" i="46" s="1"/>
  <c r="F19" i="46" s="1"/>
  <c r="G19" i="46" s="1"/>
  <c r="H19" i="46" s="1"/>
  <c r="C14" i="46"/>
  <c r="D14" i="46" s="1"/>
  <c r="E14" i="46" s="1"/>
  <c r="F14" i="46" s="1"/>
  <c r="G14" i="46" s="1"/>
  <c r="H14" i="46" s="1"/>
  <c r="D326" i="7"/>
  <c r="E326" i="7" s="1"/>
  <c r="F326" i="7" s="1"/>
  <c r="G326" i="7" s="1"/>
  <c r="H326" i="7" s="1"/>
  <c r="I326" i="7" s="1"/>
  <c r="D318" i="7"/>
  <c r="E318" i="7" s="1"/>
  <c r="F318" i="7" s="1"/>
  <c r="G318" i="7" s="1"/>
  <c r="H318" i="7" s="1"/>
  <c r="I318" i="7" s="1"/>
  <c r="D310" i="7"/>
  <c r="E310" i="7" s="1"/>
  <c r="F310" i="7" s="1"/>
  <c r="G310" i="7" s="1"/>
  <c r="H310" i="7" s="1"/>
  <c r="I310" i="7" s="1"/>
  <c r="D302" i="7"/>
  <c r="E302" i="7" s="1"/>
  <c r="F302" i="7" s="1"/>
  <c r="G302" i="7" s="1"/>
  <c r="H302" i="7" s="1"/>
  <c r="I302" i="7" s="1"/>
  <c r="D294" i="7"/>
  <c r="E294" i="7" s="1"/>
  <c r="F294" i="7" s="1"/>
  <c r="G294" i="7" s="1"/>
  <c r="H294" i="7" s="1"/>
  <c r="I294" i="7" s="1"/>
  <c r="D137" i="7"/>
  <c r="E137" i="7" s="1"/>
  <c r="F137" i="7" s="1"/>
  <c r="G137" i="7" s="1"/>
  <c r="H137" i="7" s="1"/>
  <c r="I137" i="7" s="1"/>
  <c r="D129" i="7"/>
  <c r="E129" i="7" s="1"/>
  <c r="F129" i="7" s="1"/>
  <c r="G129" i="7" s="1"/>
  <c r="H129" i="7" s="1"/>
  <c r="I129" i="7" s="1"/>
  <c r="D121" i="7"/>
  <c r="E121" i="7" s="1"/>
  <c r="F121" i="7" s="1"/>
  <c r="G121" i="7" s="1"/>
  <c r="H121" i="7" s="1"/>
  <c r="I121" i="7" s="1"/>
  <c r="D113" i="7"/>
  <c r="E113" i="7" s="1"/>
  <c r="F113" i="7" s="1"/>
  <c r="G113" i="7" s="1"/>
  <c r="H113" i="7" s="1"/>
  <c r="I113" i="7" s="1"/>
  <c r="D105" i="7"/>
  <c r="E105" i="7" s="1"/>
  <c r="F105" i="7" s="1"/>
  <c r="G105" i="7" s="1"/>
  <c r="H105" i="7" s="1"/>
  <c r="I105" i="7" s="1"/>
  <c r="G46" i="7"/>
  <c r="L46" i="7" s="1"/>
  <c r="M46" i="7" s="1"/>
  <c r="G47" i="7"/>
  <c r="L47" i="7" s="1"/>
  <c r="G48" i="7"/>
  <c r="L48" i="7" s="1"/>
  <c r="M48" i="7" s="1"/>
  <c r="G49" i="7"/>
  <c r="L49" i="7" s="1"/>
  <c r="G50" i="7"/>
  <c r="L50" i="7" s="1"/>
  <c r="M50" i="7" s="1"/>
  <c r="D143" i="45"/>
  <c r="E143" i="45" s="1"/>
  <c r="F143" i="45" s="1"/>
  <c r="G143" i="45" s="1"/>
  <c r="H143" i="45" s="1"/>
  <c r="I143" i="45" s="1"/>
  <c r="D138" i="45"/>
  <c r="E138" i="45" s="1"/>
  <c r="F138" i="45" s="1"/>
  <c r="G138" i="45" s="1"/>
  <c r="H138" i="45" s="1"/>
  <c r="I138" i="45" s="1"/>
  <c r="D131" i="45"/>
  <c r="E131" i="45" s="1"/>
  <c r="F131" i="45" s="1"/>
  <c r="G131" i="45" s="1"/>
  <c r="H131" i="45" s="1"/>
  <c r="I131" i="45" s="1"/>
  <c r="D126" i="45"/>
  <c r="E126" i="45" s="1"/>
  <c r="F126" i="45" s="1"/>
  <c r="G126" i="45" s="1"/>
  <c r="H126" i="45" s="1"/>
  <c r="I126" i="45" s="1"/>
  <c r="D119" i="45"/>
  <c r="E119" i="45" s="1"/>
  <c r="F119" i="45" s="1"/>
  <c r="G119" i="45" s="1"/>
  <c r="H119" i="45" s="1"/>
  <c r="I119" i="45" s="1"/>
  <c r="D114" i="45"/>
  <c r="E114" i="45" s="1"/>
  <c r="F114" i="45" s="1"/>
  <c r="G114" i="45" s="1"/>
  <c r="H114" i="45" s="1"/>
  <c r="I114" i="45" s="1"/>
  <c r="D107" i="45"/>
  <c r="E107" i="45" s="1"/>
  <c r="F107" i="45" s="1"/>
  <c r="G107" i="45" s="1"/>
  <c r="H107" i="45" s="1"/>
  <c r="I107" i="45" s="1"/>
  <c r="D102" i="45"/>
  <c r="E102" i="45" s="1"/>
  <c r="F102" i="45" s="1"/>
  <c r="G102" i="45" s="1"/>
  <c r="H102" i="45" s="1"/>
  <c r="I102" i="45" s="1"/>
  <c r="D95" i="45"/>
  <c r="E95" i="45" s="1"/>
  <c r="F95" i="45" s="1"/>
  <c r="G95" i="45" s="1"/>
  <c r="H95" i="45" s="1"/>
  <c r="I95" i="45" s="1"/>
  <c r="D90" i="45"/>
  <c r="E90" i="45" s="1"/>
  <c r="F90" i="45" s="1"/>
  <c r="G90" i="45" s="1"/>
  <c r="H90" i="45" s="1"/>
  <c r="I90" i="45" s="1"/>
  <c r="D83" i="45"/>
  <c r="E83" i="45" s="1"/>
  <c r="F83" i="45" s="1"/>
  <c r="G83" i="45" s="1"/>
  <c r="H83" i="45" s="1"/>
  <c r="I83" i="45" s="1"/>
  <c r="D78" i="45"/>
  <c r="E78" i="45" s="1"/>
  <c r="F78" i="45" s="1"/>
  <c r="G78" i="45" s="1"/>
  <c r="H78" i="45" s="1"/>
  <c r="I78" i="45" s="1"/>
  <c r="D71" i="45"/>
  <c r="E71" i="45" s="1"/>
  <c r="F71" i="45" s="1"/>
  <c r="G71" i="45" s="1"/>
  <c r="H71" i="45" s="1"/>
  <c r="I71" i="45" s="1"/>
  <c r="D66" i="45"/>
  <c r="E66" i="45" s="1"/>
  <c r="F66" i="45" s="1"/>
  <c r="G66" i="45" s="1"/>
  <c r="H66" i="45" s="1"/>
  <c r="I66" i="45" s="1"/>
  <c r="D59" i="45"/>
  <c r="E59" i="45" s="1"/>
  <c r="F59" i="45" s="1"/>
  <c r="G59" i="45" s="1"/>
  <c r="H59" i="45" s="1"/>
  <c r="I59" i="45" s="1"/>
  <c r="D54" i="45"/>
  <c r="E54" i="45" s="1"/>
  <c r="F54" i="45" s="1"/>
  <c r="G54" i="45" s="1"/>
  <c r="H54" i="45" s="1"/>
  <c r="I54" i="45" s="1"/>
  <c r="D47" i="45"/>
  <c r="E47" i="45" s="1"/>
  <c r="F47" i="45" s="1"/>
  <c r="G47" i="45" s="1"/>
  <c r="H47" i="45" s="1"/>
  <c r="I47" i="45" s="1"/>
  <c r="D42" i="45"/>
  <c r="E42" i="45" s="1"/>
  <c r="F42" i="45" s="1"/>
  <c r="G42" i="45" s="1"/>
  <c r="H42" i="45" s="1"/>
  <c r="I42" i="45" s="1"/>
  <c r="D35" i="45"/>
  <c r="E35" i="45" s="1"/>
  <c r="F35" i="45" s="1"/>
  <c r="G35" i="45" s="1"/>
  <c r="H35" i="45" s="1"/>
  <c r="I35" i="45" s="1"/>
  <c r="D30" i="45"/>
  <c r="E30" i="45" s="1"/>
  <c r="F30" i="45" s="1"/>
  <c r="G30" i="45" s="1"/>
  <c r="H30" i="45" s="1"/>
  <c r="I30" i="45" s="1"/>
  <c r="D19" i="45"/>
  <c r="E19" i="45" s="1"/>
  <c r="F19" i="45" s="1"/>
  <c r="G19" i="45" s="1"/>
  <c r="H19" i="45" s="1"/>
  <c r="I19" i="45" s="1"/>
  <c r="D14" i="45"/>
  <c r="E14" i="45" s="1"/>
  <c r="F14" i="45" s="1"/>
  <c r="G14" i="45" s="1"/>
  <c r="H14" i="45" s="1"/>
  <c r="I14" i="45" s="1"/>
  <c r="E38" i="15"/>
  <c r="F38" i="15" s="1"/>
  <c r="G38" i="15" s="1"/>
  <c r="H38" i="15" s="1"/>
  <c r="I38" i="15" s="1"/>
  <c r="J38" i="15" s="1"/>
  <c r="K15" i="38"/>
  <c r="L15" i="38" s="1"/>
  <c r="M15" i="38" s="1"/>
  <c r="N15" i="38" s="1"/>
  <c r="O15" i="38" s="1"/>
  <c r="P15" i="38" s="1"/>
  <c r="D15" i="38"/>
  <c r="E15" i="38" s="1"/>
  <c r="F15" i="38" s="1"/>
  <c r="G15" i="38" s="1"/>
  <c r="H15" i="38" s="1"/>
  <c r="I15" i="38" s="1"/>
  <c r="L15" i="15"/>
  <c r="M15" i="15" s="1"/>
  <c r="N15" i="15" s="1"/>
  <c r="O15" i="15" s="1"/>
  <c r="P15" i="15" s="1"/>
  <c r="Q15" i="15" s="1"/>
  <c r="E15" i="15"/>
  <c r="F15" i="15" s="1"/>
  <c r="G15" i="15" s="1"/>
  <c r="H15" i="15" s="1"/>
  <c r="I15" i="15" s="1"/>
  <c r="J15" i="15" s="1"/>
  <c r="D143" i="44"/>
  <c r="E143" i="44" s="1"/>
  <c r="F143" i="44" s="1"/>
  <c r="G143" i="44" s="1"/>
  <c r="H143" i="44" s="1"/>
  <c r="I143" i="44" s="1"/>
  <c r="D138" i="44"/>
  <c r="E138" i="44" s="1"/>
  <c r="F138" i="44" s="1"/>
  <c r="G138" i="44" s="1"/>
  <c r="H138" i="44" s="1"/>
  <c r="I138" i="44" s="1"/>
  <c r="D131" i="44"/>
  <c r="E131" i="44" s="1"/>
  <c r="F131" i="44" s="1"/>
  <c r="G131" i="44" s="1"/>
  <c r="H131" i="44" s="1"/>
  <c r="I131" i="44" s="1"/>
  <c r="D126" i="44"/>
  <c r="E126" i="44" s="1"/>
  <c r="F126" i="44" s="1"/>
  <c r="G126" i="44" s="1"/>
  <c r="H126" i="44" s="1"/>
  <c r="I126" i="44" s="1"/>
  <c r="D119" i="44"/>
  <c r="E119" i="44" s="1"/>
  <c r="F119" i="44" s="1"/>
  <c r="G119" i="44" s="1"/>
  <c r="H119" i="44" s="1"/>
  <c r="I119" i="44" s="1"/>
  <c r="D114" i="44"/>
  <c r="E114" i="44" s="1"/>
  <c r="F114" i="44" s="1"/>
  <c r="G114" i="44" s="1"/>
  <c r="H114" i="44" s="1"/>
  <c r="I114" i="44" s="1"/>
  <c r="D107" i="44"/>
  <c r="E107" i="44" s="1"/>
  <c r="F107" i="44" s="1"/>
  <c r="G107" i="44" s="1"/>
  <c r="H107" i="44" s="1"/>
  <c r="I107" i="44" s="1"/>
  <c r="D102" i="44"/>
  <c r="E102" i="44" s="1"/>
  <c r="F102" i="44" s="1"/>
  <c r="G102" i="44" s="1"/>
  <c r="H102" i="44" s="1"/>
  <c r="I102" i="44" s="1"/>
  <c r="D95" i="44"/>
  <c r="E95" i="44" s="1"/>
  <c r="F95" i="44" s="1"/>
  <c r="G95" i="44" s="1"/>
  <c r="H95" i="44" s="1"/>
  <c r="I95" i="44" s="1"/>
  <c r="D90" i="44"/>
  <c r="E90" i="44" s="1"/>
  <c r="F90" i="44" s="1"/>
  <c r="G90" i="44" s="1"/>
  <c r="H90" i="44" s="1"/>
  <c r="I90" i="44" s="1"/>
  <c r="D83" i="44"/>
  <c r="E83" i="44" s="1"/>
  <c r="F83" i="44" s="1"/>
  <c r="G83" i="44" s="1"/>
  <c r="H83" i="44" s="1"/>
  <c r="I83" i="44" s="1"/>
  <c r="D78" i="44"/>
  <c r="E78" i="44" s="1"/>
  <c r="F78" i="44" s="1"/>
  <c r="G78" i="44" s="1"/>
  <c r="H78" i="44" s="1"/>
  <c r="I78" i="44" s="1"/>
  <c r="D71" i="44"/>
  <c r="E71" i="44" s="1"/>
  <c r="F71" i="44" s="1"/>
  <c r="G71" i="44" s="1"/>
  <c r="H71" i="44" s="1"/>
  <c r="I71" i="44" s="1"/>
  <c r="D66" i="44"/>
  <c r="E66" i="44" s="1"/>
  <c r="F66" i="44" s="1"/>
  <c r="G66" i="44" s="1"/>
  <c r="H66" i="44" s="1"/>
  <c r="I66" i="44" s="1"/>
  <c r="D59" i="44"/>
  <c r="E59" i="44" s="1"/>
  <c r="F59" i="44" s="1"/>
  <c r="G59" i="44" s="1"/>
  <c r="H59" i="44" s="1"/>
  <c r="I59" i="44" s="1"/>
  <c r="D54" i="44"/>
  <c r="E54" i="44" s="1"/>
  <c r="F54" i="44" s="1"/>
  <c r="G54" i="44" s="1"/>
  <c r="H54" i="44" s="1"/>
  <c r="I54" i="44" s="1"/>
  <c r="D47" i="44"/>
  <c r="E47" i="44" s="1"/>
  <c r="F47" i="44" s="1"/>
  <c r="G47" i="44" s="1"/>
  <c r="H47" i="44" s="1"/>
  <c r="I47" i="44" s="1"/>
  <c r="D42" i="44"/>
  <c r="E42" i="44" s="1"/>
  <c r="F42" i="44" s="1"/>
  <c r="G42" i="44" s="1"/>
  <c r="H42" i="44" s="1"/>
  <c r="I42" i="44" s="1"/>
  <c r="D35" i="44"/>
  <c r="E35" i="44" s="1"/>
  <c r="F35" i="44" s="1"/>
  <c r="G35" i="44" s="1"/>
  <c r="H35" i="44" s="1"/>
  <c r="I35" i="44" s="1"/>
  <c r="D30" i="44"/>
  <c r="E30" i="44" s="1"/>
  <c r="F30" i="44" s="1"/>
  <c r="G30" i="44" s="1"/>
  <c r="H30" i="44" s="1"/>
  <c r="I30" i="44" s="1"/>
  <c r="D19" i="44"/>
  <c r="E19" i="44" s="1"/>
  <c r="F19" i="44" s="1"/>
  <c r="G19" i="44" s="1"/>
  <c r="H19" i="44" s="1"/>
  <c r="I19" i="44" s="1"/>
  <c r="D14" i="44"/>
  <c r="E14" i="44" s="1"/>
  <c r="F14" i="44" s="1"/>
  <c r="G14" i="44" s="1"/>
  <c r="H14" i="44" s="1"/>
  <c r="I14" i="44" s="1"/>
  <c r="F295" i="15"/>
  <c r="G295" i="15" s="1"/>
  <c r="H295" i="15" s="1"/>
  <c r="I295" i="15" s="1"/>
  <c r="J295" i="15" s="1"/>
  <c r="K295" i="15" s="1"/>
  <c r="F283" i="15"/>
  <c r="E283" i="15" s="1"/>
  <c r="F271" i="15"/>
  <c r="F259" i="15"/>
  <c r="E259" i="15" s="1"/>
  <c r="F247" i="15"/>
  <c r="G247" i="15" s="1"/>
  <c r="H247" i="15" s="1"/>
  <c r="I247" i="15" s="1"/>
  <c r="J247" i="15" s="1"/>
  <c r="K247" i="15" s="1"/>
  <c r="D131" i="15"/>
  <c r="D143" i="43"/>
  <c r="E143" i="43" s="1"/>
  <c r="F143" i="43" s="1"/>
  <c r="G143" i="43" s="1"/>
  <c r="H143" i="43" s="1"/>
  <c r="I143" i="43" s="1"/>
  <c r="D138" i="43"/>
  <c r="E138" i="43" s="1"/>
  <c r="F138" i="43" s="1"/>
  <c r="G138" i="43" s="1"/>
  <c r="H138" i="43" s="1"/>
  <c r="I138" i="43" s="1"/>
  <c r="D131" i="43"/>
  <c r="E131" i="43" s="1"/>
  <c r="F131" i="43" s="1"/>
  <c r="G131" i="43" s="1"/>
  <c r="H131" i="43" s="1"/>
  <c r="I131" i="43" s="1"/>
  <c r="D126" i="43"/>
  <c r="E126" i="43" s="1"/>
  <c r="F126" i="43" s="1"/>
  <c r="G126" i="43" s="1"/>
  <c r="H126" i="43" s="1"/>
  <c r="I126" i="43" s="1"/>
  <c r="D119" i="43"/>
  <c r="E119" i="43" s="1"/>
  <c r="F119" i="43" s="1"/>
  <c r="G119" i="43" s="1"/>
  <c r="H119" i="43" s="1"/>
  <c r="I119" i="43" s="1"/>
  <c r="D114" i="43"/>
  <c r="E114" i="43" s="1"/>
  <c r="F114" i="43" s="1"/>
  <c r="G114" i="43" s="1"/>
  <c r="H114" i="43" s="1"/>
  <c r="I114" i="43" s="1"/>
  <c r="D107" i="43"/>
  <c r="E107" i="43" s="1"/>
  <c r="F107" i="43" s="1"/>
  <c r="G107" i="43" s="1"/>
  <c r="H107" i="43" s="1"/>
  <c r="I107" i="43" s="1"/>
  <c r="D102" i="43"/>
  <c r="E102" i="43" s="1"/>
  <c r="F102" i="43" s="1"/>
  <c r="G102" i="43" s="1"/>
  <c r="H102" i="43" s="1"/>
  <c r="I102" i="43" s="1"/>
  <c r="D95" i="43"/>
  <c r="E95" i="43" s="1"/>
  <c r="F95" i="43" s="1"/>
  <c r="G95" i="43" s="1"/>
  <c r="H95" i="43" s="1"/>
  <c r="I95" i="43" s="1"/>
  <c r="D90" i="43"/>
  <c r="E90" i="43" s="1"/>
  <c r="F90" i="43" s="1"/>
  <c r="G90" i="43" s="1"/>
  <c r="H90" i="43" s="1"/>
  <c r="I90" i="43" s="1"/>
  <c r="D83" i="43"/>
  <c r="E83" i="43" s="1"/>
  <c r="F83" i="43" s="1"/>
  <c r="G83" i="43" s="1"/>
  <c r="H83" i="43" s="1"/>
  <c r="I83" i="43" s="1"/>
  <c r="D78" i="43"/>
  <c r="E78" i="43" s="1"/>
  <c r="F78" i="43" s="1"/>
  <c r="G78" i="43" s="1"/>
  <c r="H78" i="43" s="1"/>
  <c r="I78" i="43" s="1"/>
  <c r="D71" i="43"/>
  <c r="E71" i="43" s="1"/>
  <c r="F71" i="43" s="1"/>
  <c r="G71" i="43" s="1"/>
  <c r="H71" i="43" s="1"/>
  <c r="I71" i="43" s="1"/>
  <c r="D66" i="43"/>
  <c r="E66" i="43" s="1"/>
  <c r="F66" i="43" s="1"/>
  <c r="G66" i="43" s="1"/>
  <c r="H66" i="43" s="1"/>
  <c r="I66" i="43" s="1"/>
  <c r="D59" i="43"/>
  <c r="E59" i="43" s="1"/>
  <c r="F59" i="43" s="1"/>
  <c r="G59" i="43" s="1"/>
  <c r="H59" i="43" s="1"/>
  <c r="I59" i="43" s="1"/>
  <c r="D54" i="43"/>
  <c r="E54" i="43" s="1"/>
  <c r="F54" i="43" s="1"/>
  <c r="G54" i="43" s="1"/>
  <c r="H54" i="43" s="1"/>
  <c r="I54" i="43" s="1"/>
  <c r="D47" i="43"/>
  <c r="E47" i="43" s="1"/>
  <c r="F47" i="43" s="1"/>
  <c r="G47" i="43" s="1"/>
  <c r="H47" i="43" s="1"/>
  <c r="I47" i="43" s="1"/>
  <c r="D42" i="43"/>
  <c r="E42" i="43" s="1"/>
  <c r="F42" i="43" s="1"/>
  <c r="G42" i="43" s="1"/>
  <c r="H42" i="43" s="1"/>
  <c r="I42" i="43" s="1"/>
  <c r="D35" i="43"/>
  <c r="E35" i="43" s="1"/>
  <c r="F35" i="43" s="1"/>
  <c r="G35" i="43" s="1"/>
  <c r="H35" i="43" s="1"/>
  <c r="I35" i="43" s="1"/>
  <c r="D30" i="43"/>
  <c r="E30" i="43" s="1"/>
  <c r="F30" i="43" s="1"/>
  <c r="G30" i="43" s="1"/>
  <c r="H30" i="43" s="1"/>
  <c r="I30" i="43" s="1"/>
  <c r="D19" i="43"/>
  <c r="E19" i="43" s="1"/>
  <c r="F19" i="43" s="1"/>
  <c r="G19" i="43" s="1"/>
  <c r="H19" i="43" s="1"/>
  <c r="I19" i="43" s="1"/>
  <c r="D14" i="43"/>
  <c r="E14" i="43" s="1"/>
  <c r="F14" i="43" s="1"/>
  <c r="G14" i="43" s="1"/>
  <c r="H14" i="43" s="1"/>
  <c r="I14" i="43" s="1"/>
  <c r="D143" i="34"/>
  <c r="E143" i="34" s="1"/>
  <c r="F143" i="34" s="1"/>
  <c r="G143" i="34" s="1"/>
  <c r="H143" i="34" s="1"/>
  <c r="I143" i="34" s="1"/>
  <c r="D138" i="34"/>
  <c r="E138" i="34" s="1"/>
  <c r="F138" i="34" s="1"/>
  <c r="G138" i="34" s="1"/>
  <c r="H138" i="34" s="1"/>
  <c r="I138" i="34" s="1"/>
  <c r="D131" i="34"/>
  <c r="E131" i="34" s="1"/>
  <c r="F131" i="34" s="1"/>
  <c r="G131" i="34" s="1"/>
  <c r="H131" i="34" s="1"/>
  <c r="I131" i="34" s="1"/>
  <c r="D126" i="34"/>
  <c r="E126" i="34" s="1"/>
  <c r="F126" i="34" s="1"/>
  <c r="G126" i="34" s="1"/>
  <c r="H126" i="34" s="1"/>
  <c r="I126" i="34" s="1"/>
  <c r="D119" i="34"/>
  <c r="E119" i="34" s="1"/>
  <c r="F119" i="34" s="1"/>
  <c r="G119" i="34" s="1"/>
  <c r="H119" i="34" s="1"/>
  <c r="I119" i="34" s="1"/>
  <c r="D114" i="34"/>
  <c r="E114" i="34" s="1"/>
  <c r="F114" i="34" s="1"/>
  <c r="G114" i="34" s="1"/>
  <c r="H114" i="34" s="1"/>
  <c r="I114" i="34" s="1"/>
  <c r="D107" i="34"/>
  <c r="E107" i="34" s="1"/>
  <c r="F107" i="34" s="1"/>
  <c r="G107" i="34" s="1"/>
  <c r="H107" i="34" s="1"/>
  <c r="I107" i="34" s="1"/>
  <c r="D102" i="34"/>
  <c r="E102" i="34" s="1"/>
  <c r="F102" i="34" s="1"/>
  <c r="G102" i="34" s="1"/>
  <c r="H102" i="34" s="1"/>
  <c r="I102" i="34" s="1"/>
  <c r="D95" i="34"/>
  <c r="E95" i="34" s="1"/>
  <c r="F95" i="34" s="1"/>
  <c r="G95" i="34" s="1"/>
  <c r="H95" i="34" s="1"/>
  <c r="I95" i="34" s="1"/>
  <c r="D90" i="34"/>
  <c r="E90" i="34" s="1"/>
  <c r="F90" i="34" s="1"/>
  <c r="G90" i="34" s="1"/>
  <c r="H90" i="34" s="1"/>
  <c r="I90" i="34" s="1"/>
  <c r="J1" i="37"/>
  <c r="E211" i="38"/>
  <c r="F211" i="38" s="1"/>
  <c r="G211" i="38" s="1"/>
  <c r="H211" i="38" s="1"/>
  <c r="I211" i="38" s="1"/>
  <c r="J211" i="38" s="1"/>
  <c r="E199" i="38"/>
  <c r="F199" i="38" s="1"/>
  <c r="G199" i="38" s="1"/>
  <c r="H199" i="38" s="1"/>
  <c r="I199" i="38" s="1"/>
  <c r="J199" i="38" s="1"/>
  <c r="E139" i="38"/>
  <c r="F139" i="38" s="1"/>
  <c r="G139" i="38" s="1"/>
  <c r="H139" i="38" s="1"/>
  <c r="I139" i="38" s="1"/>
  <c r="J139" i="38" s="1"/>
  <c r="E127" i="38"/>
  <c r="F127" i="38" s="1"/>
  <c r="G127" i="38" s="1"/>
  <c r="H127" i="38" s="1"/>
  <c r="I127" i="38" s="1"/>
  <c r="J127" i="38" s="1"/>
  <c r="E115" i="38"/>
  <c r="F115" i="38" s="1"/>
  <c r="G115" i="38" s="1"/>
  <c r="H115" i="38" s="1"/>
  <c r="I115" i="38" s="1"/>
  <c r="J115" i="38" s="1"/>
  <c r="C48" i="38"/>
  <c r="W51" i="38"/>
  <c r="X51" i="38"/>
  <c r="W52" i="38"/>
  <c r="X52" i="38"/>
  <c r="W53" i="38"/>
  <c r="X53" i="38"/>
  <c r="W54" i="38"/>
  <c r="X54" i="38"/>
  <c r="Q77" i="38" s="1"/>
  <c r="W55" i="38"/>
  <c r="X55" i="38"/>
  <c r="D39" i="1"/>
  <c r="P67" i="3"/>
  <c r="O67" i="3"/>
  <c r="N67" i="3"/>
  <c r="M67" i="3"/>
  <c r="L67" i="3"/>
  <c r="K67" i="3"/>
  <c r="P66" i="3"/>
  <c r="O66" i="3"/>
  <c r="N66" i="3"/>
  <c r="M66" i="3"/>
  <c r="L66" i="3"/>
  <c r="K66" i="3"/>
  <c r="P65" i="3"/>
  <c r="O65" i="3"/>
  <c r="N65" i="3"/>
  <c r="M65" i="3"/>
  <c r="L65" i="3"/>
  <c r="K65" i="3"/>
  <c r="P64" i="3"/>
  <c r="O64" i="3"/>
  <c r="N64" i="3"/>
  <c r="M64" i="3"/>
  <c r="L64" i="3"/>
  <c r="K64" i="3"/>
  <c r="P63" i="3"/>
  <c r="O63" i="3"/>
  <c r="N63" i="3"/>
  <c r="M63" i="3"/>
  <c r="L63" i="3"/>
  <c r="K63" i="3"/>
  <c r="P62" i="3"/>
  <c r="O62" i="3"/>
  <c r="N62" i="3"/>
  <c r="M62" i="3"/>
  <c r="L62" i="3"/>
  <c r="K62" i="3"/>
  <c r="P61" i="3"/>
  <c r="O61" i="3"/>
  <c r="N61" i="3"/>
  <c r="M61" i="3"/>
  <c r="L61" i="3"/>
  <c r="K61" i="3"/>
  <c r="P60" i="3"/>
  <c r="O60" i="3"/>
  <c r="N60" i="3"/>
  <c r="M60" i="3"/>
  <c r="L60" i="3"/>
  <c r="K60" i="3"/>
  <c r="U55" i="38"/>
  <c r="V55" i="38"/>
  <c r="U52" i="38"/>
  <c r="E10" i="41"/>
  <c r="P390" i="41"/>
  <c r="E222" i="41"/>
  <c r="J215" i="41"/>
  <c r="E207" i="41"/>
  <c r="J200" i="41"/>
  <c r="E192" i="41"/>
  <c r="J185" i="41"/>
  <c r="E177" i="41"/>
  <c r="J170" i="41"/>
  <c r="E162" i="41"/>
  <c r="J155" i="41"/>
  <c r="E147" i="41"/>
  <c r="J140" i="41"/>
  <c r="E132" i="41"/>
  <c r="J125" i="41"/>
  <c r="E117" i="41"/>
  <c r="J110" i="41"/>
  <c r="E102" i="41"/>
  <c r="J95" i="41"/>
  <c r="E87" i="41"/>
  <c r="J80" i="41"/>
  <c r="E72" i="41"/>
  <c r="B3" i="1" s="1"/>
  <c r="J65" i="41"/>
  <c r="J366" i="41" s="1"/>
  <c r="H366" i="41" s="1"/>
  <c r="G231" i="7"/>
  <c r="L231" i="7" s="1"/>
  <c r="K231" i="7"/>
  <c r="K42" i="7"/>
  <c r="G44" i="7"/>
  <c r="G45" i="7"/>
  <c r="L45" i="7" s="1"/>
  <c r="G41" i="7"/>
  <c r="M76" i="37"/>
  <c r="N76" i="37" s="1"/>
  <c r="O76" i="37" s="1"/>
  <c r="P76" i="37" s="1"/>
  <c r="Q76" i="37" s="1"/>
  <c r="R76" i="37" s="1"/>
  <c r="F76" i="37"/>
  <c r="G76" i="37" s="1"/>
  <c r="H76" i="37" s="1"/>
  <c r="I76" i="37" s="1"/>
  <c r="J76" i="37" s="1"/>
  <c r="K76" i="37" s="1"/>
  <c r="M15" i="37"/>
  <c r="N15" i="37" s="1"/>
  <c r="O15" i="37" s="1"/>
  <c r="P15" i="37" s="1"/>
  <c r="Q15" i="37" s="1"/>
  <c r="R15" i="37" s="1"/>
  <c r="F15" i="37"/>
  <c r="G15" i="37" s="1"/>
  <c r="H15" i="37" s="1"/>
  <c r="I15" i="37" s="1"/>
  <c r="J15" i="37" s="1"/>
  <c r="K15" i="37" s="1"/>
  <c r="M82" i="37"/>
  <c r="N82" i="37" s="1"/>
  <c r="O82" i="37" s="1"/>
  <c r="P82" i="37" s="1"/>
  <c r="Q82" i="37" s="1"/>
  <c r="R82" i="37" s="1"/>
  <c r="F82" i="37"/>
  <c r="G82" i="37" s="1"/>
  <c r="H82" i="37" s="1"/>
  <c r="I82" i="37" s="1"/>
  <c r="J82" i="37" s="1"/>
  <c r="K82" i="37" s="1"/>
  <c r="E187" i="38"/>
  <c r="E175" i="38"/>
  <c r="F175" i="38" s="1"/>
  <c r="G175" i="38" s="1"/>
  <c r="H175" i="38" s="1"/>
  <c r="I175" i="38" s="1"/>
  <c r="J175" i="38" s="1"/>
  <c r="E163" i="38"/>
  <c r="F163" i="38" s="1"/>
  <c r="G163" i="38" s="1"/>
  <c r="H163" i="38" s="1"/>
  <c r="I163" i="38" s="1"/>
  <c r="J163" i="38" s="1"/>
  <c r="E151" i="38"/>
  <c r="F151" i="38" s="1"/>
  <c r="G151" i="38" s="1"/>
  <c r="H151" i="38" s="1"/>
  <c r="I151" i="38" s="1"/>
  <c r="J151" i="38" s="1"/>
  <c r="E103" i="38"/>
  <c r="F103" i="38" s="1"/>
  <c r="G103" i="38" s="1"/>
  <c r="H103" i="38" s="1"/>
  <c r="I103" i="38" s="1"/>
  <c r="J103" i="38" s="1"/>
  <c r="X59" i="38"/>
  <c r="W59" i="38"/>
  <c r="X58" i="38"/>
  <c r="W58" i="38"/>
  <c r="X57" i="38"/>
  <c r="W57" i="38"/>
  <c r="X56" i="38"/>
  <c r="W56" i="38"/>
  <c r="X50" i="38"/>
  <c r="Q73" i="38" s="1"/>
  <c r="W50" i="38"/>
  <c r="P73" i="38" s="1"/>
  <c r="D39" i="38"/>
  <c r="E39" i="38" s="1"/>
  <c r="F39" i="38" s="1"/>
  <c r="G39" i="38" s="1"/>
  <c r="H39" i="38" s="1"/>
  <c r="I39" i="38" s="1"/>
  <c r="M47" i="37"/>
  <c r="N47" i="37" s="1"/>
  <c r="O47" i="37" s="1"/>
  <c r="P47" i="37" s="1"/>
  <c r="Q47" i="37" s="1"/>
  <c r="R47" i="37" s="1"/>
  <c r="F47" i="37"/>
  <c r="G47" i="37" s="1"/>
  <c r="H47" i="37" s="1"/>
  <c r="I47" i="37" s="1"/>
  <c r="J47" i="37" s="1"/>
  <c r="K47" i="37" s="1"/>
  <c r="D22" i="7"/>
  <c r="E22" i="7" s="1"/>
  <c r="F22" i="7" s="1"/>
  <c r="G22" i="7" s="1"/>
  <c r="H22" i="7" s="1"/>
  <c r="I22" i="7" s="1"/>
  <c r="D286" i="7"/>
  <c r="E286" i="7" s="1"/>
  <c r="F286" i="7" s="1"/>
  <c r="G286" i="7" s="1"/>
  <c r="H286" i="7" s="1"/>
  <c r="I286" i="7" s="1"/>
  <c r="D278" i="7"/>
  <c r="E278" i="7" s="1"/>
  <c r="F278" i="7" s="1"/>
  <c r="G278" i="7" s="1"/>
  <c r="H278" i="7" s="1"/>
  <c r="I278" i="7" s="1"/>
  <c r="D270" i="7"/>
  <c r="E270" i="7" s="1"/>
  <c r="F270" i="7" s="1"/>
  <c r="G270" i="7" s="1"/>
  <c r="H270" i="7" s="1"/>
  <c r="I270" i="7" s="1"/>
  <c r="D262" i="7"/>
  <c r="E262" i="7" s="1"/>
  <c r="F262" i="7" s="1"/>
  <c r="G262" i="7" s="1"/>
  <c r="H262" i="7" s="1"/>
  <c r="I262" i="7" s="1"/>
  <c r="D254" i="7"/>
  <c r="E254" i="7" s="1"/>
  <c r="F254" i="7" s="1"/>
  <c r="G254" i="7" s="1"/>
  <c r="H254" i="7" s="1"/>
  <c r="I254" i="7" s="1"/>
  <c r="D81" i="7"/>
  <c r="E81" i="7" s="1"/>
  <c r="F81" i="7" s="1"/>
  <c r="G81" i="7" s="1"/>
  <c r="H81" i="7" s="1"/>
  <c r="I81" i="7" s="1"/>
  <c r="D89" i="7"/>
  <c r="E89" i="7" s="1"/>
  <c r="F89" i="7" s="1"/>
  <c r="G89" i="7" s="1"/>
  <c r="H89" i="7" s="1"/>
  <c r="I89" i="7" s="1"/>
  <c r="D83" i="34"/>
  <c r="E83" i="34" s="1"/>
  <c r="F83" i="34" s="1"/>
  <c r="G83" i="34" s="1"/>
  <c r="H83" i="34" s="1"/>
  <c r="I83" i="34" s="1"/>
  <c r="D78" i="34"/>
  <c r="E78" i="34" s="1"/>
  <c r="F78" i="34" s="1"/>
  <c r="G78" i="34" s="1"/>
  <c r="H78" i="34" s="1"/>
  <c r="I78" i="34" s="1"/>
  <c r="D71" i="34"/>
  <c r="E71" i="34" s="1"/>
  <c r="F71" i="34" s="1"/>
  <c r="G71" i="34" s="1"/>
  <c r="H71" i="34" s="1"/>
  <c r="I71" i="34" s="1"/>
  <c r="D66" i="34"/>
  <c r="E66" i="34" s="1"/>
  <c r="F66" i="34" s="1"/>
  <c r="G66" i="34" s="1"/>
  <c r="H66" i="34" s="1"/>
  <c r="I66" i="34" s="1"/>
  <c r="D59" i="34"/>
  <c r="E59" i="34" s="1"/>
  <c r="F59" i="34" s="1"/>
  <c r="G59" i="34" s="1"/>
  <c r="H59" i="34" s="1"/>
  <c r="I59" i="34" s="1"/>
  <c r="D54" i="34"/>
  <c r="E54" i="34" s="1"/>
  <c r="F54" i="34" s="1"/>
  <c r="G54" i="34" s="1"/>
  <c r="H54" i="34" s="1"/>
  <c r="I54" i="34" s="1"/>
  <c r="D47" i="34"/>
  <c r="E47" i="34" s="1"/>
  <c r="F47" i="34" s="1"/>
  <c r="G47" i="34" s="1"/>
  <c r="H47" i="34" s="1"/>
  <c r="I47" i="34" s="1"/>
  <c r="D42" i="34"/>
  <c r="E42" i="34" s="1"/>
  <c r="F42" i="34" s="1"/>
  <c r="G42" i="34" s="1"/>
  <c r="H42" i="34" s="1"/>
  <c r="I42" i="34" s="1"/>
  <c r="D35" i="34"/>
  <c r="E35" i="34" s="1"/>
  <c r="F35" i="34" s="1"/>
  <c r="G35" i="34" s="1"/>
  <c r="H35" i="34" s="1"/>
  <c r="I35" i="34" s="1"/>
  <c r="D30" i="34"/>
  <c r="E30" i="34" s="1"/>
  <c r="F30" i="34" s="1"/>
  <c r="G30" i="34" s="1"/>
  <c r="H30" i="34" s="1"/>
  <c r="I30" i="34" s="1"/>
  <c r="D19" i="34"/>
  <c r="E19" i="34" s="1"/>
  <c r="F19" i="34" s="1"/>
  <c r="G19" i="34" s="1"/>
  <c r="H19" i="34" s="1"/>
  <c r="I19" i="34" s="1"/>
  <c r="D14" i="34"/>
  <c r="E14" i="34" s="1"/>
  <c r="F14" i="34" s="1"/>
  <c r="G14" i="34" s="1"/>
  <c r="H14" i="34" s="1"/>
  <c r="I14" i="34" s="1"/>
  <c r="F235" i="15"/>
  <c r="E235" i="15" s="1"/>
  <c r="F223" i="15"/>
  <c r="E223" i="15" s="1"/>
  <c r="F211" i="15"/>
  <c r="E211" i="15" s="1"/>
  <c r="F199" i="15"/>
  <c r="G199" i="15" s="1"/>
  <c r="H199" i="15" s="1"/>
  <c r="I199" i="15" s="1"/>
  <c r="J199" i="15" s="1"/>
  <c r="K199" i="15" s="1"/>
  <c r="D55" i="3"/>
  <c r="E55" i="3" s="1"/>
  <c r="F55" i="3" s="1"/>
  <c r="G55" i="3" s="1"/>
  <c r="H55" i="3" s="1"/>
  <c r="I55" i="3" s="1"/>
  <c r="D97" i="7"/>
  <c r="E97" i="7" s="1"/>
  <c r="F97" i="7" s="1"/>
  <c r="G97" i="7" s="1"/>
  <c r="H97" i="7" s="1"/>
  <c r="I97" i="7" s="1"/>
  <c r="D73" i="7"/>
  <c r="E73" i="7" s="1"/>
  <c r="F73" i="7" s="1"/>
  <c r="G73" i="7" s="1"/>
  <c r="H73" i="7" s="1"/>
  <c r="I73" i="7" s="1"/>
  <c r="D13" i="7"/>
  <c r="E13" i="7" s="1"/>
  <c r="F13" i="7" s="1"/>
  <c r="G13" i="7" s="1"/>
  <c r="H13" i="7" s="1"/>
  <c r="I13" i="7" s="1"/>
  <c r="D65" i="7"/>
  <c r="E65" i="7" s="1"/>
  <c r="F65" i="7" s="1"/>
  <c r="G65" i="7" s="1"/>
  <c r="H65" i="7" s="1"/>
  <c r="I65" i="7" s="1"/>
  <c r="F187" i="15"/>
  <c r="D41" i="3"/>
  <c r="E41" i="3" s="1"/>
  <c r="F41" i="3" s="1"/>
  <c r="G41" i="3" s="1"/>
  <c r="H41" i="3" s="1"/>
  <c r="I41" i="3" s="1"/>
  <c r="F451" i="50"/>
  <c r="F450" i="50"/>
  <c r="F448" i="50"/>
  <c r="F449" i="50"/>
  <c r="F457" i="50"/>
  <c r="F459" i="50"/>
  <c r="F458" i="50"/>
  <c r="F456" i="50"/>
  <c r="G456" i="50"/>
  <c r="G458" i="50"/>
  <c r="G457" i="50"/>
  <c r="G459" i="50"/>
  <c r="G438" i="50"/>
  <c r="G439" i="50"/>
  <c r="G441" i="50"/>
  <c r="G440" i="50"/>
  <c r="F433" i="50"/>
  <c r="F432" i="50"/>
  <c r="F430" i="50"/>
  <c r="F431" i="50"/>
  <c r="F439" i="50"/>
  <c r="F441" i="50"/>
  <c r="F440" i="50"/>
  <c r="F438" i="50"/>
  <c r="F413" i="50"/>
  <c r="F415" i="50"/>
  <c r="F414" i="50"/>
  <c r="F412" i="50"/>
  <c r="G420" i="50"/>
  <c r="G422" i="50"/>
  <c r="G421" i="50"/>
  <c r="G423" i="50"/>
  <c r="F421" i="50"/>
  <c r="F423" i="50"/>
  <c r="F422" i="50"/>
  <c r="F420" i="50"/>
  <c r="F403" i="50"/>
  <c r="F405" i="50"/>
  <c r="F404" i="50"/>
  <c r="F402" i="50"/>
  <c r="F395" i="50"/>
  <c r="F397" i="50"/>
  <c r="F396" i="50"/>
  <c r="F394" i="50"/>
  <c r="G402" i="50"/>
  <c r="G404" i="50"/>
  <c r="G403" i="50"/>
  <c r="G405" i="50"/>
  <c r="F377" i="50"/>
  <c r="F379" i="50"/>
  <c r="F378" i="50"/>
  <c r="F376" i="50"/>
  <c r="G384" i="50"/>
  <c r="G386" i="50"/>
  <c r="G385" i="50"/>
  <c r="G387" i="50"/>
  <c r="F385" i="50"/>
  <c r="F387" i="50"/>
  <c r="F386" i="50"/>
  <c r="F384" i="50"/>
  <c r="G366" i="50"/>
  <c r="G368" i="50"/>
  <c r="G367" i="50"/>
  <c r="G369" i="50"/>
  <c r="F367" i="50"/>
  <c r="F369" i="50"/>
  <c r="F368" i="50"/>
  <c r="F366" i="50"/>
  <c r="F359" i="50"/>
  <c r="F361" i="50"/>
  <c r="F358" i="50"/>
  <c r="F360" i="50"/>
  <c r="G241" i="50"/>
  <c r="G242" i="50"/>
  <c r="G243" i="50"/>
  <c r="G244" i="50"/>
  <c r="F234" i="50"/>
  <c r="F235" i="50"/>
  <c r="F236" i="50"/>
  <c r="F233" i="50"/>
  <c r="F242" i="50"/>
  <c r="F243" i="50"/>
  <c r="F244" i="50"/>
  <c r="F241" i="50"/>
  <c r="G223" i="50"/>
  <c r="G224" i="50"/>
  <c r="G225" i="50"/>
  <c r="G226" i="50"/>
  <c r="F224" i="50"/>
  <c r="F225" i="50"/>
  <c r="F226" i="50"/>
  <c r="F223" i="50"/>
  <c r="F216" i="50"/>
  <c r="F217" i="50"/>
  <c r="F218" i="50"/>
  <c r="F215" i="50"/>
  <c r="F198" i="50"/>
  <c r="F199" i="50"/>
  <c r="F200" i="50"/>
  <c r="F197" i="50"/>
  <c r="G205" i="50"/>
  <c r="G206" i="50"/>
  <c r="G207" i="50"/>
  <c r="G208" i="50"/>
  <c r="F206" i="50"/>
  <c r="F207" i="50"/>
  <c r="F208" i="50"/>
  <c r="F205" i="50"/>
  <c r="F180" i="50"/>
  <c r="F181" i="50"/>
  <c r="F182" i="50"/>
  <c r="F179" i="50"/>
  <c r="G187" i="50"/>
  <c r="G188" i="50"/>
  <c r="G189" i="50"/>
  <c r="G190" i="50"/>
  <c r="F188" i="50"/>
  <c r="F189" i="50"/>
  <c r="F190" i="50"/>
  <c r="F187" i="50"/>
  <c r="F162" i="50"/>
  <c r="F163" i="50"/>
  <c r="F164" i="50"/>
  <c r="F161" i="50"/>
  <c r="F170" i="50"/>
  <c r="F171" i="50"/>
  <c r="F172" i="50"/>
  <c r="F169" i="50"/>
  <c r="G169" i="50"/>
  <c r="G170" i="50"/>
  <c r="G171" i="50"/>
  <c r="G172" i="50"/>
  <c r="F146" i="50"/>
  <c r="F143" i="50"/>
  <c r="F144" i="50"/>
  <c r="F145" i="50"/>
  <c r="G151" i="50"/>
  <c r="G152" i="50"/>
  <c r="G153" i="50"/>
  <c r="G154" i="50"/>
  <c r="F152" i="50"/>
  <c r="F153" i="50"/>
  <c r="F151" i="50"/>
  <c r="F154" i="50"/>
  <c r="H457" i="50"/>
  <c r="H459" i="50"/>
  <c r="H456" i="50"/>
  <c r="H458" i="50"/>
  <c r="G448" i="50"/>
  <c r="G449" i="50"/>
  <c r="G451" i="50"/>
  <c r="G450" i="50"/>
  <c r="G432" i="50"/>
  <c r="G431" i="50"/>
  <c r="G433" i="50"/>
  <c r="G430" i="50"/>
  <c r="H441" i="50"/>
  <c r="H438" i="50"/>
  <c r="H440" i="50"/>
  <c r="H439" i="50"/>
  <c r="H421" i="50"/>
  <c r="H423" i="50"/>
  <c r="H420" i="50"/>
  <c r="H422" i="50"/>
  <c r="G412" i="50"/>
  <c r="G414" i="50"/>
  <c r="G413" i="50"/>
  <c r="G415" i="50"/>
  <c r="H403" i="50"/>
  <c r="H405" i="50"/>
  <c r="H402" i="50"/>
  <c r="H404" i="50"/>
  <c r="G394" i="50"/>
  <c r="G396" i="50"/>
  <c r="G395" i="50"/>
  <c r="G397" i="50"/>
  <c r="G376" i="50"/>
  <c r="G378" i="50"/>
  <c r="G377" i="50"/>
  <c r="G379" i="50"/>
  <c r="H385" i="50"/>
  <c r="H387" i="50"/>
  <c r="H384" i="50"/>
  <c r="H386" i="50"/>
  <c r="H367" i="50"/>
  <c r="H369" i="50"/>
  <c r="H366" i="50"/>
  <c r="H368" i="50"/>
  <c r="G358" i="50"/>
  <c r="G360" i="50"/>
  <c r="G359" i="50"/>
  <c r="G361" i="50"/>
  <c r="H242" i="50"/>
  <c r="H243" i="50"/>
  <c r="H244" i="50"/>
  <c r="H241" i="50"/>
  <c r="G233" i="50"/>
  <c r="G234" i="50"/>
  <c r="G235" i="50"/>
  <c r="G236" i="50"/>
  <c r="H224" i="50"/>
  <c r="H225" i="50"/>
  <c r="H226" i="50"/>
  <c r="H223" i="50"/>
  <c r="G215" i="50"/>
  <c r="G216" i="50"/>
  <c r="G217" i="50"/>
  <c r="G218" i="50"/>
  <c r="H206" i="50"/>
  <c r="H207" i="50"/>
  <c r="H208" i="50"/>
  <c r="H205" i="50"/>
  <c r="G197" i="50"/>
  <c r="G198" i="50"/>
  <c r="G199" i="50"/>
  <c r="G200" i="50"/>
  <c r="G179" i="50"/>
  <c r="G180" i="50"/>
  <c r="G181" i="50"/>
  <c r="G182" i="50"/>
  <c r="H188" i="50"/>
  <c r="H189" i="50"/>
  <c r="H190" i="50"/>
  <c r="H187" i="50"/>
  <c r="H170" i="50"/>
  <c r="H171" i="50"/>
  <c r="H172" i="50"/>
  <c r="H169" i="50"/>
  <c r="G161" i="50"/>
  <c r="G162" i="50"/>
  <c r="G163" i="50"/>
  <c r="G164" i="50"/>
  <c r="H154" i="50"/>
  <c r="H151" i="50"/>
  <c r="H152" i="50"/>
  <c r="H153" i="50"/>
  <c r="G144" i="50"/>
  <c r="G145" i="50"/>
  <c r="G146" i="50"/>
  <c r="G143" i="50"/>
  <c r="I456" i="50"/>
  <c r="I458" i="50"/>
  <c r="I457" i="50"/>
  <c r="I459" i="50"/>
  <c r="H449" i="50"/>
  <c r="H451" i="50"/>
  <c r="H448" i="50"/>
  <c r="H450" i="50"/>
  <c r="I440" i="50"/>
  <c r="I439" i="50"/>
  <c r="I441" i="50"/>
  <c r="I438" i="50"/>
  <c r="H430" i="50"/>
  <c r="H432" i="50"/>
  <c r="H431" i="50"/>
  <c r="H433" i="50"/>
  <c r="I420" i="50"/>
  <c r="I422" i="50"/>
  <c r="I421" i="50"/>
  <c r="I423" i="50"/>
  <c r="H413" i="50"/>
  <c r="H415" i="50"/>
  <c r="H412" i="50"/>
  <c r="H414" i="50"/>
  <c r="H395" i="50"/>
  <c r="H397" i="50"/>
  <c r="H394" i="50"/>
  <c r="H396" i="50"/>
  <c r="I402" i="50"/>
  <c r="I404" i="50"/>
  <c r="I403" i="50"/>
  <c r="I405" i="50"/>
  <c r="I384" i="50"/>
  <c r="I386" i="50"/>
  <c r="I385" i="50"/>
  <c r="I387" i="50"/>
  <c r="H377" i="50"/>
  <c r="H379" i="50"/>
  <c r="H376" i="50"/>
  <c r="H378" i="50"/>
  <c r="I366" i="50"/>
  <c r="I368" i="50"/>
  <c r="I367" i="50"/>
  <c r="I369" i="50"/>
  <c r="H359" i="50"/>
  <c r="H361" i="50"/>
  <c r="H358" i="50"/>
  <c r="H360" i="50"/>
  <c r="H234" i="50"/>
  <c r="H235" i="50"/>
  <c r="H236" i="50"/>
  <c r="H233" i="50"/>
  <c r="I241" i="50"/>
  <c r="I242" i="50"/>
  <c r="I243" i="50"/>
  <c r="I244" i="50"/>
  <c r="I223" i="50"/>
  <c r="I224" i="50"/>
  <c r="I225" i="50"/>
  <c r="I226" i="50"/>
  <c r="H216" i="50"/>
  <c r="H217" i="50"/>
  <c r="H218" i="50"/>
  <c r="H215" i="50"/>
  <c r="I205" i="50"/>
  <c r="I206" i="50"/>
  <c r="I207" i="50"/>
  <c r="I208" i="50"/>
  <c r="H198" i="50"/>
  <c r="H199" i="50"/>
  <c r="H200" i="50"/>
  <c r="H197" i="50"/>
  <c r="H180" i="50"/>
  <c r="H181" i="50"/>
  <c r="H182" i="50"/>
  <c r="H179" i="50"/>
  <c r="I187" i="50"/>
  <c r="I188" i="50"/>
  <c r="I189" i="50"/>
  <c r="I190" i="50"/>
  <c r="I169" i="50"/>
  <c r="I170" i="50"/>
  <c r="I171" i="50"/>
  <c r="I172" i="50"/>
  <c r="H162" i="50"/>
  <c r="H163" i="50"/>
  <c r="H164" i="50"/>
  <c r="H161" i="50"/>
  <c r="I152" i="50"/>
  <c r="I153" i="50"/>
  <c r="I154" i="50"/>
  <c r="I151" i="50"/>
  <c r="H145" i="50"/>
  <c r="H143" i="50"/>
  <c r="H144" i="50"/>
  <c r="H146" i="50"/>
  <c r="K456" i="50"/>
  <c r="K458" i="50"/>
  <c r="K457" i="50"/>
  <c r="K459" i="50"/>
  <c r="J457" i="50"/>
  <c r="J459" i="50"/>
  <c r="J456" i="50"/>
  <c r="J458" i="50"/>
  <c r="I448" i="50"/>
  <c r="I450" i="50"/>
  <c r="I449" i="50"/>
  <c r="I451" i="50"/>
  <c r="J439" i="50"/>
  <c r="J438" i="50"/>
  <c r="J440" i="50"/>
  <c r="J441" i="50"/>
  <c r="I430" i="50"/>
  <c r="I431" i="50"/>
  <c r="I433" i="50"/>
  <c r="I432" i="50"/>
  <c r="K439" i="50"/>
  <c r="K441" i="50"/>
  <c r="K438" i="50"/>
  <c r="K440" i="50"/>
  <c r="K420" i="50"/>
  <c r="K422" i="50"/>
  <c r="K421" i="50"/>
  <c r="K423" i="50"/>
  <c r="J421" i="50"/>
  <c r="J423" i="50"/>
  <c r="J420" i="50"/>
  <c r="J422" i="50"/>
  <c r="I412" i="50"/>
  <c r="I414" i="50"/>
  <c r="I413" i="50"/>
  <c r="I415" i="50"/>
  <c r="J403" i="50"/>
  <c r="J405" i="50"/>
  <c r="J402" i="50"/>
  <c r="J404" i="50"/>
  <c r="K402" i="50"/>
  <c r="K404" i="50"/>
  <c r="K403" i="50"/>
  <c r="K405" i="50"/>
  <c r="I394" i="50"/>
  <c r="I396" i="50"/>
  <c r="I395" i="50"/>
  <c r="I397" i="50"/>
  <c r="K384" i="50"/>
  <c r="K386" i="50"/>
  <c r="K385" i="50"/>
  <c r="K387" i="50"/>
  <c r="J385" i="50"/>
  <c r="J387" i="50"/>
  <c r="J384" i="50"/>
  <c r="J386" i="50"/>
  <c r="I376" i="50"/>
  <c r="I378" i="50"/>
  <c r="I377" i="50"/>
  <c r="I379" i="50"/>
  <c r="J367" i="50"/>
  <c r="J369" i="50"/>
  <c r="J366" i="50"/>
  <c r="J368" i="50"/>
  <c r="I358" i="50"/>
  <c r="I360" i="50"/>
  <c r="I359" i="50"/>
  <c r="I361" i="50"/>
  <c r="K366" i="50"/>
  <c r="K368" i="50"/>
  <c r="K369" i="50"/>
  <c r="K367" i="50"/>
  <c r="K241" i="50"/>
  <c r="K242" i="50"/>
  <c r="K243" i="50"/>
  <c r="K244" i="50"/>
  <c r="J242" i="50"/>
  <c r="J243" i="50"/>
  <c r="J244" i="50"/>
  <c r="J241" i="50"/>
  <c r="I233" i="50"/>
  <c r="I234" i="50"/>
  <c r="I235" i="50"/>
  <c r="I236" i="50"/>
  <c r="K223" i="50"/>
  <c r="K224" i="50"/>
  <c r="K225" i="50"/>
  <c r="K226" i="50"/>
  <c r="J224" i="50"/>
  <c r="J225" i="50"/>
  <c r="J226" i="50"/>
  <c r="J223" i="50"/>
  <c r="I215" i="50"/>
  <c r="I216" i="50"/>
  <c r="I217" i="50"/>
  <c r="I218" i="50"/>
  <c r="J206" i="50"/>
  <c r="J207" i="50"/>
  <c r="J208" i="50"/>
  <c r="J205" i="50"/>
  <c r="K205" i="50"/>
  <c r="K206" i="50"/>
  <c r="K207" i="50"/>
  <c r="K208" i="50"/>
  <c r="I198" i="50"/>
  <c r="I199" i="50"/>
  <c r="I200" i="50"/>
  <c r="I197" i="50"/>
  <c r="K187" i="50"/>
  <c r="K188" i="50"/>
  <c r="K189" i="50"/>
  <c r="K190" i="50"/>
  <c r="J188" i="50"/>
  <c r="J189" i="50"/>
  <c r="J190" i="50"/>
  <c r="J187" i="50"/>
  <c r="I179" i="50"/>
  <c r="I180" i="50"/>
  <c r="I181" i="50"/>
  <c r="I182" i="50"/>
  <c r="I161" i="50"/>
  <c r="I162" i="50"/>
  <c r="I163" i="50"/>
  <c r="I164" i="50"/>
  <c r="K169" i="50"/>
  <c r="K170" i="50"/>
  <c r="K171" i="50"/>
  <c r="K172" i="50"/>
  <c r="J170" i="50"/>
  <c r="J171" i="50"/>
  <c r="J172" i="50"/>
  <c r="J169" i="50"/>
  <c r="K151" i="50"/>
  <c r="K152" i="50"/>
  <c r="K153" i="50"/>
  <c r="K154" i="50"/>
  <c r="J153" i="50"/>
  <c r="J151" i="50"/>
  <c r="J152" i="50"/>
  <c r="J154" i="50"/>
  <c r="I143" i="50"/>
  <c r="I144" i="50"/>
  <c r="I145" i="50"/>
  <c r="I146" i="50"/>
  <c r="K449" i="50"/>
  <c r="K451" i="50"/>
  <c r="K448" i="50"/>
  <c r="K450" i="50"/>
  <c r="J448" i="50"/>
  <c r="J450" i="50"/>
  <c r="J449" i="50"/>
  <c r="J451" i="50"/>
  <c r="J431" i="50"/>
  <c r="J433" i="50"/>
  <c r="J430" i="50"/>
  <c r="J432" i="50"/>
  <c r="K432" i="50"/>
  <c r="K431" i="50"/>
  <c r="K433" i="50"/>
  <c r="K430" i="50"/>
  <c r="J413" i="50"/>
  <c r="J415" i="50"/>
  <c r="J412" i="50"/>
  <c r="J414" i="50"/>
  <c r="K412" i="50"/>
  <c r="K414" i="50"/>
  <c r="K413" i="50"/>
  <c r="K415" i="50"/>
  <c r="J395" i="50"/>
  <c r="J397" i="50"/>
  <c r="J394" i="50"/>
  <c r="J396" i="50"/>
  <c r="K394" i="50"/>
  <c r="K396" i="50"/>
  <c r="K395" i="50"/>
  <c r="K397" i="50"/>
  <c r="K376" i="50"/>
  <c r="K378" i="50"/>
  <c r="K377" i="50"/>
  <c r="K379" i="50"/>
  <c r="J377" i="50"/>
  <c r="J379" i="50"/>
  <c r="J376" i="50"/>
  <c r="J378" i="50"/>
  <c r="J359" i="50"/>
  <c r="J361" i="50"/>
  <c r="J358" i="50"/>
  <c r="J360" i="50"/>
  <c r="K358" i="50"/>
  <c r="K360" i="50"/>
  <c r="K359" i="50"/>
  <c r="K361" i="50"/>
  <c r="K233" i="50"/>
  <c r="K234" i="50"/>
  <c r="K235" i="50"/>
  <c r="K236" i="50"/>
  <c r="J234" i="50"/>
  <c r="J235" i="50"/>
  <c r="J236" i="50"/>
  <c r="J233" i="50"/>
  <c r="K215" i="50"/>
  <c r="K216" i="50"/>
  <c r="K217" i="50"/>
  <c r="K218" i="50"/>
  <c r="J216" i="50"/>
  <c r="J217" i="50"/>
  <c r="J218" i="50"/>
  <c r="J215" i="50"/>
  <c r="J198" i="50"/>
  <c r="J199" i="50"/>
  <c r="J197" i="50"/>
  <c r="J200" i="50"/>
  <c r="K197" i="50"/>
  <c r="K198" i="50"/>
  <c r="K199" i="50"/>
  <c r="K200" i="50"/>
  <c r="J180" i="50"/>
  <c r="J181" i="50"/>
  <c r="J182" i="50"/>
  <c r="J179" i="50"/>
  <c r="K179" i="50"/>
  <c r="K180" i="50"/>
  <c r="K181" i="50"/>
  <c r="K182" i="50"/>
  <c r="J162" i="50"/>
  <c r="J163" i="50"/>
  <c r="J164" i="50"/>
  <c r="J161" i="50"/>
  <c r="K161" i="50"/>
  <c r="K162" i="50"/>
  <c r="K163" i="50"/>
  <c r="K164" i="50"/>
  <c r="J144" i="50"/>
  <c r="J146" i="50"/>
  <c r="J143" i="50"/>
  <c r="J145" i="50"/>
  <c r="K144" i="50"/>
  <c r="K145" i="50"/>
  <c r="K146" i="50"/>
  <c r="K143" i="50"/>
  <c r="D199" i="38"/>
  <c r="E46" i="51"/>
  <c r="F60" i="51"/>
  <c r="G60" i="51" s="1"/>
  <c r="C7" i="38" l="1"/>
  <c r="C323" i="38"/>
  <c r="C299" i="38"/>
  <c r="C275" i="38"/>
  <c r="C251" i="38"/>
  <c r="C227" i="38"/>
  <c r="C203" i="38"/>
  <c r="C179" i="38"/>
  <c r="C155" i="38"/>
  <c r="C131" i="38"/>
  <c r="C107" i="38"/>
  <c r="C335" i="38"/>
  <c r="C311" i="38"/>
  <c r="C287" i="38"/>
  <c r="C263" i="38"/>
  <c r="C239" i="38"/>
  <c r="C215" i="38"/>
  <c r="C191" i="38"/>
  <c r="C167" i="38"/>
  <c r="C143" i="38"/>
  <c r="C119" i="38"/>
  <c r="C44" i="38"/>
  <c r="C46" i="38"/>
  <c r="B2" i="1"/>
  <c r="C2" i="41"/>
  <c r="I213" i="3"/>
  <c r="P75" i="38"/>
  <c r="I75" i="38" s="1"/>
  <c r="Q75" i="38"/>
  <c r="D103" i="38"/>
  <c r="D156" i="37"/>
  <c r="D158" i="37"/>
  <c r="W140" i="37"/>
  <c r="W142" i="37"/>
  <c r="W144" i="37"/>
  <c r="W146" i="37"/>
  <c r="W148" i="37"/>
  <c r="W150" i="37"/>
  <c r="E175" i="37" s="1"/>
  <c r="W152" i="37"/>
  <c r="E177" i="37" s="1"/>
  <c r="W154" i="37"/>
  <c r="E179" i="37" s="1"/>
  <c r="W156" i="37"/>
  <c r="E181" i="37" s="1"/>
  <c r="W158" i="37"/>
  <c r="E183" i="37" s="1"/>
  <c r="D155" i="37"/>
  <c r="D157" i="37"/>
  <c r="W141" i="37"/>
  <c r="W143" i="37"/>
  <c r="W145" i="37"/>
  <c r="W147" i="37"/>
  <c r="E172" i="37" s="1"/>
  <c r="W149" i="37"/>
  <c r="E174" i="37" s="1"/>
  <c r="W151" i="37"/>
  <c r="E176" i="37" s="1"/>
  <c r="W153" i="37"/>
  <c r="E178" i="37" s="1"/>
  <c r="W155" i="37"/>
  <c r="E180" i="37" s="1"/>
  <c r="W157" i="37"/>
  <c r="E182" i="37" s="1"/>
  <c r="W139" i="37"/>
  <c r="C2" i="34"/>
  <c r="C2" i="38"/>
  <c r="E70" i="47"/>
  <c r="E68" i="47"/>
  <c r="E69" i="47"/>
  <c r="E106" i="47"/>
  <c r="E104" i="47"/>
  <c r="E105" i="47"/>
  <c r="E142" i="47"/>
  <c r="E140" i="47"/>
  <c r="E141" i="47"/>
  <c r="E178" i="47"/>
  <c r="E176" i="47"/>
  <c r="E177" i="47"/>
  <c r="E160" i="47"/>
  <c r="E158" i="47"/>
  <c r="E159" i="47"/>
  <c r="E196" i="47"/>
  <c r="E194" i="47"/>
  <c r="E195" i="47"/>
  <c r="E34" i="47"/>
  <c r="E32" i="47"/>
  <c r="E33" i="47"/>
  <c r="D141" i="3"/>
  <c r="E69" i="56"/>
  <c r="B48" i="15"/>
  <c r="B50" i="15"/>
  <c r="B51" i="15"/>
  <c r="B53" i="15"/>
  <c r="B54" i="15"/>
  <c r="B55" i="15"/>
  <c r="B56" i="15"/>
  <c r="B57" i="15"/>
  <c r="B49" i="15"/>
  <c r="B52" i="15"/>
  <c r="R58" i="38"/>
  <c r="E88" i="37"/>
  <c r="W88" i="37" s="1"/>
  <c r="E91" i="37"/>
  <c r="P74" i="38"/>
  <c r="J74" i="38" s="1"/>
  <c r="Q74" i="38"/>
  <c r="M74" i="38" s="1"/>
  <c r="N73" i="38"/>
  <c r="M73" i="38"/>
  <c r="P77" i="38"/>
  <c r="R77" i="38" s="1"/>
  <c r="T77" i="38" s="1"/>
  <c r="J86" i="38" s="1"/>
  <c r="J73" i="38"/>
  <c r="L73" i="38"/>
  <c r="R73" i="38"/>
  <c r="K73" i="38"/>
  <c r="I73" i="38"/>
  <c r="M77" i="38"/>
  <c r="N77" i="38"/>
  <c r="R51" i="38"/>
  <c r="S51" i="38" s="1"/>
  <c r="C46" i="1"/>
  <c r="G48" i="1"/>
  <c r="G213" i="56"/>
  <c r="Z114" i="37"/>
  <c r="AA114" i="37" s="1"/>
  <c r="F141" i="56"/>
  <c r="G213" i="3"/>
  <c r="F213" i="56"/>
  <c r="Z115" i="37"/>
  <c r="AA115" i="37" s="1"/>
  <c r="Z112" i="37"/>
  <c r="AA112" i="37" s="1"/>
  <c r="Z113" i="37"/>
  <c r="AA113" i="37" s="1"/>
  <c r="Z116" i="37"/>
  <c r="AA116" i="37" s="1"/>
  <c r="D26" i="1"/>
  <c r="G26" i="1" s="1"/>
  <c r="F354" i="41"/>
  <c r="F358" i="41" s="1"/>
  <c r="F353" i="41"/>
  <c r="F357" i="41" s="1"/>
  <c r="F355" i="41"/>
  <c r="F359" i="41" s="1"/>
  <c r="M231" i="7"/>
  <c r="M238" i="7"/>
  <c r="M236" i="7"/>
  <c r="M234" i="7"/>
  <c r="M232" i="7"/>
  <c r="M239" i="7"/>
  <c r="M237" i="7"/>
  <c r="M235" i="7"/>
  <c r="M233" i="7"/>
  <c r="C3" i="34"/>
  <c r="B3" i="59"/>
  <c r="B27" i="46"/>
  <c r="K44" i="7"/>
  <c r="L44" i="7"/>
  <c r="M49" i="7"/>
  <c r="M47" i="7"/>
  <c r="M45" i="7"/>
  <c r="K43" i="7"/>
  <c r="L43" i="7"/>
  <c r="K41" i="7"/>
  <c r="L41" i="7"/>
  <c r="K230" i="7"/>
  <c r="L230" i="7"/>
  <c r="B2" i="59"/>
  <c r="F26" i="49"/>
  <c r="G26" i="49" s="1"/>
  <c r="G29" i="49" s="1"/>
  <c r="J71" i="37"/>
  <c r="I97" i="38"/>
  <c r="J133" i="37"/>
  <c r="J42" i="37"/>
  <c r="H1" i="54"/>
  <c r="V253" i="50"/>
  <c r="J293" i="50" s="1"/>
  <c r="C41" i="1"/>
  <c r="D43" i="1"/>
  <c r="B3" i="46"/>
  <c r="H114" i="50"/>
  <c r="J114" i="50"/>
  <c r="F114" i="50"/>
  <c r="H106" i="50"/>
  <c r="J106" i="50"/>
  <c r="F106" i="50"/>
  <c r="I114" i="50"/>
  <c r="G106" i="50"/>
  <c r="K106" i="50"/>
  <c r="G114" i="50"/>
  <c r="K114" i="50"/>
  <c r="I106" i="50"/>
  <c r="H293" i="50"/>
  <c r="J276" i="50"/>
  <c r="J274" i="50"/>
  <c r="J272" i="50"/>
  <c r="J62" i="50"/>
  <c r="J60" i="50"/>
  <c r="J58" i="50"/>
  <c r="J56" i="50"/>
  <c r="J277" i="50"/>
  <c r="J273" i="50"/>
  <c r="C2" i="3"/>
  <c r="D2" i="49"/>
  <c r="C3" i="53"/>
  <c r="D2" i="51"/>
  <c r="P407" i="41"/>
  <c r="F77" i="49"/>
  <c r="G77" i="49" s="1"/>
  <c r="G80" i="49" s="1"/>
  <c r="D3" i="51"/>
  <c r="C3" i="41"/>
  <c r="H67" i="41"/>
  <c r="D3" i="50"/>
  <c r="C3" i="44"/>
  <c r="E3" i="37"/>
  <c r="D3" i="15"/>
  <c r="G179" i="51"/>
  <c r="H179" i="51" s="1"/>
  <c r="I179" i="51" s="1"/>
  <c r="E182" i="51"/>
  <c r="J271" i="50"/>
  <c r="J55" i="50"/>
  <c r="U51" i="38"/>
  <c r="AB52" i="38"/>
  <c r="B135" i="15" s="1"/>
  <c r="AB54" i="38"/>
  <c r="B137" i="15" s="1"/>
  <c r="AB56" i="38"/>
  <c r="B139" i="15" s="1"/>
  <c r="AB58" i="38"/>
  <c r="B141" i="15" s="1"/>
  <c r="AB60" i="38"/>
  <c r="B143" i="15" s="1"/>
  <c r="AB62" i="38"/>
  <c r="B145" i="15" s="1"/>
  <c r="AB66" i="38"/>
  <c r="B149" i="15" s="1"/>
  <c r="AB68" i="38"/>
  <c r="B151" i="15" s="1"/>
  <c r="AB51" i="38"/>
  <c r="B134" i="15" s="1"/>
  <c r="AB53" i="38"/>
  <c r="B136" i="15" s="1"/>
  <c r="AB55" i="38"/>
  <c r="B138" i="15" s="1"/>
  <c r="AB57" i="38"/>
  <c r="B140" i="15" s="1"/>
  <c r="AB59" i="38"/>
  <c r="B142" i="15" s="1"/>
  <c r="AB61" i="38"/>
  <c r="B144" i="15" s="1"/>
  <c r="AB63" i="38"/>
  <c r="B146" i="15" s="1"/>
  <c r="AB65" i="38"/>
  <c r="B148" i="15" s="1"/>
  <c r="AB67" i="38"/>
  <c r="B150" i="15" s="1"/>
  <c r="AB69" i="38"/>
  <c r="B152" i="15" s="1"/>
  <c r="AB64" i="38"/>
  <c r="B147" i="15" s="1"/>
  <c r="AB50" i="38"/>
  <c r="B133" i="15" s="1"/>
  <c r="G61" i="51"/>
  <c r="I61" i="51"/>
  <c r="E61" i="51"/>
  <c r="E10" i="51" s="1"/>
  <c r="AL29" i="14" s="1"/>
  <c r="F61" i="51"/>
  <c r="H61" i="51"/>
  <c r="J61" i="51"/>
  <c r="D87" i="51"/>
  <c r="AD11" i="14" s="1"/>
  <c r="G95" i="51"/>
  <c r="I95" i="51"/>
  <c r="E95" i="51"/>
  <c r="E12" i="51" s="1"/>
  <c r="AL31" i="14" s="1"/>
  <c r="F95" i="51"/>
  <c r="H95" i="51"/>
  <c r="J95" i="51"/>
  <c r="D172" i="51"/>
  <c r="AD16" i="14" s="1"/>
  <c r="G180" i="51"/>
  <c r="I180" i="51"/>
  <c r="E180" i="51"/>
  <c r="E17" i="51" s="1"/>
  <c r="AL36" i="14" s="1"/>
  <c r="F180" i="51"/>
  <c r="H180" i="51"/>
  <c r="J180" i="51"/>
  <c r="G27" i="51"/>
  <c r="I27" i="51"/>
  <c r="E27" i="51"/>
  <c r="E8" i="51" s="1"/>
  <c r="AL27" i="14" s="1"/>
  <c r="F27" i="51"/>
  <c r="H27" i="51"/>
  <c r="J27" i="51"/>
  <c r="G44" i="51"/>
  <c r="I44" i="51"/>
  <c r="E44" i="51"/>
  <c r="E9" i="51" s="1"/>
  <c r="AL28" i="14" s="1"/>
  <c r="F44" i="51"/>
  <c r="H44" i="51"/>
  <c r="J44" i="51"/>
  <c r="G78" i="51"/>
  <c r="I78" i="51"/>
  <c r="E78" i="51"/>
  <c r="E11" i="51" s="1"/>
  <c r="AL30" i="14" s="1"/>
  <c r="F78" i="51"/>
  <c r="H78" i="51"/>
  <c r="J78" i="51"/>
  <c r="D155" i="51"/>
  <c r="AD15" i="14" s="1"/>
  <c r="F163" i="51"/>
  <c r="H163" i="51"/>
  <c r="J163" i="51"/>
  <c r="G163" i="51"/>
  <c r="I163" i="51"/>
  <c r="E163" i="51"/>
  <c r="E16" i="51" s="1"/>
  <c r="AL35" i="14" s="1"/>
  <c r="D138" i="51"/>
  <c r="AD14" i="14" s="1"/>
  <c r="F146" i="51"/>
  <c r="H146" i="51"/>
  <c r="J146" i="51"/>
  <c r="G146" i="51"/>
  <c r="I146" i="51"/>
  <c r="E146" i="51"/>
  <c r="E15" i="51" s="1"/>
  <c r="AL34" i="14" s="1"/>
  <c r="D121" i="51"/>
  <c r="AD13" i="14" s="1"/>
  <c r="F129" i="51"/>
  <c r="H129" i="51"/>
  <c r="J129" i="51"/>
  <c r="G129" i="51"/>
  <c r="I129" i="51"/>
  <c r="E129" i="51"/>
  <c r="E14" i="51" s="1"/>
  <c r="AL33" i="14" s="1"/>
  <c r="D104" i="51"/>
  <c r="AD12" i="14" s="1"/>
  <c r="F112" i="51"/>
  <c r="H112" i="51"/>
  <c r="J112" i="51"/>
  <c r="G112" i="51"/>
  <c r="I112" i="51"/>
  <c r="E112" i="51"/>
  <c r="E13" i="51" s="1"/>
  <c r="AL32" i="14" s="1"/>
  <c r="AB15" i="14"/>
  <c r="F173" i="47"/>
  <c r="F16" i="47" s="1"/>
  <c r="AM15" i="14" s="1"/>
  <c r="J173" i="47"/>
  <c r="J16" i="47" s="1"/>
  <c r="AQ15" i="14" s="1"/>
  <c r="G173" i="47"/>
  <c r="G16" i="47" s="1"/>
  <c r="AN15" i="14" s="1"/>
  <c r="I173" i="47"/>
  <c r="I16" i="47" s="1"/>
  <c r="AP15" i="14" s="1"/>
  <c r="E173" i="47"/>
  <c r="E16" i="47" s="1"/>
  <c r="AL15" i="14" s="1"/>
  <c r="H173" i="47"/>
  <c r="H16" i="47" s="1"/>
  <c r="AO15" i="14" s="1"/>
  <c r="AB14" i="14"/>
  <c r="F155" i="47"/>
  <c r="F15" i="47" s="1"/>
  <c r="AM14" i="14" s="1"/>
  <c r="H155" i="47"/>
  <c r="H15" i="47" s="1"/>
  <c r="AO14" i="14" s="1"/>
  <c r="J155" i="47"/>
  <c r="J15" i="47" s="1"/>
  <c r="AQ14" i="14" s="1"/>
  <c r="G155" i="47"/>
  <c r="G15" i="47" s="1"/>
  <c r="AN14" i="14" s="1"/>
  <c r="I155" i="47"/>
  <c r="I15" i="47" s="1"/>
  <c r="AP14" i="14" s="1"/>
  <c r="E155" i="47"/>
  <c r="E15" i="47" s="1"/>
  <c r="AL14" i="14" s="1"/>
  <c r="AB13" i="14"/>
  <c r="F137" i="47"/>
  <c r="F14" i="47" s="1"/>
  <c r="AM13" i="14" s="1"/>
  <c r="H137" i="47"/>
  <c r="H14" i="47" s="1"/>
  <c r="AO13" i="14" s="1"/>
  <c r="J137" i="47"/>
  <c r="J14" i="47" s="1"/>
  <c r="AQ13" i="14" s="1"/>
  <c r="G137" i="47"/>
  <c r="G14" i="47" s="1"/>
  <c r="AN13" i="14" s="1"/>
  <c r="I137" i="47"/>
  <c r="I14" i="47" s="1"/>
  <c r="AP13" i="14" s="1"/>
  <c r="E137" i="47"/>
  <c r="E14" i="47" s="1"/>
  <c r="AL13" i="14" s="1"/>
  <c r="AB12" i="14"/>
  <c r="F119" i="47"/>
  <c r="F13" i="47" s="1"/>
  <c r="AM12" i="14" s="1"/>
  <c r="H119" i="47"/>
  <c r="H13" i="47" s="1"/>
  <c r="AO12" i="14" s="1"/>
  <c r="J119" i="47"/>
  <c r="J13" i="47" s="1"/>
  <c r="AQ12" i="14" s="1"/>
  <c r="G119" i="47"/>
  <c r="G13" i="47" s="1"/>
  <c r="AN12" i="14" s="1"/>
  <c r="I119" i="47"/>
  <c r="I13" i="47" s="1"/>
  <c r="AP12" i="14" s="1"/>
  <c r="E119" i="47"/>
  <c r="E13" i="47" s="1"/>
  <c r="AL12" i="14" s="1"/>
  <c r="F180" i="49"/>
  <c r="F17" i="49" s="1"/>
  <c r="AM26" i="14" s="1"/>
  <c r="H180" i="49"/>
  <c r="H17" i="49" s="1"/>
  <c r="AO26" i="14" s="1"/>
  <c r="J180" i="49"/>
  <c r="J17" i="49" s="1"/>
  <c r="AQ26" i="14" s="1"/>
  <c r="G180" i="49"/>
  <c r="G17" i="49" s="1"/>
  <c r="AN26" i="14" s="1"/>
  <c r="I180" i="49"/>
  <c r="I17" i="49" s="1"/>
  <c r="AP26" i="14" s="1"/>
  <c r="E180" i="49"/>
  <c r="E17" i="49" s="1"/>
  <c r="AL26" i="14" s="1"/>
  <c r="F163" i="49"/>
  <c r="F16" i="49" s="1"/>
  <c r="AM25" i="14" s="1"/>
  <c r="H163" i="49"/>
  <c r="H16" i="49" s="1"/>
  <c r="AO25" i="14" s="1"/>
  <c r="J163" i="49"/>
  <c r="J16" i="49" s="1"/>
  <c r="AQ25" i="14" s="1"/>
  <c r="G163" i="49"/>
  <c r="G16" i="49" s="1"/>
  <c r="AN25" i="14" s="1"/>
  <c r="I163" i="49"/>
  <c r="I16" i="49" s="1"/>
  <c r="AP25" i="14" s="1"/>
  <c r="E163" i="49"/>
  <c r="E16" i="49" s="1"/>
  <c r="AL25" i="14" s="1"/>
  <c r="D138" i="49"/>
  <c r="AC14" i="14" s="1"/>
  <c r="F146" i="49"/>
  <c r="H146" i="49"/>
  <c r="H15" i="49" s="1"/>
  <c r="AO24" i="14" s="1"/>
  <c r="J146" i="49"/>
  <c r="J15" i="49" s="1"/>
  <c r="AQ24" i="14" s="1"/>
  <c r="G146" i="49"/>
  <c r="G15" i="49" s="1"/>
  <c r="AN24" i="14" s="1"/>
  <c r="I146" i="49"/>
  <c r="I15" i="49" s="1"/>
  <c r="AP24" i="14" s="1"/>
  <c r="E146" i="49"/>
  <c r="E15" i="49" s="1"/>
  <c r="AL24" i="14" s="1"/>
  <c r="D121" i="49"/>
  <c r="AC13" i="14" s="1"/>
  <c r="F129" i="49"/>
  <c r="F14" i="49" s="1"/>
  <c r="AM23" i="14" s="1"/>
  <c r="H129" i="49"/>
  <c r="H14" i="49" s="1"/>
  <c r="AO23" i="14" s="1"/>
  <c r="J129" i="49"/>
  <c r="J14" i="49" s="1"/>
  <c r="AQ23" i="14" s="1"/>
  <c r="G129" i="49"/>
  <c r="G14" i="49" s="1"/>
  <c r="AN23" i="14" s="1"/>
  <c r="I129" i="49"/>
  <c r="I14" i="49" s="1"/>
  <c r="AP23" i="14" s="1"/>
  <c r="E129" i="49"/>
  <c r="E14" i="49" s="1"/>
  <c r="AL23" i="14" s="1"/>
  <c r="D104" i="49"/>
  <c r="AC12" i="14" s="1"/>
  <c r="F112" i="49"/>
  <c r="F13" i="49" s="1"/>
  <c r="AM22" i="14" s="1"/>
  <c r="H112" i="49"/>
  <c r="H13" i="49" s="1"/>
  <c r="AO22" i="14" s="1"/>
  <c r="J112" i="49"/>
  <c r="J13" i="49" s="1"/>
  <c r="AQ22" i="14" s="1"/>
  <c r="G112" i="49"/>
  <c r="G13" i="49" s="1"/>
  <c r="AN22" i="14" s="1"/>
  <c r="I112" i="49"/>
  <c r="I13" i="49" s="1"/>
  <c r="AP22" i="14" s="1"/>
  <c r="E112" i="49"/>
  <c r="E13" i="49" s="1"/>
  <c r="AL22" i="14" s="1"/>
  <c r="F27" i="49"/>
  <c r="F8" i="49" s="1"/>
  <c r="AM17" i="14" s="1"/>
  <c r="H27" i="49"/>
  <c r="H8" i="49" s="1"/>
  <c r="AO17" i="14" s="1"/>
  <c r="J27" i="49"/>
  <c r="J8" i="49" s="1"/>
  <c r="AQ17" i="14" s="1"/>
  <c r="G27" i="49"/>
  <c r="G8" i="49" s="1"/>
  <c r="AN17" i="14" s="1"/>
  <c r="I27" i="49"/>
  <c r="I8" i="49" s="1"/>
  <c r="AP17" i="14" s="1"/>
  <c r="E27" i="49"/>
  <c r="E8" i="49" s="1"/>
  <c r="D53" i="49"/>
  <c r="AC9" i="14" s="1"/>
  <c r="F61" i="49"/>
  <c r="F10" i="49" s="1"/>
  <c r="AM19" i="14" s="1"/>
  <c r="H61" i="49"/>
  <c r="H10" i="49" s="1"/>
  <c r="AO19" i="14" s="1"/>
  <c r="J61" i="49"/>
  <c r="J10" i="49" s="1"/>
  <c r="AQ19" i="14" s="1"/>
  <c r="G61" i="49"/>
  <c r="G10" i="49" s="1"/>
  <c r="AN19" i="14" s="1"/>
  <c r="I61" i="49"/>
  <c r="I10" i="49" s="1"/>
  <c r="AP19" i="14" s="1"/>
  <c r="E61" i="49"/>
  <c r="E10" i="49" s="1"/>
  <c r="AL19" i="14" s="1"/>
  <c r="D36" i="49"/>
  <c r="AC8" i="14" s="1"/>
  <c r="F44" i="49"/>
  <c r="F9" i="49" s="1"/>
  <c r="AM18" i="14" s="1"/>
  <c r="H44" i="49"/>
  <c r="H9" i="49" s="1"/>
  <c r="AO18" i="14" s="1"/>
  <c r="J44" i="49"/>
  <c r="J9" i="49" s="1"/>
  <c r="AQ18" i="14" s="1"/>
  <c r="G44" i="49"/>
  <c r="G9" i="49" s="1"/>
  <c r="AN18" i="14" s="1"/>
  <c r="I44" i="49"/>
  <c r="I9" i="49" s="1"/>
  <c r="AP18" i="14" s="1"/>
  <c r="E44" i="49"/>
  <c r="E9" i="49" s="1"/>
  <c r="AL18" i="14" s="1"/>
  <c r="F78" i="49"/>
  <c r="F11" i="49" s="1"/>
  <c r="AM20" i="14" s="1"/>
  <c r="H78" i="49"/>
  <c r="H11" i="49" s="1"/>
  <c r="AO20" i="14" s="1"/>
  <c r="J78" i="49"/>
  <c r="J11" i="49" s="1"/>
  <c r="AQ20" i="14" s="1"/>
  <c r="G78" i="49"/>
  <c r="G11" i="49" s="1"/>
  <c r="AN20" i="14" s="1"/>
  <c r="I78" i="49"/>
  <c r="I11" i="49" s="1"/>
  <c r="AP20" i="14" s="1"/>
  <c r="E78" i="49"/>
  <c r="E11" i="49" s="1"/>
  <c r="AL20" i="14" s="1"/>
  <c r="F95" i="49"/>
  <c r="F12" i="49" s="1"/>
  <c r="AM21" i="14" s="1"/>
  <c r="H95" i="49"/>
  <c r="H12" i="49" s="1"/>
  <c r="AO21" i="14" s="1"/>
  <c r="J95" i="49"/>
  <c r="J12" i="49" s="1"/>
  <c r="AQ21" i="14" s="1"/>
  <c r="G95" i="49"/>
  <c r="G12" i="49" s="1"/>
  <c r="AN21" i="14" s="1"/>
  <c r="I95" i="49"/>
  <c r="I12" i="49" s="1"/>
  <c r="AP21" i="14" s="1"/>
  <c r="E95" i="49"/>
  <c r="E12" i="49" s="1"/>
  <c r="AL21" i="14" s="1"/>
  <c r="DD214" i="47"/>
  <c r="F43" i="49"/>
  <c r="F46" i="49" s="1"/>
  <c r="C3" i="3"/>
  <c r="F60" i="49"/>
  <c r="G60" i="49" s="1"/>
  <c r="G63" i="49" s="1"/>
  <c r="F111" i="49"/>
  <c r="F179" i="49"/>
  <c r="C3" i="7"/>
  <c r="DD207" i="47"/>
  <c r="D273" i="50"/>
  <c r="V273" i="50" s="1"/>
  <c r="C3" i="56"/>
  <c r="D3" i="58"/>
  <c r="B3" i="57"/>
  <c r="D2" i="58"/>
  <c r="B2" i="57"/>
  <c r="X70" i="38"/>
  <c r="R55" i="38"/>
  <c r="S55" i="38" s="1"/>
  <c r="D335" i="50"/>
  <c r="J335" i="50" s="1"/>
  <c r="D70" i="49"/>
  <c r="AC10" i="14" s="1"/>
  <c r="D87" i="49"/>
  <c r="AC11" i="14" s="1"/>
  <c r="H213" i="3"/>
  <c r="AA38" i="50"/>
  <c r="AB38" i="50" s="1"/>
  <c r="D69" i="3"/>
  <c r="F15" i="49"/>
  <c r="AM24" i="14" s="1"/>
  <c r="D102" i="50"/>
  <c r="J102" i="50" s="1"/>
  <c r="AA253" i="50"/>
  <c r="AB253" i="50" s="1"/>
  <c r="E97" i="51"/>
  <c r="E191" i="47"/>
  <c r="E17" i="47" s="1"/>
  <c r="AL16" i="14" s="1"/>
  <c r="E29" i="47"/>
  <c r="V41" i="50"/>
  <c r="J132" i="50" s="1"/>
  <c r="G65" i="47"/>
  <c r="G10" i="47" s="1"/>
  <c r="AN9" i="14" s="1"/>
  <c r="I65" i="47"/>
  <c r="I10" i="47" s="1"/>
  <c r="AP9" i="14" s="1"/>
  <c r="E65" i="47"/>
  <c r="E10" i="47" s="1"/>
  <c r="AL9" i="14" s="1"/>
  <c r="F65" i="47"/>
  <c r="F10" i="47" s="1"/>
  <c r="AM9" i="14" s="1"/>
  <c r="H65" i="47"/>
  <c r="H10" i="47" s="1"/>
  <c r="AO9" i="14" s="1"/>
  <c r="J65" i="47"/>
  <c r="J10" i="47" s="1"/>
  <c r="AQ9" i="14" s="1"/>
  <c r="G101" i="47"/>
  <c r="G12" i="47" s="1"/>
  <c r="AN11" i="14" s="1"/>
  <c r="I101" i="47"/>
  <c r="I12" i="47" s="1"/>
  <c r="AP11" i="14" s="1"/>
  <c r="E101" i="47"/>
  <c r="E12" i="47" s="1"/>
  <c r="AL11" i="14" s="1"/>
  <c r="F101" i="47"/>
  <c r="F12" i="47" s="1"/>
  <c r="AM11" i="14" s="1"/>
  <c r="H101" i="47"/>
  <c r="H12" i="47" s="1"/>
  <c r="AO11" i="14" s="1"/>
  <c r="J101" i="47"/>
  <c r="J12" i="47" s="1"/>
  <c r="AQ11" i="14" s="1"/>
  <c r="DD206" i="47"/>
  <c r="G83" i="47"/>
  <c r="G11" i="47" s="1"/>
  <c r="AN10" i="14" s="1"/>
  <c r="I83" i="47"/>
  <c r="I11" i="47" s="1"/>
  <c r="AP10" i="14" s="1"/>
  <c r="E83" i="47"/>
  <c r="E11" i="47" s="1"/>
  <c r="AL10" i="14" s="1"/>
  <c r="F83" i="47"/>
  <c r="F11" i="47" s="1"/>
  <c r="AM10" i="14" s="1"/>
  <c r="H83" i="47"/>
  <c r="H11" i="47" s="1"/>
  <c r="AO10" i="14" s="1"/>
  <c r="J83" i="47"/>
  <c r="J11" i="47" s="1"/>
  <c r="AQ10" i="14" s="1"/>
  <c r="F28" i="47"/>
  <c r="G28" i="47" s="1"/>
  <c r="H28" i="47" s="1"/>
  <c r="F64" i="47"/>
  <c r="G64" i="47" s="1"/>
  <c r="G67" i="47" s="1"/>
  <c r="F100" i="47"/>
  <c r="F103" i="47" s="1"/>
  <c r="F136" i="47"/>
  <c r="G136" i="47" s="1"/>
  <c r="G139" i="47" s="1"/>
  <c r="F172" i="47"/>
  <c r="F175" i="47" s="1"/>
  <c r="F47" i="47"/>
  <c r="H47" i="47"/>
  <c r="J47" i="47"/>
  <c r="E47" i="47"/>
  <c r="E9" i="47" s="1"/>
  <c r="AL8" i="14" s="1"/>
  <c r="G47" i="47"/>
  <c r="I47" i="47"/>
  <c r="DD217" i="47"/>
  <c r="DD219" i="47"/>
  <c r="DD244" i="47"/>
  <c r="DD242" i="47"/>
  <c r="DD230" i="47"/>
  <c r="DD211" i="47"/>
  <c r="DD209" i="47"/>
  <c r="DD208" i="47"/>
  <c r="F154" i="47"/>
  <c r="G154" i="47" s="1"/>
  <c r="H154" i="47" s="1"/>
  <c r="F190" i="47"/>
  <c r="G190" i="47" s="1"/>
  <c r="G193" i="47" s="1"/>
  <c r="DD243" i="47"/>
  <c r="DD241" i="47"/>
  <c r="DD231" i="47"/>
  <c r="DD263" i="47"/>
  <c r="DD259" i="47"/>
  <c r="DD254" i="47"/>
  <c r="DD237" i="47"/>
  <c r="DD235" i="47"/>
  <c r="DD233" i="47"/>
  <c r="DD269" i="47"/>
  <c r="DD267" i="47"/>
  <c r="DD265" i="47"/>
  <c r="P2" i="1"/>
  <c r="B3" i="22"/>
  <c r="F148" i="49"/>
  <c r="E131" i="51"/>
  <c r="E271" i="15"/>
  <c r="G271" i="15"/>
  <c r="H271" i="15" s="1"/>
  <c r="I271" i="15" s="1"/>
  <c r="J271" i="15" s="1"/>
  <c r="K271" i="15" s="1"/>
  <c r="DD255" i="47"/>
  <c r="C119" i="7"/>
  <c r="C281" i="34"/>
  <c r="C48" i="7"/>
  <c r="E17" i="37"/>
  <c r="C275" i="43" s="1"/>
  <c r="K275" i="43" s="1"/>
  <c r="E49" i="37"/>
  <c r="J59" i="50"/>
  <c r="C2" i="45"/>
  <c r="D2" i="50"/>
  <c r="C2" i="43"/>
  <c r="C2" i="53"/>
  <c r="C2" i="44"/>
  <c r="D2" i="15"/>
  <c r="H69" i="3"/>
  <c r="DD229" i="47"/>
  <c r="D61" i="50"/>
  <c r="V61" i="50" s="1"/>
  <c r="D210" i="50"/>
  <c r="J210" i="50" s="1"/>
  <c r="D272" i="50"/>
  <c r="V272" i="50" s="1"/>
  <c r="D353" i="50"/>
  <c r="J353" i="50" s="1"/>
  <c r="E49" i="47"/>
  <c r="F46" i="47"/>
  <c r="G46" i="47" s="1"/>
  <c r="G49" i="47" s="1"/>
  <c r="E85" i="47"/>
  <c r="F82" i="47"/>
  <c r="F85" i="47" s="1"/>
  <c r="E121" i="47"/>
  <c r="F118" i="47"/>
  <c r="E97" i="49"/>
  <c r="F94" i="49"/>
  <c r="F97" i="49" s="1"/>
  <c r="E131" i="49"/>
  <c r="F128" i="49"/>
  <c r="E165" i="49"/>
  <c r="F162" i="49"/>
  <c r="F111" i="51"/>
  <c r="F114" i="51" s="1"/>
  <c r="E114" i="51"/>
  <c r="C276" i="43"/>
  <c r="K276" i="43" s="1"/>
  <c r="C284" i="43"/>
  <c r="K284" i="43" s="1"/>
  <c r="C286" i="43"/>
  <c r="K286" i="43" s="1"/>
  <c r="C288" i="43"/>
  <c r="K288" i="43" s="1"/>
  <c r="C290" i="43"/>
  <c r="K290" i="43" s="1"/>
  <c r="C292" i="43"/>
  <c r="K292" i="43" s="1"/>
  <c r="C281" i="43"/>
  <c r="K281" i="43" s="1"/>
  <c r="C285" i="43"/>
  <c r="K285" i="43" s="1"/>
  <c r="C289" i="43"/>
  <c r="K289" i="43" s="1"/>
  <c r="C293" i="43"/>
  <c r="K293" i="43" s="1"/>
  <c r="C287" i="43"/>
  <c r="K287" i="43" s="1"/>
  <c r="C291" i="43"/>
  <c r="K291" i="43" s="1"/>
  <c r="G276" i="43"/>
  <c r="D23" i="1"/>
  <c r="E148" i="51"/>
  <c r="C2" i="7"/>
  <c r="B2" i="46"/>
  <c r="C2" i="56"/>
  <c r="D20" i="1"/>
  <c r="G20" i="1" s="1"/>
  <c r="D115" i="38"/>
  <c r="D2" i="47"/>
  <c r="F187" i="38"/>
  <c r="G187" i="38" s="1"/>
  <c r="H187" i="38" s="1"/>
  <c r="I187" i="38" s="1"/>
  <c r="J187" i="38" s="1"/>
  <c r="D187" i="38"/>
  <c r="DD215" i="47"/>
  <c r="DD216" i="47"/>
  <c r="DD218" i="47"/>
  <c r="O104" i="15"/>
  <c r="O110" i="37"/>
  <c r="J57" i="50"/>
  <c r="DD210" i="47"/>
  <c r="G279" i="43"/>
  <c r="R59" i="38"/>
  <c r="R53" i="38"/>
  <c r="DD232" i="47"/>
  <c r="DD264" i="47"/>
  <c r="DD260" i="47"/>
  <c r="DD256" i="47"/>
  <c r="C79" i="7"/>
  <c r="C43" i="7"/>
  <c r="C276" i="34"/>
  <c r="V271" i="50"/>
  <c r="DD212" i="47"/>
  <c r="AG123" i="15"/>
  <c r="AG119" i="15"/>
  <c r="AG115" i="15"/>
  <c r="AG122" i="15"/>
  <c r="AG118" i="15"/>
  <c r="AG121" i="15"/>
  <c r="AG117" i="15"/>
  <c r="AG124" i="15"/>
  <c r="AG120" i="15"/>
  <c r="AG116" i="15"/>
  <c r="X60" i="7"/>
  <c r="V60" i="7"/>
  <c r="T60" i="7"/>
  <c r="S60" i="7"/>
  <c r="Q60" i="7"/>
  <c r="O60" i="7"/>
  <c r="Y59" i="7"/>
  <c r="W59" i="7"/>
  <c r="U59" i="7"/>
  <c r="R59" i="7"/>
  <c r="P59" i="7"/>
  <c r="N59" i="7"/>
  <c r="X58" i="7"/>
  <c r="V58" i="7"/>
  <c r="T58" i="7"/>
  <c r="S58" i="7"/>
  <c r="Q58" i="7"/>
  <c r="O58" i="7"/>
  <c r="Y57" i="7"/>
  <c r="W57" i="7"/>
  <c r="U57" i="7"/>
  <c r="R57" i="7"/>
  <c r="P57" i="7"/>
  <c r="N57" i="7"/>
  <c r="X56" i="7"/>
  <c r="V56" i="7"/>
  <c r="T56" i="7"/>
  <c r="S56" i="7"/>
  <c r="Q56" i="7"/>
  <c r="O56" i="7"/>
  <c r="Y55" i="7"/>
  <c r="W55" i="7"/>
  <c r="U55" i="7"/>
  <c r="R55" i="7"/>
  <c r="P55" i="7"/>
  <c r="N55" i="7"/>
  <c r="X54" i="7"/>
  <c r="V54" i="7"/>
  <c r="T54" i="7"/>
  <c r="S54" i="7"/>
  <c r="Q54" i="7"/>
  <c r="O54" i="7"/>
  <c r="Y53" i="7"/>
  <c r="W53" i="7"/>
  <c r="U53" i="7"/>
  <c r="R53" i="7"/>
  <c r="P53" i="7"/>
  <c r="N53" i="7"/>
  <c r="X52" i="7"/>
  <c r="V52" i="7"/>
  <c r="T52" i="7"/>
  <c r="S52" i="7"/>
  <c r="Q52" i="7"/>
  <c r="O52" i="7"/>
  <c r="Y51" i="7"/>
  <c r="W51" i="7"/>
  <c r="U51" i="7"/>
  <c r="R51" i="7"/>
  <c r="P51" i="7"/>
  <c r="N51" i="7"/>
  <c r="Y60" i="7"/>
  <c r="W60" i="7"/>
  <c r="U60" i="7"/>
  <c r="R60" i="7"/>
  <c r="P60" i="7"/>
  <c r="N60" i="7"/>
  <c r="X59" i="7"/>
  <c r="V59" i="7"/>
  <c r="T59" i="7"/>
  <c r="S59" i="7"/>
  <c r="Q59" i="7"/>
  <c r="O59" i="7"/>
  <c r="Y58" i="7"/>
  <c r="W58" i="7"/>
  <c r="U58" i="7"/>
  <c r="R58" i="7"/>
  <c r="P58" i="7"/>
  <c r="N58" i="7"/>
  <c r="X57" i="7"/>
  <c r="V57" i="7"/>
  <c r="T57" i="7"/>
  <c r="S57" i="7"/>
  <c r="Q57" i="7"/>
  <c r="O57" i="7"/>
  <c r="Y56" i="7"/>
  <c r="U56" i="7"/>
  <c r="R56" i="7"/>
  <c r="N56" i="7"/>
  <c r="V55" i="7"/>
  <c r="Q55" i="7"/>
  <c r="Y54" i="7"/>
  <c r="U54" i="7"/>
  <c r="R54" i="7"/>
  <c r="N54" i="7"/>
  <c r="V53" i="7"/>
  <c r="Q53" i="7"/>
  <c r="Y52" i="7"/>
  <c r="U52" i="7"/>
  <c r="R52" i="7"/>
  <c r="N52" i="7"/>
  <c r="V51" i="7"/>
  <c r="S51" i="7"/>
  <c r="O51" i="7"/>
  <c r="W56" i="7"/>
  <c r="P56" i="7"/>
  <c r="X55" i="7"/>
  <c r="T55" i="7"/>
  <c r="S55" i="7"/>
  <c r="O55" i="7"/>
  <c r="W54" i="7"/>
  <c r="P54" i="7"/>
  <c r="X53" i="7"/>
  <c r="T53" i="7"/>
  <c r="S53" i="7"/>
  <c r="O53" i="7"/>
  <c r="W52" i="7"/>
  <c r="P52" i="7"/>
  <c r="X51" i="7"/>
  <c r="T51" i="7"/>
  <c r="Q51" i="7"/>
  <c r="Y249" i="7"/>
  <c r="W249" i="7"/>
  <c r="U249" i="7"/>
  <c r="R249" i="7"/>
  <c r="P249" i="7"/>
  <c r="N249" i="7"/>
  <c r="X248" i="7"/>
  <c r="V248" i="7"/>
  <c r="T248" i="7"/>
  <c r="S248" i="7"/>
  <c r="Q248" i="7"/>
  <c r="O248" i="7"/>
  <c r="X247" i="7"/>
  <c r="V247" i="7"/>
  <c r="T247" i="7"/>
  <c r="S247" i="7"/>
  <c r="Q247" i="7"/>
  <c r="O247" i="7"/>
  <c r="X246" i="7"/>
  <c r="V246" i="7"/>
  <c r="T246" i="7"/>
  <c r="S246" i="7"/>
  <c r="Q246" i="7"/>
  <c r="O246" i="7"/>
  <c r="X249" i="7"/>
  <c r="V249" i="7"/>
  <c r="T249" i="7"/>
  <c r="S249" i="7"/>
  <c r="Q249" i="7"/>
  <c r="O249" i="7"/>
  <c r="Y248" i="7"/>
  <c r="W248" i="7"/>
  <c r="U248" i="7"/>
  <c r="R248" i="7"/>
  <c r="P248" i="7"/>
  <c r="N248" i="7"/>
  <c r="Y247" i="7"/>
  <c r="W247" i="7"/>
  <c r="U247" i="7"/>
  <c r="R247" i="7"/>
  <c r="P247" i="7"/>
  <c r="N247" i="7"/>
  <c r="Y246" i="7"/>
  <c r="W246" i="7"/>
  <c r="U246" i="7"/>
  <c r="R246" i="7"/>
  <c r="P246" i="7"/>
  <c r="N246" i="7"/>
  <c r="G223" i="15"/>
  <c r="H223" i="15" s="1"/>
  <c r="I223" i="15" s="1"/>
  <c r="J223" i="15" s="1"/>
  <c r="K223" i="15" s="1"/>
  <c r="G211" i="15"/>
  <c r="H211" i="15" s="1"/>
  <c r="I211" i="15" s="1"/>
  <c r="J211" i="15" s="1"/>
  <c r="K211" i="15" s="1"/>
  <c r="C112" i="43"/>
  <c r="L112" i="43" s="1"/>
  <c r="C112" i="34"/>
  <c r="L112" i="34" s="1"/>
  <c r="C52" i="43"/>
  <c r="L52" i="43" s="1"/>
  <c r="C52" i="34"/>
  <c r="L52" i="34" s="1"/>
  <c r="G282" i="43"/>
  <c r="G286" i="43"/>
  <c r="G289" i="43"/>
  <c r="G290" i="43"/>
  <c r="G292" i="43"/>
  <c r="G288" i="43"/>
  <c r="G291" i="43"/>
  <c r="G293" i="43"/>
  <c r="G284" i="43"/>
  <c r="G285" i="43"/>
  <c r="G287" i="43"/>
  <c r="G275" i="43"/>
  <c r="G283" i="43"/>
  <c r="G280" i="43"/>
  <c r="Z111" i="37"/>
  <c r="AA111" i="37" s="1"/>
  <c r="AE33" i="14"/>
  <c r="AD33" i="14"/>
  <c r="C222" i="50"/>
  <c r="C214" i="50"/>
  <c r="D53" i="50"/>
  <c r="V53" i="50" s="1"/>
  <c r="D66" i="50"/>
  <c r="J66" i="50" s="1"/>
  <c r="D281" i="50"/>
  <c r="J281" i="50" s="1"/>
  <c r="D268" i="50"/>
  <c r="V268" i="50" s="1"/>
  <c r="D276" i="50"/>
  <c r="V276" i="50" s="1"/>
  <c r="D425" i="50"/>
  <c r="J425" i="50" s="1"/>
  <c r="AB9" i="14"/>
  <c r="AB10" i="14"/>
  <c r="AA120" i="37"/>
  <c r="AG105" i="15"/>
  <c r="AB254" i="50"/>
  <c r="AB39" i="50"/>
  <c r="D228" i="50"/>
  <c r="J228" i="50" s="1"/>
  <c r="D62" i="50"/>
  <c r="V62" i="50" s="1"/>
  <c r="AB11" i="14"/>
  <c r="I1" i="38"/>
  <c r="D192" i="50"/>
  <c r="J192" i="50" s="1"/>
  <c r="AA129" i="37"/>
  <c r="AA125" i="37"/>
  <c r="AA121" i="37"/>
  <c r="AA128" i="37"/>
  <c r="AA124" i="37"/>
  <c r="AA127" i="37"/>
  <c r="AA123" i="37"/>
  <c r="AA130" i="37"/>
  <c r="AA126" i="37"/>
  <c r="AA122" i="37"/>
  <c r="AB255" i="50"/>
  <c r="AB256" i="50"/>
  <c r="AB257" i="50"/>
  <c r="AB258" i="50"/>
  <c r="AB259" i="50"/>
  <c r="AB260" i="50"/>
  <c r="AB261" i="50"/>
  <c r="AB262" i="50"/>
  <c r="R50" i="38"/>
  <c r="Z75" i="38" s="1"/>
  <c r="D54" i="50"/>
  <c r="V54" i="50" s="1"/>
  <c r="D269" i="50"/>
  <c r="V269" i="50" s="1"/>
  <c r="D277" i="50"/>
  <c r="V277" i="50" s="1"/>
  <c r="R54" i="38"/>
  <c r="R52" i="38"/>
  <c r="R57" i="38"/>
  <c r="W70" i="38"/>
  <c r="R56" i="38"/>
  <c r="D127" i="38"/>
  <c r="L54" i="15"/>
  <c r="N54" i="15"/>
  <c r="P54" i="15"/>
  <c r="E54" i="15"/>
  <c r="G54" i="15"/>
  <c r="I54" i="15"/>
  <c r="M54" i="15"/>
  <c r="O54" i="15"/>
  <c r="Q54" i="15"/>
  <c r="F54" i="15"/>
  <c r="J54" i="15"/>
  <c r="H54" i="15"/>
  <c r="L55" i="15"/>
  <c r="N55" i="15"/>
  <c r="P55" i="15"/>
  <c r="E55" i="15"/>
  <c r="G55" i="15"/>
  <c r="I55" i="15"/>
  <c r="M55" i="15"/>
  <c r="O55" i="15"/>
  <c r="H55" i="15"/>
  <c r="Q55" i="15"/>
  <c r="F55" i="15"/>
  <c r="J55" i="15"/>
  <c r="L56" i="15"/>
  <c r="N56" i="15"/>
  <c r="P56" i="15"/>
  <c r="E56" i="15"/>
  <c r="G56" i="15"/>
  <c r="I56" i="15"/>
  <c r="M56" i="15"/>
  <c r="Q56" i="15"/>
  <c r="F56" i="15"/>
  <c r="J56" i="15"/>
  <c r="O56" i="15"/>
  <c r="H56" i="15"/>
  <c r="L57" i="15"/>
  <c r="N57" i="15"/>
  <c r="P57" i="15"/>
  <c r="E57" i="15"/>
  <c r="G57" i="15"/>
  <c r="I57" i="15"/>
  <c r="O57" i="15"/>
  <c r="H57" i="15"/>
  <c r="M57" i="15"/>
  <c r="Q57" i="15"/>
  <c r="F57" i="15"/>
  <c r="J57" i="15"/>
  <c r="L53" i="15"/>
  <c r="N53" i="15"/>
  <c r="P53" i="15"/>
  <c r="E53" i="15"/>
  <c r="G53" i="15"/>
  <c r="I53" i="15"/>
  <c r="M53" i="15"/>
  <c r="O53" i="15"/>
  <c r="Q53" i="15"/>
  <c r="H53" i="15"/>
  <c r="F53" i="15"/>
  <c r="J53" i="15"/>
  <c r="L52" i="15"/>
  <c r="N52" i="15"/>
  <c r="P52" i="15"/>
  <c r="E52" i="15"/>
  <c r="G52" i="15"/>
  <c r="I52" i="15"/>
  <c r="M52" i="15"/>
  <c r="O52" i="15"/>
  <c r="Q52" i="15"/>
  <c r="F52" i="15"/>
  <c r="J52" i="15"/>
  <c r="H52" i="15"/>
  <c r="G235" i="15"/>
  <c r="H235" i="15" s="1"/>
  <c r="I235" i="15" s="1"/>
  <c r="J235" i="15" s="1"/>
  <c r="K235" i="15" s="1"/>
  <c r="AG106" i="15"/>
  <c r="D44" i="1"/>
  <c r="E22" i="37"/>
  <c r="F63" i="51"/>
  <c r="G283" i="15"/>
  <c r="H283" i="15" s="1"/>
  <c r="I283" i="15" s="1"/>
  <c r="J283" i="15" s="1"/>
  <c r="K283" i="15" s="1"/>
  <c r="D163" i="38"/>
  <c r="D120" i="50"/>
  <c r="J120" i="50" s="1"/>
  <c r="D58" i="50"/>
  <c r="V58" i="50" s="1"/>
  <c r="M84" i="53"/>
  <c r="M111" i="53"/>
  <c r="M138" i="53"/>
  <c r="M165" i="53"/>
  <c r="E69" i="3"/>
  <c r="G69" i="3"/>
  <c r="I69" i="3"/>
  <c r="AG109" i="15"/>
  <c r="V60" i="50"/>
  <c r="V56" i="50"/>
  <c r="AB47" i="50"/>
  <c r="AB45" i="50"/>
  <c r="AB43" i="50"/>
  <c r="AB41" i="50"/>
  <c r="V55" i="50"/>
  <c r="AB46" i="50"/>
  <c r="AB44" i="50"/>
  <c r="AB42" i="50"/>
  <c r="AB40" i="50"/>
  <c r="G259" i="15"/>
  <c r="H259" i="15" s="1"/>
  <c r="I259" i="15" s="1"/>
  <c r="J259" i="15" s="1"/>
  <c r="K259" i="15" s="1"/>
  <c r="D175" i="38"/>
  <c r="B2" i="54"/>
  <c r="D42" i="1"/>
  <c r="D3" i="47"/>
  <c r="E2" i="37"/>
  <c r="D211" i="38"/>
  <c r="G148" i="49"/>
  <c r="H145" i="49"/>
  <c r="E199" i="15"/>
  <c r="C3" i="38"/>
  <c r="C3" i="43"/>
  <c r="D3" i="49"/>
  <c r="D139" i="38"/>
  <c r="E295" i="15"/>
  <c r="G277" i="43"/>
  <c r="G281" i="43"/>
  <c r="G274" i="43"/>
  <c r="G278" i="43"/>
  <c r="M397" i="56"/>
  <c r="M217" i="56"/>
  <c r="M253" i="56"/>
  <c r="M289" i="56"/>
  <c r="M325" i="56"/>
  <c r="M361" i="56"/>
  <c r="M289" i="3"/>
  <c r="D105" i="3"/>
  <c r="E20" i="37"/>
  <c r="E24" i="37"/>
  <c r="DD239" i="47"/>
  <c r="DD240" i="47"/>
  <c r="DD261" i="47"/>
  <c r="DD262" i="47"/>
  <c r="DD257" i="47"/>
  <c r="DD258" i="47"/>
  <c r="DD213" i="47"/>
  <c r="DD238" i="47"/>
  <c r="DD236" i="47"/>
  <c r="DD234" i="47"/>
  <c r="DD268" i="47"/>
  <c r="DD266" i="47"/>
  <c r="DD204" i="47"/>
  <c r="DD205" i="47"/>
  <c r="G162" i="51"/>
  <c r="F165" i="51"/>
  <c r="H60" i="51"/>
  <c r="I60" i="51" s="1"/>
  <c r="G63" i="51"/>
  <c r="F46" i="51"/>
  <c r="G43" i="51"/>
  <c r="F148" i="51"/>
  <c r="G145" i="51"/>
  <c r="H77" i="51"/>
  <c r="E165" i="51"/>
  <c r="AG110" i="15"/>
  <c r="AG111" i="15"/>
  <c r="AG112" i="15"/>
  <c r="AG113" i="15"/>
  <c r="AG114" i="15"/>
  <c r="G26" i="51"/>
  <c r="E21" i="37"/>
  <c r="E25" i="37"/>
  <c r="E19" i="37"/>
  <c r="C419" i="50"/>
  <c r="C411" i="50"/>
  <c r="E16" i="37"/>
  <c r="D59" i="50"/>
  <c r="V59" i="50" s="1"/>
  <c r="D174" i="50"/>
  <c r="J174" i="50" s="1"/>
  <c r="D57" i="50"/>
  <c r="V57" i="50" s="1"/>
  <c r="D138" i="50"/>
  <c r="J138" i="50" s="1"/>
  <c r="D275" i="50"/>
  <c r="V275" i="50" s="1"/>
  <c r="D407" i="50"/>
  <c r="J407" i="50" s="1"/>
  <c r="D317" i="50"/>
  <c r="J317" i="50" s="1"/>
  <c r="D270" i="50"/>
  <c r="D389" i="50"/>
  <c r="J389" i="50" s="1"/>
  <c r="D274" i="50"/>
  <c r="V274" i="50" s="1"/>
  <c r="E187" i="15"/>
  <c r="G187" i="15"/>
  <c r="H187" i="15" s="1"/>
  <c r="I187" i="15" s="1"/>
  <c r="J187" i="15" s="1"/>
  <c r="K187" i="15" s="1"/>
  <c r="M253" i="3"/>
  <c r="M325" i="3"/>
  <c r="M361" i="3"/>
  <c r="M397" i="3"/>
  <c r="M217" i="3"/>
  <c r="AC33" i="14"/>
  <c r="F69" i="3"/>
  <c r="E80" i="51"/>
  <c r="C3" i="45"/>
  <c r="B3" i="54"/>
  <c r="AA119" i="37"/>
  <c r="AA118" i="37"/>
  <c r="AA117" i="37"/>
  <c r="D177" i="56"/>
  <c r="F69" i="56"/>
  <c r="D69" i="56"/>
  <c r="AB33" i="14"/>
  <c r="AB116" i="37" s="1"/>
  <c r="D151" i="38"/>
  <c r="E247" i="15"/>
  <c r="G128" i="51"/>
  <c r="F131" i="51"/>
  <c r="G94" i="51"/>
  <c r="AG107" i="15"/>
  <c r="AG108" i="15"/>
  <c r="L75" i="38" l="1"/>
  <c r="K75" i="38"/>
  <c r="I165" i="53"/>
  <c r="I169" i="53" s="1"/>
  <c r="G165" i="53"/>
  <c r="G169" i="53" s="1"/>
  <c r="E165" i="53"/>
  <c r="E169" i="53" s="1"/>
  <c r="H165" i="53"/>
  <c r="H169" i="53" s="1"/>
  <c r="F165" i="53"/>
  <c r="F169" i="53" s="1"/>
  <c r="D165" i="53"/>
  <c r="D169" i="53" s="1"/>
  <c r="H138" i="53"/>
  <c r="H142" i="53" s="1"/>
  <c r="F138" i="53"/>
  <c r="F142" i="53" s="1"/>
  <c r="D138" i="53"/>
  <c r="D142" i="53" s="1"/>
  <c r="I138" i="53"/>
  <c r="I142" i="53" s="1"/>
  <c r="G138" i="53"/>
  <c r="G142" i="53" s="1"/>
  <c r="E138" i="53"/>
  <c r="E142" i="53" s="1"/>
  <c r="H111" i="53"/>
  <c r="H115" i="53" s="1"/>
  <c r="F111" i="53"/>
  <c r="F115" i="53" s="1"/>
  <c r="D111" i="53"/>
  <c r="D115" i="53" s="1"/>
  <c r="I111" i="53"/>
  <c r="I115" i="53" s="1"/>
  <c r="G111" i="53"/>
  <c r="G115" i="53" s="1"/>
  <c r="E111" i="53"/>
  <c r="I84" i="53"/>
  <c r="I88" i="53" s="1"/>
  <c r="G84" i="53"/>
  <c r="G88" i="53" s="1"/>
  <c r="E84" i="53"/>
  <c r="E88" i="53" s="1"/>
  <c r="H84" i="53"/>
  <c r="H88" i="53" s="1"/>
  <c r="F84" i="53"/>
  <c r="F88" i="53" s="1"/>
  <c r="D84" i="53"/>
  <c r="D88" i="53" s="1"/>
  <c r="I380" i="3"/>
  <c r="I394" i="3" s="1"/>
  <c r="G380" i="3"/>
  <c r="G394" i="3" s="1"/>
  <c r="E380" i="3"/>
  <c r="E394" i="3" s="1"/>
  <c r="H380" i="3"/>
  <c r="H394" i="3" s="1"/>
  <c r="F380" i="3"/>
  <c r="F394" i="3" s="1"/>
  <c r="D380" i="3"/>
  <c r="D394" i="3" s="1"/>
  <c r="I344" i="3"/>
  <c r="I358" i="3" s="1"/>
  <c r="H344" i="3"/>
  <c r="H358" i="3" s="1"/>
  <c r="F344" i="3"/>
  <c r="F358" i="3" s="1"/>
  <c r="D344" i="3"/>
  <c r="D358" i="3" s="1"/>
  <c r="G344" i="3"/>
  <c r="E344" i="3"/>
  <c r="E358" i="3" s="1"/>
  <c r="E308" i="3"/>
  <c r="E322" i="3" s="1"/>
  <c r="H308" i="3"/>
  <c r="H322" i="3" s="1"/>
  <c r="F308" i="3"/>
  <c r="F322" i="3" s="1"/>
  <c r="D308" i="3"/>
  <c r="D322" i="3" s="1"/>
  <c r="I308" i="3"/>
  <c r="I322" i="3" s="1"/>
  <c r="G308" i="3"/>
  <c r="G322" i="3" s="1"/>
  <c r="I272" i="3"/>
  <c r="I286" i="3" s="1"/>
  <c r="G272" i="3"/>
  <c r="G286" i="3" s="1"/>
  <c r="E272" i="3"/>
  <c r="E286" i="3" s="1"/>
  <c r="H272" i="3"/>
  <c r="H286" i="3" s="1"/>
  <c r="F272" i="3"/>
  <c r="F286" i="3" s="1"/>
  <c r="D272" i="3"/>
  <c r="D286" i="3" s="1"/>
  <c r="I236" i="3"/>
  <c r="I250" i="3" s="1"/>
  <c r="G236" i="3"/>
  <c r="G250" i="3" s="1"/>
  <c r="H236" i="3"/>
  <c r="H250" i="3" s="1"/>
  <c r="F236" i="3"/>
  <c r="F250" i="3" s="1"/>
  <c r="D236" i="3"/>
  <c r="D250" i="3" s="1"/>
  <c r="E236" i="3"/>
  <c r="E250" i="3" s="1"/>
  <c r="I200" i="3"/>
  <c r="G200" i="3"/>
  <c r="H200" i="3"/>
  <c r="F200" i="3"/>
  <c r="D200" i="3"/>
  <c r="D214" i="3" s="1"/>
  <c r="E200" i="3"/>
  <c r="I380" i="56"/>
  <c r="G380" i="56"/>
  <c r="E380" i="56"/>
  <c r="F380" i="56"/>
  <c r="F394" i="56" s="1"/>
  <c r="D380" i="56"/>
  <c r="D394" i="56" s="1"/>
  <c r="H380" i="56"/>
  <c r="H394" i="56" s="1"/>
  <c r="I344" i="56"/>
  <c r="I358" i="56" s="1"/>
  <c r="G344" i="56"/>
  <c r="G358" i="56" s="1"/>
  <c r="E344" i="56"/>
  <c r="E358" i="56" s="1"/>
  <c r="H344" i="56"/>
  <c r="H358" i="56" s="1"/>
  <c r="F344" i="56"/>
  <c r="F358" i="56" s="1"/>
  <c r="D344" i="56"/>
  <c r="D358" i="56" s="1"/>
  <c r="I308" i="56"/>
  <c r="I322" i="56" s="1"/>
  <c r="G308" i="56"/>
  <c r="G322" i="56" s="1"/>
  <c r="E308" i="56"/>
  <c r="E322" i="56" s="1"/>
  <c r="H308" i="56"/>
  <c r="H322" i="56" s="1"/>
  <c r="F308" i="56"/>
  <c r="F322" i="56" s="1"/>
  <c r="D308" i="56"/>
  <c r="D322" i="56" s="1"/>
  <c r="I272" i="56"/>
  <c r="I286" i="56" s="1"/>
  <c r="G272" i="56"/>
  <c r="G286" i="56" s="1"/>
  <c r="E272" i="56"/>
  <c r="E286" i="56" s="1"/>
  <c r="F272" i="56"/>
  <c r="F286" i="56" s="1"/>
  <c r="D272" i="56"/>
  <c r="D286" i="56" s="1"/>
  <c r="H272" i="56"/>
  <c r="H286" i="56" s="1"/>
  <c r="I236" i="56"/>
  <c r="I250" i="56" s="1"/>
  <c r="G236" i="56"/>
  <c r="G250" i="56" s="1"/>
  <c r="E236" i="56"/>
  <c r="E250" i="56" s="1"/>
  <c r="H236" i="56"/>
  <c r="H250" i="56" s="1"/>
  <c r="F236" i="56"/>
  <c r="F250" i="56" s="1"/>
  <c r="D236" i="56"/>
  <c r="D250" i="56" s="1"/>
  <c r="H200" i="56"/>
  <c r="H214" i="56" s="1"/>
  <c r="F200" i="56"/>
  <c r="F214" i="56" s="1"/>
  <c r="D200" i="56"/>
  <c r="D214" i="56" s="1"/>
  <c r="I200" i="56"/>
  <c r="I214" i="56" s="1"/>
  <c r="G200" i="56"/>
  <c r="G214" i="56" s="1"/>
  <c r="E200" i="56"/>
  <c r="E214" i="56" s="1"/>
  <c r="H182" i="51"/>
  <c r="J75" i="38"/>
  <c r="G44" i="1"/>
  <c r="AD158" i="37"/>
  <c r="AD155" i="37"/>
  <c r="R374" i="56"/>
  <c r="I394" i="56"/>
  <c r="G394" i="56"/>
  <c r="E394" i="56"/>
  <c r="R338" i="56"/>
  <c r="R302" i="56"/>
  <c r="R266" i="56"/>
  <c r="R230" i="56"/>
  <c r="R194" i="56"/>
  <c r="G358" i="3"/>
  <c r="E115" i="53"/>
  <c r="R374" i="3"/>
  <c r="R338" i="3"/>
  <c r="R302" i="3"/>
  <c r="R266" i="3"/>
  <c r="R230" i="3"/>
  <c r="R194" i="3"/>
  <c r="G42" i="1"/>
  <c r="F80" i="49"/>
  <c r="AL247" i="50"/>
  <c r="AM247" i="50"/>
  <c r="AO247" i="50"/>
  <c r="AQ247" i="50"/>
  <c r="AN247" i="50"/>
  <c r="AP247" i="50"/>
  <c r="AL244" i="50"/>
  <c r="AM244" i="50"/>
  <c r="AO244" i="50"/>
  <c r="AQ244" i="50"/>
  <c r="AN244" i="50"/>
  <c r="AP244" i="50"/>
  <c r="AL242" i="50"/>
  <c r="AM242" i="50"/>
  <c r="AO242" i="50"/>
  <c r="AQ242" i="50"/>
  <c r="AN242" i="50"/>
  <c r="AP242" i="50"/>
  <c r="AL240" i="50"/>
  <c r="AM240" i="50"/>
  <c r="AO240" i="50"/>
  <c r="AQ240" i="50"/>
  <c r="AN240" i="50"/>
  <c r="AP240" i="50"/>
  <c r="AL239" i="50"/>
  <c r="AN239" i="50"/>
  <c r="AP239" i="50"/>
  <c r="AM239" i="50"/>
  <c r="AO239" i="50"/>
  <c r="AQ239" i="50"/>
  <c r="AL248" i="50"/>
  <c r="AN248" i="50"/>
  <c r="AP248" i="50"/>
  <c r="AM248" i="50"/>
  <c r="AO248" i="50"/>
  <c r="AQ248" i="50"/>
  <c r="AL245" i="50"/>
  <c r="AN245" i="50"/>
  <c r="AP245" i="50"/>
  <c r="AM245" i="50"/>
  <c r="AO245" i="50"/>
  <c r="AQ245" i="50"/>
  <c r="AL243" i="50"/>
  <c r="AN243" i="50"/>
  <c r="AP243" i="50"/>
  <c r="AM243" i="50"/>
  <c r="AO243" i="50"/>
  <c r="AQ243" i="50"/>
  <c r="AL241" i="50"/>
  <c r="AN241" i="50"/>
  <c r="AP241" i="50"/>
  <c r="AM241" i="50"/>
  <c r="AO241" i="50"/>
  <c r="AQ241" i="50"/>
  <c r="AL238" i="50"/>
  <c r="AM238" i="50"/>
  <c r="AO238" i="50"/>
  <c r="AQ238" i="50"/>
  <c r="AN238" i="50"/>
  <c r="AP238" i="50"/>
  <c r="AG261" i="50"/>
  <c r="AE247" i="50"/>
  <c r="AG247" i="50"/>
  <c r="AI247" i="50"/>
  <c r="AF247" i="50"/>
  <c r="AH247" i="50"/>
  <c r="AJ247" i="50"/>
  <c r="AL259" i="50"/>
  <c r="AE244" i="50"/>
  <c r="AG244" i="50"/>
  <c r="AI244" i="50"/>
  <c r="AF244" i="50"/>
  <c r="AH244" i="50"/>
  <c r="AJ244" i="50"/>
  <c r="AN257" i="50"/>
  <c r="AE242" i="50"/>
  <c r="AG242" i="50"/>
  <c r="AI242" i="50"/>
  <c r="AF242" i="50"/>
  <c r="AH242" i="50"/>
  <c r="AJ242" i="50"/>
  <c r="AL255" i="50"/>
  <c r="AE240" i="50"/>
  <c r="AG240" i="50"/>
  <c r="AI240" i="50"/>
  <c r="AF240" i="50"/>
  <c r="AH240" i="50"/>
  <c r="AJ240" i="50"/>
  <c r="AE239" i="50"/>
  <c r="AG239" i="50"/>
  <c r="AI239" i="50"/>
  <c r="AF239" i="50"/>
  <c r="AH239" i="50"/>
  <c r="AJ239" i="50"/>
  <c r="AH262" i="50"/>
  <c r="AE248" i="50"/>
  <c r="AG248" i="50"/>
  <c r="AI248" i="50"/>
  <c r="AF248" i="50"/>
  <c r="AH248" i="50"/>
  <c r="AJ248" i="50"/>
  <c r="AJ260" i="50"/>
  <c r="AE245" i="50"/>
  <c r="AG245" i="50"/>
  <c r="AI245" i="50"/>
  <c r="AF245" i="50"/>
  <c r="AH245" i="50"/>
  <c r="AJ245" i="50"/>
  <c r="AN258" i="50"/>
  <c r="AE243" i="50"/>
  <c r="AG243" i="50"/>
  <c r="AI243" i="50"/>
  <c r="AF243" i="50"/>
  <c r="AH243" i="50"/>
  <c r="AJ243" i="50"/>
  <c r="AJ256" i="50"/>
  <c r="AE241" i="50"/>
  <c r="AG241" i="50"/>
  <c r="AI241" i="50"/>
  <c r="AF241" i="50"/>
  <c r="AH241" i="50"/>
  <c r="AJ241" i="50"/>
  <c r="AE238" i="50"/>
  <c r="AF238" i="50"/>
  <c r="AH238" i="50"/>
  <c r="AJ238" i="50"/>
  <c r="AG238" i="50"/>
  <c r="AI238" i="50"/>
  <c r="AL254" i="50"/>
  <c r="AL24" i="50"/>
  <c r="AN24" i="50"/>
  <c r="AP24" i="50"/>
  <c r="AM24" i="50"/>
  <c r="AO24" i="50"/>
  <c r="AQ24" i="50"/>
  <c r="AL29" i="50"/>
  <c r="AN29" i="50"/>
  <c r="AP29" i="50"/>
  <c r="AM29" i="50"/>
  <c r="AO29" i="50"/>
  <c r="AQ29" i="50"/>
  <c r="AL28" i="50"/>
  <c r="AN28" i="50"/>
  <c r="AP28" i="50"/>
  <c r="AM28" i="50"/>
  <c r="AO28" i="50"/>
  <c r="AQ28" i="50"/>
  <c r="AL32" i="50"/>
  <c r="AN32" i="50"/>
  <c r="AP32" i="50"/>
  <c r="AM32" i="50"/>
  <c r="AO32" i="50"/>
  <c r="AQ32" i="50"/>
  <c r="AL27" i="50"/>
  <c r="AN27" i="50"/>
  <c r="AP27" i="50"/>
  <c r="AM27" i="50"/>
  <c r="AO27" i="50"/>
  <c r="AQ27" i="50"/>
  <c r="AL31" i="50"/>
  <c r="AN31" i="50"/>
  <c r="AP31" i="50"/>
  <c r="AM31" i="50"/>
  <c r="AO31" i="50"/>
  <c r="AQ31" i="50"/>
  <c r="AL26" i="50"/>
  <c r="AN26" i="50"/>
  <c r="AP26" i="50"/>
  <c r="AM26" i="50"/>
  <c r="AO26" i="50"/>
  <c r="AQ26" i="50"/>
  <c r="AL30" i="50"/>
  <c r="AN30" i="50"/>
  <c r="AP30" i="50"/>
  <c r="AM30" i="50"/>
  <c r="AO30" i="50"/>
  <c r="AQ30" i="50"/>
  <c r="AL23" i="50"/>
  <c r="AN23" i="50"/>
  <c r="AP23" i="50"/>
  <c r="AM23" i="50"/>
  <c r="AO23" i="50"/>
  <c r="AQ23" i="50"/>
  <c r="AF40" i="50"/>
  <c r="AE24" i="50"/>
  <c r="AG24" i="50"/>
  <c r="AI24" i="50"/>
  <c r="AF24" i="50"/>
  <c r="AH24" i="50"/>
  <c r="AJ24" i="50"/>
  <c r="AJ44" i="50"/>
  <c r="AE29" i="50"/>
  <c r="AG29" i="50"/>
  <c r="AI29" i="50"/>
  <c r="AF29" i="50"/>
  <c r="AH29" i="50"/>
  <c r="AJ29" i="50"/>
  <c r="AJ43" i="50"/>
  <c r="AE28" i="50"/>
  <c r="AG28" i="50"/>
  <c r="AI28" i="50"/>
  <c r="AF28" i="50"/>
  <c r="AH28" i="50"/>
  <c r="AJ28" i="50"/>
  <c r="AH47" i="50"/>
  <c r="AE32" i="50"/>
  <c r="AG32" i="50"/>
  <c r="AI32" i="50"/>
  <c r="AF32" i="50"/>
  <c r="AH32" i="50"/>
  <c r="AJ32" i="50"/>
  <c r="AD42" i="50"/>
  <c r="AE27" i="50"/>
  <c r="AG27" i="50"/>
  <c r="AI27" i="50"/>
  <c r="AF27" i="50"/>
  <c r="AH27" i="50"/>
  <c r="AJ27" i="50"/>
  <c r="AM46" i="50"/>
  <c r="AE31" i="50"/>
  <c r="AG31" i="50"/>
  <c r="AI31" i="50"/>
  <c r="AF31" i="50"/>
  <c r="AH31" i="50"/>
  <c r="AJ31" i="50"/>
  <c r="AJ41" i="50"/>
  <c r="AE26" i="50"/>
  <c r="AG26" i="50"/>
  <c r="AI26" i="50"/>
  <c r="AF26" i="50"/>
  <c r="AH26" i="50"/>
  <c r="AJ26" i="50"/>
  <c r="AK45" i="50"/>
  <c r="AE30" i="50"/>
  <c r="AG30" i="50"/>
  <c r="AI30" i="50"/>
  <c r="AF30" i="50"/>
  <c r="AH30" i="50"/>
  <c r="AJ30" i="50"/>
  <c r="AM39" i="50"/>
  <c r="AE23" i="50"/>
  <c r="AG23" i="50"/>
  <c r="AI23" i="50"/>
  <c r="AF23" i="50"/>
  <c r="AH23" i="50"/>
  <c r="AJ23" i="50"/>
  <c r="AD156" i="37"/>
  <c r="AI76" i="15"/>
  <c r="AK76" i="15"/>
  <c r="AM76" i="15"/>
  <c r="AO76" i="15"/>
  <c r="AQ76" i="15"/>
  <c r="AS76" i="15"/>
  <c r="AJ76" i="15"/>
  <c r="AN76" i="15"/>
  <c r="AR76" i="15"/>
  <c r="AL76" i="15"/>
  <c r="AP76" i="15"/>
  <c r="AT76" i="15"/>
  <c r="AK82" i="15"/>
  <c r="AM82" i="15"/>
  <c r="AO82" i="15"/>
  <c r="AQ82" i="15"/>
  <c r="AS82" i="15"/>
  <c r="AL82" i="15"/>
  <c r="AP82" i="15"/>
  <c r="AT82" i="15"/>
  <c r="AJ82" i="15"/>
  <c r="AN82" i="15"/>
  <c r="AR82" i="15"/>
  <c r="AK80" i="15"/>
  <c r="AM80" i="15"/>
  <c r="AO80" i="15"/>
  <c r="AQ80" i="15"/>
  <c r="AS80" i="15"/>
  <c r="AJ80" i="15"/>
  <c r="AN80" i="15"/>
  <c r="AR80" i="15"/>
  <c r="AL80" i="15"/>
  <c r="AP80" i="15"/>
  <c r="AT80" i="15"/>
  <c r="AK78" i="15"/>
  <c r="AM78" i="15"/>
  <c r="AO78" i="15"/>
  <c r="AQ78" i="15"/>
  <c r="AS78" i="15"/>
  <c r="AL78" i="15"/>
  <c r="AP78" i="15"/>
  <c r="AT78" i="15"/>
  <c r="AJ78" i="15"/>
  <c r="AN78" i="15"/>
  <c r="AR78" i="15"/>
  <c r="AI84" i="15"/>
  <c r="AK84" i="15"/>
  <c r="AM84" i="15"/>
  <c r="AO84" i="15"/>
  <c r="AQ84" i="15"/>
  <c r="AS84" i="15"/>
  <c r="AJ84" i="15"/>
  <c r="AN84" i="15"/>
  <c r="AR84" i="15"/>
  <c r="AL84" i="15"/>
  <c r="AP84" i="15"/>
  <c r="AT84" i="15"/>
  <c r="AI92" i="15"/>
  <c r="AJ92" i="15"/>
  <c r="AL92" i="15"/>
  <c r="AN92" i="15"/>
  <c r="AP92" i="15"/>
  <c r="AR92" i="15"/>
  <c r="AT92" i="15"/>
  <c r="AK92" i="15"/>
  <c r="AM92" i="15"/>
  <c r="AO92" i="15"/>
  <c r="AQ92" i="15"/>
  <c r="AS92" i="15"/>
  <c r="AI89" i="15"/>
  <c r="AK89" i="15"/>
  <c r="AM89" i="15"/>
  <c r="AO89" i="15"/>
  <c r="AQ89" i="15"/>
  <c r="AS89" i="15"/>
  <c r="AJ89" i="15"/>
  <c r="AL89" i="15"/>
  <c r="AN89" i="15"/>
  <c r="AP89" i="15"/>
  <c r="AR89" i="15"/>
  <c r="AT89" i="15"/>
  <c r="AI90" i="15"/>
  <c r="AJ90" i="15"/>
  <c r="AL90" i="15"/>
  <c r="AN90" i="15"/>
  <c r="AP90" i="15"/>
  <c r="AR90" i="15"/>
  <c r="AT90" i="15"/>
  <c r="AK90" i="15"/>
  <c r="AM90" i="15"/>
  <c r="AO90" i="15"/>
  <c r="AQ90" i="15"/>
  <c r="AS90" i="15"/>
  <c r="AI87" i="15"/>
  <c r="AJ87" i="15"/>
  <c r="AL87" i="15"/>
  <c r="AN87" i="15"/>
  <c r="AP87" i="15"/>
  <c r="AR87" i="15"/>
  <c r="AT87" i="15"/>
  <c r="AM87" i="15"/>
  <c r="AQ87" i="15"/>
  <c r="AK87" i="15"/>
  <c r="AO87" i="15"/>
  <c r="AS87" i="15"/>
  <c r="AI75" i="15"/>
  <c r="AJ75" i="15"/>
  <c r="AL75" i="15"/>
  <c r="AN75" i="15"/>
  <c r="AP75" i="15"/>
  <c r="AR75" i="15"/>
  <c r="AT75" i="15"/>
  <c r="AM75" i="15"/>
  <c r="AQ75" i="15"/>
  <c r="AK75" i="15"/>
  <c r="AO75" i="15"/>
  <c r="AS75" i="15"/>
  <c r="AJ81" i="15"/>
  <c r="AL81" i="15"/>
  <c r="AN81" i="15"/>
  <c r="AP81" i="15"/>
  <c r="AR81" i="15"/>
  <c r="AT81" i="15"/>
  <c r="AK81" i="15"/>
  <c r="AO81" i="15"/>
  <c r="AS81" i="15"/>
  <c r="AM81" i="15"/>
  <c r="AQ81" i="15"/>
  <c r="AJ79" i="15"/>
  <c r="AL79" i="15"/>
  <c r="AN79" i="15"/>
  <c r="AP79" i="15"/>
  <c r="AR79" i="15"/>
  <c r="AT79" i="15"/>
  <c r="AM79" i="15"/>
  <c r="AQ79" i="15"/>
  <c r="AK79" i="15"/>
  <c r="AO79" i="15"/>
  <c r="AS79" i="15"/>
  <c r="AJ77" i="15"/>
  <c r="AL77" i="15"/>
  <c r="AN77" i="15"/>
  <c r="AP77" i="15"/>
  <c r="AR77" i="15"/>
  <c r="AT77" i="15"/>
  <c r="AK77" i="15"/>
  <c r="AO77" i="15"/>
  <c r="AS77" i="15"/>
  <c r="AM77" i="15"/>
  <c r="AQ77" i="15"/>
  <c r="AI74" i="15"/>
  <c r="AK74" i="15"/>
  <c r="AM74" i="15"/>
  <c r="AO74" i="15"/>
  <c r="AQ74" i="15"/>
  <c r="AS74" i="15"/>
  <c r="AL74" i="15"/>
  <c r="AP74" i="15"/>
  <c r="AT74" i="15"/>
  <c r="AJ74" i="15"/>
  <c r="AN74" i="15"/>
  <c r="AR74" i="15"/>
  <c r="AJ73" i="15"/>
  <c r="AL73" i="15"/>
  <c r="AN73" i="15"/>
  <c r="AP73" i="15"/>
  <c r="AR73" i="15"/>
  <c r="AT73" i="15"/>
  <c r="AK73" i="15"/>
  <c r="AO73" i="15"/>
  <c r="AS73" i="15"/>
  <c r="AM73" i="15"/>
  <c r="AQ73" i="15"/>
  <c r="AI88" i="15"/>
  <c r="AK88" i="15"/>
  <c r="AM88" i="15"/>
  <c r="AJ88" i="15"/>
  <c r="AN88" i="15"/>
  <c r="AP88" i="15"/>
  <c r="AR88" i="15"/>
  <c r="AT88" i="15"/>
  <c r="AL88" i="15"/>
  <c r="AO88" i="15"/>
  <c r="AQ88" i="15"/>
  <c r="AS88" i="15"/>
  <c r="AI85" i="15"/>
  <c r="AJ85" i="15"/>
  <c r="AL85" i="15"/>
  <c r="AN85" i="15"/>
  <c r="AP85" i="15"/>
  <c r="AR85" i="15"/>
  <c r="AT85" i="15"/>
  <c r="AK85" i="15"/>
  <c r="AO85" i="15"/>
  <c r="AS85" i="15"/>
  <c r="AM85" i="15"/>
  <c r="AQ85" i="15"/>
  <c r="AI86" i="15"/>
  <c r="AK86" i="15"/>
  <c r="AM86" i="15"/>
  <c r="AO86" i="15"/>
  <c r="AQ86" i="15"/>
  <c r="AS86" i="15"/>
  <c r="AL86" i="15"/>
  <c r="AP86" i="15"/>
  <c r="AT86" i="15"/>
  <c r="AJ86" i="15"/>
  <c r="AN86" i="15"/>
  <c r="AR86" i="15"/>
  <c r="AI83" i="15"/>
  <c r="AJ83" i="15"/>
  <c r="AL83" i="15"/>
  <c r="AN83" i="15"/>
  <c r="AP83" i="15"/>
  <c r="AR83" i="15"/>
  <c r="AT83" i="15"/>
  <c r="AM83" i="15"/>
  <c r="AQ83" i="15"/>
  <c r="AK83" i="15"/>
  <c r="AO83" i="15"/>
  <c r="AS83" i="15"/>
  <c r="AI91" i="15"/>
  <c r="AK91" i="15"/>
  <c r="AM91" i="15"/>
  <c r="AO91" i="15"/>
  <c r="AQ91" i="15"/>
  <c r="AS91" i="15"/>
  <c r="AJ91" i="15"/>
  <c r="AL91" i="15"/>
  <c r="AN91" i="15"/>
  <c r="AP91" i="15"/>
  <c r="AR91" i="15"/>
  <c r="AT91" i="15"/>
  <c r="AQ114" i="15"/>
  <c r="AI82" i="15"/>
  <c r="AQ112" i="15"/>
  <c r="AI80" i="15"/>
  <c r="AP110" i="15"/>
  <c r="AI78" i="15"/>
  <c r="AQ113" i="15"/>
  <c r="AI81" i="15"/>
  <c r="AI111" i="15"/>
  <c r="AI79" i="15"/>
  <c r="AK109" i="15"/>
  <c r="AI77" i="15"/>
  <c r="AI73" i="15"/>
  <c r="M75" i="38"/>
  <c r="N75" i="38"/>
  <c r="X143" i="37"/>
  <c r="E168" i="37"/>
  <c r="E90" i="37"/>
  <c r="W90" i="37" s="1"/>
  <c r="E171" i="37"/>
  <c r="X145" i="37"/>
  <c r="E170" i="37"/>
  <c r="X148" i="37"/>
  <c r="E173" i="37"/>
  <c r="X144" i="37"/>
  <c r="E169" i="37"/>
  <c r="K169" i="37" s="1"/>
  <c r="X169" i="37" s="1"/>
  <c r="X142" i="37"/>
  <c r="E167" i="37"/>
  <c r="X140" i="37"/>
  <c r="E165" i="37"/>
  <c r="X139" i="37"/>
  <c r="E164" i="37"/>
  <c r="R75" i="38"/>
  <c r="T75" i="38" s="1"/>
  <c r="S56" i="38"/>
  <c r="S59" i="38"/>
  <c r="T55" i="38"/>
  <c r="T58" i="38"/>
  <c r="T57" i="38"/>
  <c r="X141" i="37"/>
  <c r="E166" i="37"/>
  <c r="AD157" i="37"/>
  <c r="E92" i="37"/>
  <c r="Z145" i="37"/>
  <c r="Z148" i="37"/>
  <c r="D182" i="37"/>
  <c r="M182" i="37" s="1"/>
  <c r="C182" i="37"/>
  <c r="D183" i="37"/>
  <c r="M183" i="37" s="1"/>
  <c r="C183" i="37"/>
  <c r="D180" i="37"/>
  <c r="M180" i="37" s="1"/>
  <c r="C180" i="37"/>
  <c r="D181" i="37"/>
  <c r="M181" i="37" s="1"/>
  <c r="C181" i="37"/>
  <c r="E89" i="37"/>
  <c r="W89" i="37" s="1"/>
  <c r="Z144" i="37"/>
  <c r="X155" i="37"/>
  <c r="Z155" i="37"/>
  <c r="E99" i="37"/>
  <c r="X151" i="37"/>
  <c r="Z151" i="37"/>
  <c r="E95" i="37"/>
  <c r="X147" i="37"/>
  <c r="Z147" i="37"/>
  <c r="O202" i="37"/>
  <c r="X158" i="37"/>
  <c r="Z158" i="37"/>
  <c r="E102" i="37"/>
  <c r="X154" i="37"/>
  <c r="Z154" i="37"/>
  <c r="E98" i="37"/>
  <c r="X150" i="37"/>
  <c r="Z150" i="37"/>
  <c r="E94" i="37"/>
  <c r="X146" i="37"/>
  <c r="Z146" i="37"/>
  <c r="P205" i="37"/>
  <c r="Q205" i="37"/>
  <c r="K175" i="37"/>
  <c r="X175" i="37" s="1"/>
  <c r="X157" i="37"/>
  <c r="Z157" i="37"/>
  <c r="E101" i="37"/>
  <c r="X153" i="37"/>
  <c r="Z153" i="37"/>
  <c r="E97" i="37"/>
  <c r="X149" i="37"/>
  <c r="Z149" i="37"/>
  <c r="E93" i="37"/>
  <c r="R204" i="37"/>
  <c r="K182" i="37"/>
  <c r="X182" i="37" s="1"/>
  <c r="X156" i="37"/>
  <c r="Z156" i="37"/>
  <c r="E100" i="37"/>
  <c r="X152" i="37"/>
  <c r="Z152" i="37"/>
  <c r="E96" i="37"/>
  <c r="R203" i="37"/>
  <c r="V254" i="50"/>
  <c r="J311" i="50" s="1"/>
  <c r="G182" i="51"/>
  <c r="H77" i="49"/>
  <c r="I77" i="49" s="1"/>
  <c r="G43" i="49"/>
  <c r="F63" i="49"/>
  <c r="H26" i="49"/>
  <c r="I26" i="49" s="1"/>
  <c r="J26" i="49" s="1"/>
  <c r="J29" i="49" s="1"/>
  <c r="E124" i="47"/>
  <c r="E122" i="47"/>
  <c r="E123" i="47"/>
  <c r="E88" i="47"/>
  <c r="E86" i="47"/>
  <c r="E87" i="47"/>
  <c r="E52" i="47"/>
  <c r="E50" i="47"/>
  <c r="E51" i="47"/>
  <c r="G194" i="47"/>
  <c r="G196" i="47"/>
  <c r="G195" i="47"/>
  <c r="F177" i="47"/>
  <c r="F176" i="47"/>
  <c r="F178" i="47"/>
  <c r="F105" i="47"/>
  <c r="F104" i="47"/>
  <c r="F106" i="47"/>
  <c r="F87" i="47"/>
  <c r="F86" i="47"/>
  <c r="F88" i="47"/>
  <c r="G50" i="47"/>
  <c r="G52" i="47"/>
  <c r="G51" i="47"/>
  <c r="G140" i="47"/>
  <c r="G142" i="47"/>
  <c r="G141" i="47"/>
  <c r="G68" i="47"/>
  <c r="G70" i="47"/>
  <c r="G69" i="47"/>
  <c r="AC89" i="37"/>
  <c r="AE89" i="37"/>
  <c r="AG89" i="37"/>
  <c r="AI89" i="37"/>
  <c r="AK89" i="37"/>
  <c r="AM89" i="37"/>
  <c r="AD89" i="37"/>
  <c r="AH89" i="37"/>
  <c r="AL89" i="37"/>
  <c r="AF89" i="37"/>
  <c r="AJ89" i="37"/>
  <c r="AN89" i="37"/>
  <c r="AC91" i="37"/>
  <c r="AE91" i="37"/>
  <c r="AG91" i="37"/>
  <c r="AI91" i="37"/>
  <c r="AK91" i="37"/>
  <c r="AM91" i="37"/>
  <c r="AD91" i="37"/>
  <c r="AH91" i="37"/>
  <c r="AL91" i="37"/>
  <c r="AF91" i="37"/>
  <c r="AJ91" i="37"/>
  <c r="AN91" i="37"/>
  <c r="AC98" i="37"/>
  <c r="AD98" i="37"/>
  <c r="AF98" i="37"/>
  <c r="AH98" i="37"/>
  <c r="AJ98" i="37"/>
  <c r="AL98" i="37"/>
  <c r="AN98" i="37"/>
  <c r="AE98" i="37"/>
  <c r="AG98" i="37"/>
  <c r="AI98" i="37"/>
  <c r="AK98" i="37"/>
  <c r="AM98" i="37"/>
  <c r="AC95" i="37"/>
  <c r="AE95" i="37"/>
  <c r="AG95" i="37"/>
  <c r="AI95" i="37"/>
  <c r="AK95" i="37"/>
  <c r="AM95" i="37"/>
  <c r="AD95" i="37"/>
  <c r="AH95" i="37"/>
  <c r="AL95" i="37"/>
  <c r="AF95" i="37"/>
  <c r="AJ95" i="37"/>
  <c r="AN95" i="37"/>
  <c r="AC96" i="37"/>
  <c r="AE96" i="37"/>
  <c r="AG96" i="37"/>
  <c r="AI96" i="37"/>
  <c r="AK96" i="37"/>
  <c r="AM96" i="37"/>
  <c r="AD96" i="37"/>
  <c r="AH96" i="37"/>
  <c r="AL96" i="37"/>
  <c r="AF96" i="37"/>
  <c r="AJ96" i="37"/>
  <c r="AN96" i="37"/>
  <c r="AC93" i="37"/>
  <c r="AE93" i="37"/>
  <c r="AG93" i="37"/>
  <c r="AI93" i="37"/>
  <c r="AK93" i="37"/>
  <c r="AM93" i="37"/>
  <c r="AD93" i="37"/>
  <c r="AH93" i="37"/>
  <c r="AL93" i="37"/>
  <c r="AF93" i="37"/>
  <c r="AJ93" i="37"/>
  <c r="AN93" i="37"/>
  <c r="AD101" i="37"/>
  <c r="AF101" i="37"/>
  <c r="AH101" i="37"/>
  <c r="AJ101" i="37"/>
  <c r="AL101" i="37"/>
  <c r="AN101" i="37"/>
  <c r="AC101" i="37"/>
  <c r="AE101" i="37"/>
  <c r="AG101" i="37"/>
  <c r="AI101" i="37"/>
  <c r="AK101" i="37"/>
  <c r="AM101" i="37"/>
  <c r="AC92" i="37"/>
  <c r="AE92" i="37"/>
  <c r="AG92" i="37"/>
  <c r="AI92" i="37"/>
  <c r="AK92" i="37"/>
  <c r="AM92" i="37"/>
  <c r="AD92" i="37"/>
  <c r="AH92" i="37"/>
  <c r="AL92" i="37"/>
  <c r="AF92" i="37"/>
  <c r="AJ92" i="37"/>
  <c r="AN92" i="37"/>
  <c r="AC85" i="37"/>
  <c r="AE85" i="37"/>
  <c r="AG85" i="37"/>
  <c r="AI85" i="37"/>
  <c r="AK85" i="37"/>
  <c r="AM85" i="37"/>
  <c r="AD85" i="37"/>
  <c r="AH85" i="37"/>
  <c r="AL85" i="37"/>
  <c r="AF85" i="37"/>
  <c r="AJ85" i="37"/>
  <c r="AN85" i="37"/>
  <c r="AC87" i="37"/>
  <c r="AE87" i="37"/>
  <c r="AG87" i="37"/>
  <c r="AI87" i="37"/>
  <c r="AK87" i="37"/>
  <c r="AM87" i="37"/>
  <c r="AD87" i="37"/>
  <c r="AH87" i="37"/>
  <c r="AL87" i="37"/>
  <c r="AF87" i="37"/>
  <c r="AJ87" i="37"/>
  <c r="AN87" i="37"/>
  <c r="AC86" i="37"/>
  <c r="AE86" i="37"/>
  <c r="AG86" i="37"/>
  <c r="AI86" i="37"/>
  <c r="AK86" i="37"/>
  <c r="AM86" i="37"/>
  <c r="AD86" i="37"/>
  <c r="AH86" i="37"/>
  <c r="AL86" i="37"/>
  <c r="AF86" i="37"/>
  <c r="AJ86" i="37"/>
  <c r="AN86" i="37"/>
  <c r="AC90" i="37"/>
  <c r="AE90" i="37"/>
  <c r="AG90" i="37"/>
  <c r="AI90" i="37"/>
  <c r="AK90" i="37"/>
  <c r="AM90" i="37"/>
  <c r="AD90" i="37"/>
  <c r="AH90" i="37"/>
  <c r="AL90" i="37"/>
  <c r="AF90" i="37"/>
  <c r="AJ90" i="37"/>
  <c r="AN90" i="37"/>
  <c r="AC94" i="37"/>
  <c r="AE94" i="37"/>
  <c r="AG94" i="37"/>
  <c r="AI94" i="37"/>
  <c r="AK94" i="37"/>
  <c r="AM94" i="37"/>
  <c r="AD94" i="37"/>
  <c r="AH94" i="37"/>
  <c r="AL94" i="37"/>
  <c r="AF94" i="37"/>
  <c r="AJ94" i="37"/>
  <c r="AN94" i="37"/>
  <c r="AD102" i="37"/>
  <c r="AF102" i="37"/>
  <c r="AH102" i="37"/>
  <c r="AJ102" i="37"/>
  <c r="AL102" i="37"/>
  <c r="AN102" i="37"/>
  <c r="AC102" i="37"/>
  <c r="AE102" i="37"/>
  <c r="AG102" i="37"/>
  <c r="AI102" i="37"/>
  <c r="AK102" i="37"/>
  <c r="AM102" i="37"/>
  <c r="AD99" i="37"/>
  <c r="AF99" i="37"/>
  <c r="AH99" i="37"/>
  <c r="AJ99" i="37"/>
  <c r="AL99" i="37"/>
  <c r="AN99" i="37"/>
  <c r="AC99" i="37"/>
  <c r="AE99" i="37"/>
  <c r="AG99" i="37"/>
  <c r="AI99" i="37"/>
  <c r="AK99" i="37"/>
  <c r="AM99" i="37"/>
  <c r="AD100" i="37"/>
  <c r="AF100" i="37"/>
  <c r="AH100" i="37"/>
  <c r="AJ100" i="37"/>
  <c r="AL100" i="37"/>
  <c r="AN100" i="37"/>
  <c r="AC100" i="37"/>
  <c r="AE100" i="37"/>
  <c r="AG100" i="37"/>
  <c r="AI100" i="37"/>
  <c r="AK100" i="37"/>
  <c r="AM100" i="37"/>
  <c r="AC97" i="37"/>
  <c r="AE97" i="37"/>
  <c r="AG97" i="37"/>
  <c r="AI97" i="37"/>
  <c r="AK97" i="37"/>
  <c r="AM97" i="37"/>
  <c r="AD97" i="37"/>
  <c r="AH97" i="37"/>
  <c r="AL97" i="37"/>
  <c r="AF97" i="37"/>
  <c r="AJ97" i="37"/>
  <c r="AN97" i="37"/>
  <c r="AC88" i="37"/>
  <c r="AE88" i="37"/>
  <c r="AG88" i="37"/>
  <c r="AI88" i="37"/>
  <c r="AK88" i="37"/>
  <c r="AM88" i="37"/>
  <c r="AD88" i="37"/>
  <c r="AH88" i="37"/>
  <c r="AL88" i="37"/>
  <c r="AF88" i="37"/>
  <c r="AJ88" i="37"/>
  <c r="AN88" i="37"/>
  <c r="B68" i="15"/>
  <c r="I42" i="15" s="1"/>
  <c r="Y21" i="15" s="1"/>
  <c r="AA73" i="38"/>
  <c r="V51" i="38"/>
  <c r="AA74" i="38"/>
  <c r="S58" i="38"/>
  <c r="B153" i="15"/>
  <c r="I129" i="15" s="1"/>
  <c r="Y17" i="15"/>
  <c r="Q287" i="43"/>
  <c r="R287" i="43"/>
  <c r="Q289" i="43"/>
  <c r="R289" i="43"/>
  <c r="Q281" i="43"/>
  <c r="R281" i="43"/>
  <c r="Q290" i="43"/>
  <c r="R290" i="43"/>
  <c r="Q286" i="43"/>
  <c r="R286" i="43"/>
  <c r="Q276" i="43"/>
  <c r="R276" i="43"/>
  <c r="Q275" i="43"/>
  <c r="R275" i="43"/>
  <c r="Q291" i="43"/>
  <c r="R291" i="43"/>
  <c r="Q293" i="43"/>
  <c r="R293" i="43"/>
  <c r="Q285" i="43"/>
  <c r="R285" i="43"/>
  <c r="Q292" i="43"/>
  <c r="R292" i="43"/>
  <c r="Q288" i="43"/>
  <c r="R288" i="43"/>
  <c r="Q284" i="43"/>
  <c r="R284" i="43"/>
  <c r="L74" i="38"/>
  <c r="I74" i="38"/>
  <c r="W57" i="50"/>
  <c r="C150" i="50" s="1"/>
  <c r="W271" i="50"/>
  <c r="C339" i="50" s="1"/>
  <c r="W277" i="50"/>
  <c r="C455" i="50" s="1"/>
  <c r="W58" i="50"/>
  <c r="C168" i="50" s="1"/>
  <c r="W62" i="50"/>
  <c r="C240" i="50" s="1"/>
  <c r="W274" i="50"/>
  <c r="C393" i="50" s="1"/>
  <c r="W59" i="50"/>
  <c r="C178" i="50" s="1"/>
  <c r="W55" i="50"/>
  <c r="C114" i="50" s="1"/>
  <c r="W273" i="50"/>
  <c r="C375" i="50" s="1"/>
  <c r="W56" i="50"/>
  <c r="C124" i="50" s="1"/>
  <c r="W60" i="50"/>
  <c r="C196" i="50" s="1"/>
  <c r="W272" i="50"/>
  <c r="C357" i="50" s="1"/>
  <c r="W276" i="50"/>
  <c r="C437" i="50" s="1"/>
  <c r="W91" i="37"/>
  <c r="K74" i="38"/>
  <c r="R74" i="38"/>
  <c r="N74" i="38"/>
  <c r="J84" i="38"/>
  <c r="O291" i="43"/>
  <c r="P291" i="43"/>
  <c r="O293" i="43"/>
  <c r="P293" i="43"/>
  <c r="O285" i="43"/>
  <c r="P285" i="43"/>
  <c r="O292" i="43"/>
  <c r="P292" i="43"/>
  <c r="O288" i="43"/>
  <c r="P288" i="43"/>
  <c r="O284" i="43"/>
  <c r="P284" i="43"/>
  <c r="O287" i="43"/>
  <c r="P287" i="43"/>
  <c r="O289" i="43"/>
  <c r="P289" i="43"/>
  <c r="O281" i="43"/>
  <c r="P281" i="43"/>
  <c r="O290" i="43"/>
  <c r="P290" i="43"/>
  <c r="O286" i="43"/>
  <c r="P286" i="43"/>
  <c r="P276" i="43"/>
  <c r="O276" i="43"/>
  <c r="P275" i="43"/>
  <c r="O275" i="43"/>
  <c r="U54" i="38"/>
  <c r="W77" i="38" s="1"/>
  <c r="Z74" i="38"/>
  <c r="V54" i="38"/>
  <c r="Y73" i="38"/>
  <c r="Y60" i="38" s="1"/>
  <c r="V53" i="38"/>
  <c r="Z73" i="38"/>
  <c r="Y65" i="38" s="1"/>
  <c r="U53" i="38"/>
  <c r="Y75" i="38"/>
  <c r="V52" i="38"/>
  <c r="T51" i="38"/>
  <c r="Y74" i="38"/>
  <c r="C110" i="14"/>
  <c r="B110" i="14"/>
  <c r="S75" i="38"/>
  <c r="I84" i="38" s="1"/>
  <c r="T73" i="38"/>
  <c r="S73" i="38"/>
  <c r="I82" i="38" s="1"/>
  <c r="X76" i="38"/>
  <c r="X77" i="38"/>
  <c r="I77" i="38"/>
  <c r="J77" i="38"/>
  <c r="L77" i="38"/>
  <c r="K77" i="38"/>
  <c r="S77" i="38"/>
  <c r="I86" i="38" s="1"/>
  <c r="U50" i="38"/>
  <c r="S52" i="38"/>
  <c r="S53" i="38"/>
  <c r="S54" i="38"/>
  <c r="T53" i="38"/>
  <c r="T59" i="38"/>
  <c r="L61" i="7"/>
  <c r="I22" i="41" s="1"/>
  <c r="AB114" i="37"/>
  <c r="AB115" i="37"/>
  <c r="AB112" i="37"/>
  <c r="AB113" i="37"/>
  <c r="AL17" i="14"/>
  <c r="A1" i="49"/>
  <c r="F29" i="49"/>
  <c r="I285" i="50"/>
  <c r="J285" i="50"/>
  <c r="I20" i="1"/>
  <c r="I293" i="50"/>
  <c r="G293" i="50"/>
  <c r="F293" i="50"/>
  <c r="E62" i="41"/>
  <c r="E61" i="41"/>
  <c r="M230" i="7"/>
  <c r="M43" i="7"/>
  <c r="M44" i="7"/>
  <c r="M41" i="7"/>
  <c r="K285" i="50"/>
  <c r="G285" i="50"/>
  <c r="K293" i="50"/>
  <c r="F285" i="50"/>
  <c r="H285" i="50"/>
  <c r="R1" i="56"/>
  <c r="G20" i="54"/>
  <c r="G34" i="54"/>
  <c r="O1" i="53"/>
  <c r="D18" i="1"/>
  <c r="G18" i="1" s="1"/>
  <c r="R1" i="3"/>
  <c r="G27" i="54"/>
  <c r="D19" i="1"/>
  <c r="G19" i="1" s="1"/>
  <c r="D19" i="49"/>
  <c r="AC7" i="14" s="1"/>
  <c r="K132" i="50"/>
  <c r="K124" i="50"/>
  <c r="I132" i="50"/>
  <c r="J124" i="50"/>
  <c r="F132" i="50"/>
  <c r="H132" i="50"/>
  <c r="I124" i="50"/>
  <c r="G132" i="50"/>
  <c r="G124" i="50"/>
  <c r="F124" i="50"/>
  <c r="H124" i="50"/>
  <c r="T54" i="38"/>
  <c r="A1" i="41"/>
  <c r="E15" i="1" s="1"/>
  <c r="H15" i="1" s="1"/>
  <c r="F139" i="47"/>
  <c r="C16" i="38"/>
  <c r="D77" i="15" s="1"/>
  <c r="C35" i="38"/>
  <c r="D96" i="15" s="1"/>
  <c r="C31" i="38"/>
  <c r="D92" i="15" s="1"/>
  <c r="C27" i="38"/>
  <c r="D88" i="15" s="1"/>
  <c r="C23" i="38"/>
  <c r="D84" i="15" s="1"/>
  <c r="C19" i="38"/>
  <c r="D80" i="15" s="1"/>
  <c r="C34" i="38"/>
  <c r="D95" i="15" s="1"/>
  <c r="C28" i="38"/>
  <c r="D89" i="15" s="1"/>
  <c r="C24" i="38"/>
  <c r="D85" i="15" s="1"/>
  <c r="C20" i="38"/>
  <c r="D81" i="15" s="1"/>
  <c r="C30" i="38"/>
  <c r="D91" i="15" s="1"/>
  <c r="C33" i="38"/>
  <c r="D94" i="15" s="1"/>
  <c r="C29" i="38"/>
  <c r="D90" i="15" s="1"/>
  <c r="C25" i="38"/>
  <c r="D86" i="15" s="1"/>
  <c r="C21" i="38"/>
  <c r="D82" i="15" s="1"/>
  <c r="C17" i="38"/>
  <c r="D78" i="15" s="1"/>
  <c r="C32" i="38"/>
  <c r="D93" i="15" s="1"/>
  <c r="C26" i="38"/>
  <c r="D87" i="15" s="1"/>
  <c r="C22" i="38"/>
  <c r="D83" i="15" s="1"/>
  <c r="C18" i="38"/>
  <c r="D79" i="15" s="1"/>
  <c r="V270" i="50"/>
  <c r="J270" i="50"/>
  <c r="W270" i="50" s="1"/>
  <c r="J269" i="50"/>
  <c r="W269" i="50" s="1"/>
  <c r="J268" i="50"/>
  <c r="S50" i="38"/>
  <c r="V50" i="38"/>
  <c r="J54" i="50"/>
  <c r="W54" i="50" s="1"/>
  <c r="J53" i="50"/>
  <c r="W53" i="50" s="1"/>
  <c r="D320" i="38"/>
  <c r="E320" i="38" s="1"/>
  <c r="D296" i="38"/>
  <c r="E296" i="38" s="1"/>
  <c r="D272" i="38"/>
  <c r="E272" i="38" s="1"/>
  <c r="D248" i="38"/>
  <c r="D224" i="38"/>
  <c r="D230" i="38" s="1"/>
  <c r="D332" i="38"/>
  <c r="E332" i="38" s="1"/>
  <c r="D308" i="38"/>
  <c r="E308" i="38" s="1"/>
  <c r="D284" i="38"/>
  <c r="D290" i="38" s="1"/>
  <c r="D289" i="38" s="1"/>
  <c r="D260" i="38"/>
  <c r="D266" i="38" s="1"/>
  <c r="D236" i="38"/>
  <c r="E236" i="38" s="1"/>
  <c r="H63" i="51"/>
  <c r="H46" i="47"/>
  <c r="H49" i="47" s="1"/>
  <c r="T52" i="38"/>
  <c r="G94" i="49"/>
  <c r="G97" i="49" s="1"/>
  <c r="G31" i="47"/>
  <c r="H136" i="47"/>
  <c r="H139" i="47" s="1"/>
  <c r="G111" i="51"/>
  <c r="H111" i="51" s="1"/>
  <c r="H64" i="47"/>
  <c r="H67" i="47" s="1"/>
  <c r="G111" i="49"/>
  <c r="F114" i="49"/>
  <c r="G179" i="49"/>
  <c r="F182" i="49"/>
  <c r="F31" i="47"/>
  <c r="H60" i="49"/>
  <c r="I60" i="49" s="1"/>
  <c r="F157" i="47"/>
  <c r="G82" i="47"/>
  <c r="G85" i="47" s="1"/>
  <c r="F49" i="47"/>
  <c r="F67" i="47"/>
  <c r="C40" i="34"/>
  <c r="L40" i="34" s="1"/>
  <c r="D200" i="38"/>
  <c r="E200" i="38" s="1"/>
  <c r="D164" i="38"/>
  <c r="D170" i="38" s="1"/>
  <c r="C40" i="43"/>
  <c r="L40" i="43" s="1"/>
  <c r="G191" i="47"/>
  <c r="G17" i="47" s="1"/>
  <c r="AN16" i="14" s="1"/>
  <c r="V42" i="50"/>
  <c r="G157" i="47"/>
  <c r="F193" i="47"/>
  <c r="H190" i="47"/>
  <c r="H193" i="47" s="1"/>
  <c r="G100" i="47"/>
  <c r="G103" i="47" s="1"/>
  <c r="G172" i="47"/>
  <c r="C87" i="7"/>
  <c r="C277" i="34"/>
  <c r="C44" i="7"/>
  <c r="C46" i="7"/>
  <c r="C103" i="7"/>
  <c r="C279" i="34"/>
  <c r="C127" i="7"/>
  <c r="C49" i="7"/>
  <c r="C282" i="34"/>
  <c r="D116" i="38"/>
  <c r="D122" i="38" s="1"/>
  <c r="C111" i="7"/>
  <c r="C47" i="7"/>
  <c r="C280" i="34"/>
  <c r="T50" i="38"/>
  <c r="D242" i="38"/>
  <c r="D241" i="38" s="1"/>
  <c r="AB111" i="37"/>
  <c r="AI120" i="15"/>
  <c r="AR120" i="15"/>
  <c r="AK120" i="15"/>
  <c r="AS120" i="15"/>
  <c r="AL120" i="15"/>
  <c r="AT120" i="15"/>
  <c r="AQ120" i="15"/>
  <c r="AJ120" i="15"/>
  <c r="AM120" i="15"/>
  <c r="AN120" i="15"/>
  <c r="AO120" i="15"/>
  <c r="AP120" i="15"/>
  <c r="AI117" i="15"/>
  <c r="AL117" i="15"/>
  <c r="AO117" i="15"/>
  <c r="AJ117" i="15"/>
  <c r="AR117" i="15"/>
  <c r="AM117" i="15"/>
  <c r="AT117" i="15"/>
  <c r="AQ117" i="15"/>
  <c r="AP117" i="15"/>
  <c r="AK117" i="15"/>
  <c r="AS117" i="15"/>
  <c r="AN117" i="15"/>
  <c r="AI118" i="15"/>
  <c r="AP118" i="15"/>
  <c r="AK118" i="15"/>
  <c r="AT118" i="15"/>
  <c r="AM118" i="15"/>
  <c r="AN118" i="15"/>
  <c r="AO118" i="15"/>
  <c r="AS118" i="15"/>
  <c r="AL118" i="15"/>
  <c r="AQ118" i="15"/>
  <c r="AJ118" i="15"/>
  <c r="AR118" i="15"/>
  <c r="AI115" i="15"/>
  <c r="AT115" i="15"/>
  <c r="AO115" i="15"/>
  <c r="AQ115" i="15"/>
  <c r="AL115" i="15"/>
  <c r="AN115" i="15"/>
  <c r="AS115" i="15"/>
  <c r="AK115" i="15"/>
  <c r="AM115" i="15"/>
  <c r="AP115" i="15"/>
  <c r="AJ115" i="15"/>
  <c r="AR115" i="15"/>
  <c r="AI123" i="15"/>
  <c r="AT123" i="15"/>
  <c r="AM123" i="15"/>
  <c r="AK123" i="15"/>
  <c r="AS123" i="15"/>
  <c r="AL123" i="15"/>
  <c r="AJ123" i="15"/>
  <c r="AR123" i="15"/>
  <c r="AQ123" i="15"/>
  <c r="AO123" i="15"/>
  <c r="AP123" i="15"/>
  <c r="AN123" i="15"/>
  <c r="C279" i="43"/>
  <c r="K279" i="43" s="1"/>
  <c r="C277" i="43"/>
  <c r="K277" i="43" s="1"/>
  <c r="C280" i="43"/>
  <c r="K280" i="43" s="1"/>
  <c r="C63" i="7"/>
  <c r="C41" i="7"/>
  <c r="C274" i="34"/>
  <c r="C50" i="7"/>
  <c r="C135" i="7"/>
  <c r="C283" i="34"/>
  <c r="C95" i="7"/>
  <c r="C45" i="7"/>
  <c r="C278" i="34"/>
  <c r="AI116" i="15"/>
  <c r="AM116" i="15"/>
  <c r="AQ116" i="15"/>
  <c r="AR116" i="15"/>
  <c r="AO116" i="15"/>
  <c r="AP116" i="15"/>
  <c r="AN116" i="15"/>
  <c r="AJ116" i="15"/>
  <c r="AK116" i="15"/>
  <c r="AS116" i="15"/>
  <c r="AL116" i="15"/>
  <c r="AT116" i="15"/>
  <c r="AS124" i="15"/>
  <c r="AQ124" i="15"/>
  <c r="AR124" i="15"/>
  <c r="AT124" i="15"/>
  <c r="AO124" i="15"/>
  <c r="AP124" i="15"/>
  <c r="AI121" i="15"/>
  <c r="AK121" i="15"/>
  <c r="AJ121" i="15"/>
  <c r="AO121" i="15"/>
  <c r="AN121" i="15"/>
  <c r="AM121" i="15"/>
  <c r="AP121" i="15"/>
  <c r="AR121" i="15"/>
  <c r="AS121" i="15"/>
  <c r="AQ121" i="15"/>
  <c r="AL121" i="15"/>
  <c r="AT121" i="15"/>
  <c r="AI122" i="15"/>
  <c r="AT122" i="15"/>
  <c r="AM122" i="15"/>
  <c r="AQ122" i="15"/>
  <c r="AK122" i="15"/>
  <c r="AS122" i="15"/>
  <c r="AJ122" i="15"/>
  <c r="AR122" i="15"/>
  <c r="AL122" i="15"/>
  <c r="AP122" i="15"/>
  <c r="AO122" i="15"/>
  <c r="AN122" i="15"/>
  <c r="AI119" i="15"/>
  <c r="AQ119" i="15"/>
  <c r="AM119" i="15"/>
  <c r="AO119" i="15"/>
  <c r="AN119" i="15"/>
  <c r="AP119" i="15"/>
  <c r="AJ119" i="15"/>
  <c r="AK119" i="15"/>
  <c r="AS119" i="15"/>
  <c r="AR119" i="15"/>
  <c r="AL119" i="15"/>
  <c r="AT119" i="15"/>
  <c r="G23" i="1"/>
  <c r="K25" i="46"/>
  <c r="C283" i="43"/>
  <c r="K283" i="43" s="1"/>
  <c r="C274" i="43"/>
  <c r="K274" i="43" s="1"/>
  <c r="C282" i="43"/>
  <c r="K282" i="43" s="1"/>
  <c r="C278" i="43"/>
  <c r="K278" i="43" s="1"/>
  <c r="F165" i="49"/>
  <c r="G162" i="49"/>
  <c r="F131" i="49"/>
  <c r="G128" i="49"/>
  <c r="G118" i="47"/>
  <c r="F121" i="47"/>
  <c r="C42" i="7"/>
  <c r="C71" i="7"/>
  <c r="C275" i="34"/>
  <c r="D140" i="38"/>
  <c r="E140" i="38" s="1"/>
  <c r="D152" i="38"/>
  <c r="D158" i="38" s="1"/>
  <c r="D128" i="38"/>
  <c r="E128" i="38" s="1"/>
  <c r="D212" i="38"/>
  <c r="D218" i="38" s="1"/>
  <c r="D188" i="38"/>
  <c r="E188" i="38" s="1"/>
  <c r="E194" i="38" s="1"/>
  <c r="D254" i="38"/>
  <c r="D253" i="38" s="1"/>
  <c r="AH259" i="50"/>
  <c r="C28" i="43"/>
  <c r="L28" i="43" s="1"/>
  <c r="C28" i="34"/>
  <c r="L28" i="34" s="1"/>
  <c r="C64" i="43"/>
  <c r="L64" i="43" s="1"/>
  <c r="C64" i="34"/>
  <c r="L64" i="34" s="1"/>
  <c r="C88" i="43"/>
  <c r="L88" i="43" s="1"/>
  <c r="C88" i="34"/>
  <c r="L88" i="34" s="1"/>
  <c r="C124" i="43"/>
  <c r="L124" i="43" s="1"/>
  <c r="C124" i="34"/>
  <c r="L124" i="34" s="1"/>
  <c r="C100" i="43"/>
  <c r="L100" i="43" s="1"/>
  <c r="C100" i="34"/>
  <c r="L100" i="34" s="1"/>
  <c r="C136" i="43"/>
  <c r="L136" i="43" s="1"/>
  <c r="C136" i="34"/>
  <c r="L136" i="34" s="1"/>
  <c r="C76" i="43"/>
  <c r="L76" i="43" s="1"/>
  <c r="C76" i="34"/>
  <c r="L76" i="34" s="1"/>
  <c r="AN261" i="50"/>
  <c r="AD259" i="50"/>
  <c r="AF261" i="50"/>
  <c r="AE255" i="50"/>
  <c r="AO255" i="50"/>
  <c r="AL39" i="50"/>
  <c r="AE257" i="50"/>
  <c r="AI255" i="50"/>
  <c r="AM254" i="50"/>
  <c r="AD257" i="50"/>
  <c r="AJ39" i="50"/>
  <c r="AL261" i="50"/>
  <c r="AG39" i="50"/>
  <c r="AK255" i="50"/>
  <c r="AD39" i="50"/>
  <c r="AD260" i="50"/>
  <c r="AO258" i="50"/>
  <c r="AI262" i="50"/>
  <c r="AD254" i="50"/>
  <c r="AG262" i="50"/>
  <c r="AI258" i="50"/>
  <c r="AI254" i="50"/>
  <c r="AI256" i="50"/>
  <c r="AN254" i="50"/>
  <c r="AJ254" i="50"/>
  <c r="AG254" i="50"/>
  <c r="AF254" i="50"/>
  <c r="AM258" i="50"/>
  <c r="AM262" i="50"/>
  <c r="AJ262" i="50"/>
  <c r="AK254" i="50"/>
  <c r="AE254" i="50"/>
  <c r="AN260" i="50"/>
  <c r="AL260" i="50"/>
  <c r="AO260" i="50"/>
  <c r="AH254" i="50"/>
  <c r="AO254" i="50"/>
  <c r="AG256" i="50"/>
  <c r="AL256" i="50"/>
  <c r="AJ258" i="50"/>
  <c r="AF262" i="50"/>
  <c r="AF260" i="50"/>
  <c r="AK258" i="50"/>
  <c r="AK262" i="50"/>
  <c r="AE262" i="50"/>
  <c r="AK256" i="50"/>
  <c r="AE256" i="50"/>
  <c r="AM260" i="50"/>
  <c r="AH256" i="50"/>
  <c r="AO256" i="50"/>
  <c r="AN126" i="37"/>
  <c r="AL126" i="37"/>
  <c r="AJ126" i="37"/>
  <c r="AH126" i="37"/>
  <c r="AF126" i="37"/>
  <c r="AD126" i="37"/>
  <c r="AM126" i="37"/>
  <c r="AK126" i="37"/>
  <c r="AI126" i="37"/>
  <c r="AG126" i="37"/>
  <c r="AE126" i="37"/>
  <c r="AC126" i="37"/>
  <c r="AN123" i="37"/>
  <c r="AL123" i="37"/>
  <c r="AJ123" i="37"/>
  <c r="AH123" i="37"/>
  <c r="AF123" i="37"/>
  <c r="AD123" i="37"/>
  <c r="AM123" i="37"/>
  <c r="AK123" i="37"/>
  <c r="AI123" i="37"/>
  <c r="AG123" i="37"/>
  <c r="AE123" i="37"/>
  <c r="AC123" i="37"/>
  <c r="AN124" i="37"/>
  <c r="AL124" i="37"/>
  <c r="AJ124" i="37"/>
  <c r="AH124" i="37"/>
  <c r="AF124" i="37"/>
  <c r="AD124" i="37"/>
  <c r="AM124" i="37"/>
  <c r="AK124" i="37"/>
  <c r="AI124" i="37"/>
  <c r="AG124" i="37"/>
  <c r="AE124" i="37"/>
  <c r="AC124" i="37"/>
  <c r="AN121" i="37"/>
  <c r="AL121" i="37"/>
  <c r="AJ121" i="37"/>
  <c r="AH121" i="37"/>
  <c r="AF121" i="37"/>
  <c r="AD121" i="37"/>
  <c r="AM121" i="37"/>
  <c r="AK121" i="37"/>
  <c r="AI121" i="37"/>
  <c r="AG121" i="37"/>
  <c r="AE121" i="37"/>
  <c r="AC121" i="37"/>
  <c r="AN129" i="37"/>
  <c r="AL129" i="37"/>
  <c r="AJ129" i="37"/>
  <c r="AH129" i="37"/>
  <c r="AF129" i="37"/>
  <c r="AD129" i="37"/>
  <c r="AM129" i="37"/>
  <c r="AK129" i="37"/>
  <c r="AI129" i="37"/>
  <c r="AG129" i="37"/>
  <c r="AE129" i="37"/>
  <c r="AC129" i="37"/>
  <c r="AN122" i="37"/>
  <c r="AL122" i="37"/>
  <c r="AJ122" i="37"/>
  <c r="AH122" i="37"/>
  <c r="AF122" i="37"/>
  <c r="AD122" i="37"/>
  <c r="AM122" i="37"/>
  <c r="AK122" i="37"/>
  <c r="AI122" i="37"/>
  <c r="AG122" i="37"/>
  <c r="AE122" i="37"/>
  <c r="AC122" i="37"/>
  <c r="AN130" i="37"/>
  <c r="AL130" i="37"/>
  <c r="AJ130" i="37"/>
  <c r="AH130" i="37"/>
  <c r="AF130" i="37"/>
  <c r="AD130" i="37"/>
  <c r="AM130" i="37"/>
  <c r="AK130" i="37"/>
  <c r="AI130" i="37"/>
  <c r="AG130" i="37"/>
  <c r="AE130" i="37"/>
  <c r="AC130" i="37"/>
  <c r="AN127" i="37"/>
  <c r="AL127" i="37"/>
  <c r="AJ127" i="37"/>
  <c r="AH127" i="37"/>
  <c r="AF127" i="37"/>
  <c r="AD127" i="37"/>
  <c r="AM127" i="37"/>
  <c r="AK127" i="37"/>
  <c r="AI127" i="37"/>
  <c r="AG127" i="37"/>
  <c r="AE127" i="37"/>
  <c r="AC127" i="37"/>
  <c r="AN128" i="37"/>
  <c r="AL128" i="37"/>
  <c r="AJ128" i="37"/>
  <c r="AH128" i="37"/>
  <c r="AF128" i="37"/>
  <c r="AD128" i="37"/>
  <c r="AM128" i="37"/>
  <c r="AK128" i="37"/>
  <c r="AI128" i="37"/>
  <c r="AG128" i="37"/>
  <c r="AE128" i="37"/>
  <c r="AC128" i="37"/>
  <c r="AN125" i="37"/>
  <c r="AL125" i="37"/>
  <c r="AJ125" i="37"/>
  <c r="AH125" i="37"/>
  <c r="AF125" i="37"/>
  <c r="AD125" i="37"/>
  <c r="AM125" i="37"/>
  <c r="AK125" i="37"/>
  <c r="AI125" i="37"/>
  <c r="AG125" i="37"/>
  <c r="AE125" i="37"/>
  <c r="AC125" i="37"/>
  <c r="AG257" i="50"/>
  <c r="AL257" i="50"/>
  <c r="AE261" i="50"/>
  <c r="AO39" i="50"/>
  <c r="AF259" i="50"/>
  <c r="AO261" i="50"/>
  <c r="AF257" i="50"/>
  <c r="AH257" i="50"/>
  <c r="AK39" i="50"/>
  <c r="AG259" i="50"/>
  <c r="AG255" i="50"/>
  <c r="AJ259" i="50"/>
  <c r="AH255" i="50"/>
  <c r="AM255" i="50"/>
  <c r="AO257" i="50"/>
  <c r="AK257" i="50"/>
  <c r="AM257" i="50"/>
  <c r="AI261" i="50"/>
  <c r="AH261" i="50"/>
  <c r="AH39" i="50"/>
  <c r="AI39" i="50"/>
  <c r="AK259" i="50"/>
  <c r="AI259" i="50"/>
  <c r="AE259" i="50"/>
  <c r="AM261" i="50"/>
  <c r="AK261" i="50"/>
  <c r="AJ261" i="50"/>
  <c r="AI257" i="50"/>
  <c r="AJ257" i="50"/>
  <c r="AE39" i="50"/>
  <c r="AN259" i="50"/>
  <c r="AF39" i="50"/>
  <c r="AF255" i="50"/>
  <c r="AD255" i="50"/>
  <c r="AO259" i="50"/>
  <c r="AM259" i="50"/>
  <c r="AN39" i="50"/>
  <c r="AD261" i="50"/>
  <c r="AN255" i="50"/>
  <c r="AJ255" i="50"/>
  <c r="AF258" i="50"/>
  <c r="AK260" i="50"/>
  <c r="AI260" i="50"/>
  <c r="AE260" i="50"/>
  <c r="AG258" i="50"/>
  <c r="AD258" i="50"/>
  <c r="AL258" i="50"/>
  <c r="AL262" i="50"/>
  <c r="AN262" i="50"/>
  <c r="AO262" i="50"/>
  <c r="AD262" i="50"/>
  <c r="AH260" i="50"/>
  <c r="AG260" i="50"/>
  <c r="AE258" i="50"/>
  <c r="AF256" i="50"/>
  <c r="AD256" i="50"/>
  <c r="AN256" i="50"/>
  <c r="AM256" i="50"/>
  <c r="AH258" i="50"/>
  <c r="AC47" i="50"/>
  <c r="D104" i="38"/>
  <c r="D110" i="38" s="1"/>
  <c r="S57" i="38"/>
  <c r="D176" i="38"/>
  <c r="E176" i="38" s="1"/>
  <c r="T56" i="38"/>
  <c r="AN40" i="50"/>
  <c r="AD45" i="50"/>
  <c r="AO44" i="50"/>
  <c r="AM40" i="50"/>
  <c r="AI40" i="50"/>
  <c r="AJ109" i="15"/>
  <c r="AF44" i="50"/>
  <c r="AL45" i="50"/>
  <c r="AI44" i="50"/>
  <c r="AM44" i="50"/>
  <c r="AO41" i="50"/>
  <c r="AH42" i="50"/>
  <c r="AE45" i="50"/>
  <c r="AH45" i="50"/>
  <c r="AE40" i="50"/>
  <c r="AK44" i="50"/>
  <c r="AH44" i="50"/>
  <c r="AD44" i="50"/>
  <c r="AO40" i="50"/>
  <c r="AJ45" i="50"/>
  <c r="AE41" i="50"/>
  <c r="AD41" i="50"/>
  <c r="AI109" i="15"/>
  <c r="AT109" i="15"/>
  <c r="AJ46" i="50"/>
  <c r="AK43" i="50"/>
  <c r="AH43" i="50"/>
  <c r="AP109" i="15"/>
  <c r="AG47" i="50"/>
  <c r="AR109" i="15"/>
  <c r="AL109" i="15"/>
  <c r="AN109" i="15"/>
  <c r="AM109" i="15"/>
  <c r="AO109" i="15"/>
  <c r="AI43" i="50"/>
  <c r="AE43" i="50"/>
  <c r="AG45" i="50"/>
  <c r="AM45" i="50"/>
  <c r="AI45" i="50"/>
  <c r="AG40" i="50"/>
  <c r="AD40" i="50"/>
  <c r="AJ40" i="50"/>
  <c r="AG44" i="50"/>
  <c r="AE44" i="50"/>
  <c r="AN44" i="50"/>
  <c r="AN45" i="50"/>
  <c r="AK40" i="50"/>
  <c r="AL44" i="50"/>
  <c r="AF45" i="50"/>
  <c r="AO45" i="50"/>
  <c r="AG41" i="50"/>
  <c r="AN41" i="50"/>
  <c r="AL41" i="50"/>
  <c r="AH41" i="50"/>
  <c r="AF41" i="50"/>
  <c r="AI41" i="50"/>
  <c r="AM41" i="50"/>
  <c r="AK41" i="50"/>
  <c r="AH40" i="50"/>
  <c r="AL40" i="50"/>
  <c r="AF46" i="50"/>
  <c r="AS109" i="15"/>
  <c r="AQ109" i="15"/>
  <c r="AD47" i="50"/>
  <c r="AE42" i="50"/>
  <c r="AD46" i="50"/>
  <c r="AI42" i="50"/>
  <c r="AJ47" i="50"/>
  <c r="AO46" i="50"/>
  <c r="AG43" i="50"/>
  <c r="AM47" i="50"/>
  <c r="AO42" i="50"/>
  <c r="AN42" i="50"/>
  <c r="AI46" i="50"/>
  <c r="AN46" i="50"/>
  <c r="AI47" i="50"/>
  <c r="AL42" i="50"/>
  <c r="AN47" i="50"/>
  <c r="AN43" i="50"/>
  <c r="AF43" i="50"/>
  <c r="AH46" i="50"/>
  <c r="AF47" i="50"/>
  <c r="AO47" i="50"/>
  <c r="AK47" i="50"/>
  <c r="AK42" i="50"/>
  <c r="AG42" i="50"/>
  <c r="AJ42" i="50"/>
  <c r="AG46" i="50"/>
  <c r="AK46" i="50"/>
  <c r="AE46" i="50"/>
  <c r="AL46" i="50"/>
  <c r="AE47" i="50"/>
  <c r="AM42" i="50"/>
  <c r="AF42" i="50"/>
  <c r="AL47" i="50"/>
  <c r="AL43" i="50"/>
  <c r="AO43" i="50"/>
  <c r="AD43" i="50"/>
  <c r="AM43" i="50"/>
  <c r="AT110" i="15"/>
  <c r="H94" i="49"/>
  <c r="D17" i="1"/>
  <c r="AL110" i="15"/>
  <c r="AI112" i="15"/>
  <c r="AO114" i="15"/>
  <c r="AL114" i="15"/>
  <c r="AP112" i="15"/>
  <c r="AR110" i="15"/>
  <c r="AN110" i="15"/>
  <c r="AR112" i="15"/>
  <c r="AT112" i="15"/>
  <c r="AK112" i="15"/>
  <c r="AS110" i="15"/>
  <c r="AN114" i="15"/>
  <c r="AQ110" i="15"/>
  <c r="AT114" i="15"/>
  <c r="AR113" i="15"/>
  <c r="AL112" i="15"/>
  <c r="AO112" i="15"/>
  <c r="AM112" i="15"/>
  <c r="AJ110" i="15"/>
  <c r="AI110" i="15"/>
  <c r="AJ112" i="15"/>
  <c r="AN112" i="15"/>
  <c r="AS112" i="15"/>
  <c r="AM110" i="15"/>
  <c r="AO110" i="15"/>
  <c r="AM114" i="15"/>
  <c r="AK110" i="15"/>
  <c r="AJ114" i="15"/>
  <c r="AK114" i="15"/>
  <c r="H148" i="49"/>
  <c r="I145" i="49"/>
  <c r="AK111" i="15"/>
  <c r="AC260" i="50"/>
  <c r="AC258" i="50"/>
  <c r="AC257" i="50"/>
  <c r="AC262" i="50"/>
  <c r="AC42" i="50"/>
  <c r="AC38" i="50"/>
  <c r="AC41" i="50"/>
  <c r="AC255" i="50"/>
  <c r="AC44" i="50"/>
  <c r="AC256" i="50"/>
  <c r="AC43" i="50"/>
  <c r="AC40" i="50"/>
  <c r="AC261" i="50"/>
  <c r="AC46" i="50"/>
  <c r="AC39" i="50"/>
  <c r="AC45" i="50"/>
  <c r="AC253" i="50"/>
  <c r="AC254" i="50"/>
  <c r="H157" i="47"/>
  <c r="I154" i="47"/>
  <c r="AT113" i="15"/>
  <c r="AN111" i="15"/>
  <c r="AJ111" i="15"/>
  <c r="AR111" i="15"/>
  <c r="AN113" i="15"/>
  <c r="I77" i="51"/>
  <c r="H80" i="51"/>
  <c r="H145" i="51"/>
  <c r="G148" i="51"/>
  <c r="H43" i="51"/>
  <c r="G46" i="51"/>
  <c r="G165" i="51"/>
  <c r="H162" i="51"/>
  <c r="AM111" i="15"/>
  <c r="AO111" i="15"/>
  <c r="AO113" i="15"/>
  <c r="AM113" i="15"/>
  <c r="AL113" i="15"/>
  <c r="AQ111" i="15"/>
  <c r="AS111" i="15"/>
  <c r="AT111" i="15"/>
  <c r="AP111" i="15"/>
  <c r="AL111" i="15"/>
  <c r="AK113" i="15"/>
  <c r="AS113" i="15"/>
  <c r="AP113" i="15"/>
  <c r="AI113" i="15"/>
  <c r="AJ113" i="15"/>
  <c r="AR114" i="15"/>
  <c r="AI114" i="15"/>
  <c r="AS114" i="15"/>
  <c r="AP114" i="15"/>
  <c r="G29" i="51"/>
  <c r="H26" i="51"/>
  <c r="F9" i="47"/>
  <c r="AM8" i="14" s="1"/>
  <c r="AC259" i="50"/>
  <c r="G46" i="49"/>
  <c r="H43" i="49"/>
  <c r="J60" i="51"/>
  <c r="I63" i="51"/>
  <c r="G97" i="51"/>
  <c r="H94" i="51"/>
  <c r="G131" i="51"/>
  <c r="H128" i="51"/>
  <c r="G9" i="47"/>
  <c r="AN8" i="14" s="1"/>
  <c r="J179" i="51"/>
  <c r="J182" i="51" s="1"/>
  <c r="I182" i="51"/>
  <c r="E8" i="47"/>
  <c r="AL7" i="14" s="1"/>
  <c r="H31" i="47"/>
  <c r="I28" i="47"/>
  <c r="Y34" i="15" l="1"/>
  <c r="Y52" i="38"/>
  <c r="H80" i="49"/>
  <c r="H29" i="49"/>
  <c r="I29" i="49"/>
  <c r="K303" i="50"/>
  <c r="K311" i="50"/>
  <c r="F311" i="50"/>
  <c r="G114" i="51"/>
  <c r="M160" i="37"/>
  <c r="AS45" i="14"/>
  <c r="AQ22" i="50" s="1"/>
  <c r="AG17" i="50"/>
  <c r="AG18" i="50"/>
  <c r="AJ16" i="50"/>
  <c r="AF18" i="50"/>
  <c r="AG14" i="50"/>
  <c r="AF14" i="50"/>
  <c r="AI15" i="50"/>
  <c r="AH16" i="50"/>
  <c r="AE15" i="50"/>
  <c r="AI18" i="50"/>
  <c r="AE14" i="50"/>
  <c r="AH14" i="50"/>
  <c r="AN18" i="50"/>
  <c r="AQ17" i="50"/>
  <c r="AN15" i="50"/>
  <c r="AM16" i="50"/>
  <c r="AM18" i="50"/>
  <c r="AQ14" i="50"/>
  <c r="AN14" i="50"/>
  <c r="AO18" i="50"/>
  <c r="AO17" i="50"/>
  <c r="AL17" i="50"/>
  <c r="AP18" i="50"/>
  <c r="AP17" i="50"/>
  <c r="AO16" i="50"/>
  <c r="AP15" i="50"/>
  <c r="AP14" i="50"/>
  <c r="AL14" i="50"/>
  <c r="AQ18" i="50"/>
  <c r="AM17" i="50"/>
  <c r="AN17" i="50"/>
  <c r="AN16" i="50"/>
  <c r="AM15" i="50"/>
  <c r="AQ15" i="50"/>
  <c r="AQ16" i="50"/>
  <c r="AM14" i="50"/>
  <c r="AP16" i="50"/>
  <c r="AO15" i="50"/>
  <c r="AO14" i="50"/>
  <c r="AE18" i="50"/>
  <c r="AH17" i="50"/>
  <c r="AH18" i="50"/>
  <c r="AI16" i="50"/>
  <c r="AL15" i="50"/>
  <c r="AH15" i="50"/>
  <c r="AE16" i="50"/>
  <c r="AI17" i="50"/>
  <c r="AI14" i="50"/>
  <c r="AL16" i="50"/>
  <c r="AL18" i="50"/>
  <c r="AE17" i="50"/>
  <c r="AG15" i="50"/>
  <c r="AJ17" i="50"/>
  <c r="AF17" i="50"/>
  <c r="AG16" i="50"/>
  <c r="AJ18" i="50"/>
  <c r="AF16" i="50"/>
  <c r="AF15" i="50"/>
  <c r="AJ15" i="50"/>
  <c r="AJ14" i="50"/>
  <c r="V255" i="50"/>
  <c r="H321" i="50" s="1"/>
  <c r="H303" i="50"/>
  <c r="G303" i="50"/>
  <c r="G311" i="50"/>
  <c r="F303" i="50"/>
  <c r="I311" i="50"/>
  <c r="H311" i="50"/>
  <c r="J303" i="50"/>
  <c r="I303" i="50"/>
  <c r="Y18" i="15"/>
  <c r="I46" i="47"/>
  <c r="Y26" i="15"/>
  <c r="Y29" i="15"/>
  <c r="E193" i="38"/>
  <c r="E192" i="38" s="1"/>
  <c r="Y63" i="38"/>
  <c r="Y64" i="38"/>
  <c r="D265" i="38"/>
  <c r="D264" i="38" s="1"/>
  <c r="Y55" i="38"/>
  <c r="Y61" i="38"/>
  <c r="Y59" i="38"/>
  <c r="D217" i="38"/>
  <c r="D216" i="38" s="1"/>
  <c r="Y58" i="38"/>
  <c r="Y57" i="38"/>
  <c r="Y53" i="38"/>
  <c r="Y62" i="38"/>
  <c r="D169" i="38"/>
  <c r="D168" i="38" s="1"/>
  <c r="D229" i="38"/>
  <c r="D228" i="38" s="1"/>
  <c r="C365" i="50"/>
  <c r="X75" i="38"/>
  <c r="Y56" i="38"/>
  <c r="K177" i="37"/>
  <c r="X177" i="37" s="1"/>
  <c r="S203" i="37"/>
  <c r="N203" i="37"/>
  <c r="K174" i="37"/>
  <c r="X174" i="37" s="1"/>
  <c r="N204" i="37"/>
  <c r="O204" i="37"/>
  <c r="K183" i="37"/>
  <c r="X183" i="37" s="1"/>
  <c r="S205" i="37"/>
  <c r="K173" i="37"/>
  <c r="X173" i="37" s="1"/>
  <c r="K170" i="37"/>
  <c r="X170" i="37" s="1"/>
  <c r="K172" i="37"/>
  <c r="X172" i="37" s="1"/>
  <c r="K181" i="37"/>
  <c r="X181" i="37" s="1"/>
  <c r="Q203" i="37"/>
  <c r="O203" i="37"/>
  <c r="P203" i="37"/>
  <c r="K178" i="37"/>
  <c r="X178" i="37" s="1"/>
  <c r="P204" i="37"/>
  <c r="Q204" i="37"/>
  <c r="S204" i="37"/>
  <c r="K179" i="37"/>
  <c r="X179" i="37" s="1"/>
  <c r="O205" i="37"/>
  <c r="R205" i="37"/>
  <c r="N205" i="37"/>
  <c r="W92" i="37"/>
  <c r="K180" i="37"/>
  <c r="X180" i="37" s="1"/>
  <c r="N202" i="37"/>
  <c r="R202" i="37"/>
  <c r="K176" i="37"/>
  <c r="X176" i="37" s="1"/>
  <c r="P202" i="37"/>
  <c r="Q202" i="37"/>
  <c r="S202" i="37"/>
  <c r="Y30" i="15"/>
  <c r="Y22" i="15"/>
  <c r="Y33" i="15"/>
  <c r="Y25" i="15"/>
  <c r="K171" i="37"/>
  <c r="X171" i="37" s="1"/>
  <c r="W96" i="37"/>
  <c r="W93" i="37"/>
  <c r="I101" i="37"/>
  <c r="Q101" i="37"/>
  <c r="G101" i="37"/>
  <c r="R101" i="37"/>
  <c r="M101" i="37"/>
  <c r="P101" i="37"/>
  <c r="F101" i="37"/>
  <c r="W101" i="37"/>
  <c r="N101" i="37"/>
  <c r="H101" i="37"/>
  <c r="K101" i="37"/>
  <c r="J101" i="37"/>
  <c r="O101" i="37"/>
  <c r="W98" i="37"/>
  <c r="W95" i="37"/>
  <c r="M100" i="37"/>
  <c r="O100" i="37"/>
  <c r="H100" i="37"/>
  <c r="G100" i="37"/>
  <c r="W100" i="37"/>
  <c r="F100" i="37"/>
  <c r="J100" i="37"/>
  <c r="P100" i="37"/>
  <c r="Q100" i="37"/>
  <c r="R100" i="37"/>
  <c r="I100" i="37"/>
  <c r="K100" i="37"/>
  <c r="N100" i="37"/>
  <c r="W97" i="37"/>
  <c r="W94" i="37"/>
  <c r="M102" i="37"/>
  <c r="O102" i="37"/>
  <c r="F102" i="37"/>
  <c r="Q102" i="37"/>
  <c r="P102" i="37"/>
  <c r="W102" i="37"/>
  <c r="G102" i="37"/>
  <c r="J102" i="37"/>
  <c r="R102" i="37"/>
  <c r="H102" i="37"/>
  <c r="N102" i="37"/>
  <c r="I102" i="37"/>
  <c r="K102" i="37"/>
  <c r="I99" i="37"/>
  <c r="Q99" i="37"/>
  <c r="G99" i="37"/>
  <c r="H99" i="37"/>
  <c r="K99" i="37"/>
  <c r="J99" i="37"/>
  <c r="O99" i="37"/>
  <c r="N99" i="37"/>
  <c r="R99" i="37"/>
  <c r="M99" i="37"/>
  <c r="P99" i="37"/>
  <c r="F99" i="37"/>
  <c r="W99" i="37"/>
  <c r="Y50" i="38"/>
  <c r="Y16" i="15"/>
  <c r="Y32" i="15"/>
  <c r="Y28" i="15"/>
  <c r="Y24" i="15"/>
  <c r="Y20" i="15"/>
  <c r="Y35" i="15"/>
  <c r="Y31" i="15"/>
  <c r="Y27" i="15"/>
  <c r="Y23" i="15"/>
  <c r="I64" i="47"/>
  <c r="H159" i="47"/>
  <c r="H158" i="47"/>
  <c r="H160" i="47"/>
  <c r="G104" i="47"/>
  <c r="G106" i="47"/>
  <c r="G105" i="47"/>
  <c r="F195" i="47"/>
  <c r="F194" i="47"/>
  <c r="F196" i="47"/>
  <c r="F69" i="47"/>
  <c r="F68" i="47"/>
  <c r="F70" i="47"/>
  <c r="G86" i="47"/>
  <c r="G88" i="47"/>
  <c r="G87" i="47"/>
  <c r="F141" i="47"/>
  <c r="F140" i="47"/>
  <c r="F142" i="47"/>
  <c r="H82" i="47"/>
  <c r="H85" i="47" s="1"/>
  <c r="F123" i="47"/>
  <c r="F122" i="47"/>
  <c r="F124" i="47"/>
  <c r="H195" i="47"/>
  <c r="H194" i="47"/>
  <c r="H196" i="47"/>
  <c r="G158" i="47"/>
  <c r="G160" i="47"/>
  <c r="G159" i="47"/>
  <c r="F51" i="47"/>
  <c r="F50" i="47"/>
  <c r="F52" i="47"/>
  <c r="F159" i="47"/>
  <c r="F158" i="47"/>
  <c r="F160" i="47"/>
  <c r="H69" i="47"/>
  <c r="H68" i="47"/>
  <c r="H70" i="47"/>
  <c r="H141" i="47"/>
  <c r="H140" i="47"/>
  <c r="H142" i="47"/>
  <c r="H51" i="47"/>
  <c r="H50" i="47"/>
  <c r="H52" i="47"/>
  <c r="AS76" i="14"/>
  <c r="AS78" i="14"/>
  <c r="AS75" i="14"/>
  <c r="AS77" i="14"/>
  <c r="AS53" i="14"/>
  <c r="AS57" i="14"/>
  <c r="AS54" i="14"/>
  <c r="AS50" i="14"/>
  <c r="AS51" i="14"/>
  <c r="AS58" i="14"/>
  <c r="AS60" i="14"/>
  <c r="AS62" i="14"/>
  <c r="AS64" i="14"/>
  <c r="AS67" i="14"/>
  <c r="AS68" i="14"/>
  <c r="AS55" i="14"/>
  <c r="AS52" i="14"/>
  <c r="AS66" i="14"/>
  <c r="AS56" i="14"/>
  <c r="AS59" i="14"/>
  <c r="AS61" i="14"/>
  <c r="AS63" i="14"/>
  <c r="AS65" i="14"/>
  <c r="AS69" i="14"/>
  <c r="H33" i="47"/>
  <c r="H32" i="47"/>
  <c r="H34" i="47"/>
  <c r="F33" i="47"/>
  <c r="F32" i="47"/>
  <c r="F29" i="47" s="1"/>
  <c r="F8" i="47" s="1"/>
  <c r="AM7" i="14" s="1"/>
  <c r="F34" i="47"/>
  <c r="G32" i="47"/>
  <c r="G29" i="47" s="1"/>
  <c r="G8" i="47" s="1"/>
  <c r="AN7" i="14" s="1"/>
  <c r="G34" i="47"/>
  <c r="G33" i="47"/>
  <c r="Y19" i="15"/>
  <c r="W74" i="38"/>
  <c r="W75" i="38"/>
  <c r="X74" i="38"/>
  <c r="AB177" i="15"/>
  <c r="AB163" i="15"/>
  <c r="AB160" i="15"/>
  <c r="AB159" i="15"/>
  <c r="AB162" i="15"/>
  <c r="AB161" i="15"/>
  <c r="AB158" i="15"/>
  <c r="J284" i="43"/>
  <c r="J288" i="43"/>
  <c r="J292" i="43"/>
  <c r="J285" i="43"/>
  <c r="C160" i="50"/>
  <c r="J94" i="38"/>
  <c r="J293" i="43"/>
  <c r="J291" i="43"/>
  <c r="J275" i="43"/>
  <c r="J276" i="43"/>
  <c r="J286" i="43"/>
  <c r="J290" i="43"/>
  <c r="J281" i="43"/>
  <c r="J289" i="43"/>
  <c r="J287" i="43"/>
  <c r="Q274" i="43"/>
  <c r="R274" i="43"/>
  <c r="Q277" i="43"/>
  <c r="R277" i="43"/>
  <c r="Q282" i="43"/>
  <c r="R282" i="43"/>
  <c r="Q283" i="43"/>
  <c r="R283" i="43"/>
  <c r="Q280" i="43"/>
  <c r="R280" i="43"/>
  <c r="Q279" i="43"/>
  <c r="R279" i="43"/>
  <c r="Q278" i="43"/>
  <c r="R278" i="43"/>
  <c r="C186" i="50"/>
  <c r="C204" i="50"/>
  <c r="C232" i="50"/>
  <c r="C142" i="50"/>
  <c r="W268" i="50"/>
  <c r="C285" i="50" s="1"/>
  <c r="C106" i="50"/>
  <c r="C347" i="50"/>
  <c r="C447" i="50"/>
  <c r="C429" i="50"/>
  <c r="C401" i="50"/>
  <c r="C383" i="50"/>
  <c r="C132" i="50"/>
  <c r="Y51" i="38"/>
  <c r="Y54" i="38"/>
  <c r="J82" i="38"/>
  <c r="S74" i="38"/>
  <c r="I83" i="38" s="1"/>
  <c r="T74" i="38"/>
  <c r="D109" i="38" s="1"/>
  <c r="D108" i="38" s="1"/>
  <c r="O282" i="43"/>
  <c r="P282" i="43"/>
  <c r="O283" i="43"/>
  <c r="P283" i="43"/>
  <c r="O280" i="43"/>
  <c r="P280" i="43"/>
  <c r="O279" i="43"/>
  <c r="P279" i="43"/>
  <c r="P278" i="43"/>
  <c r="O278" i="43"/>
  <c r="O274" i="43"/>
  <c r="P274" i="43"/>
  <c r="O277" i="43"/>
  <c r="P277" i="43"/>
  <c r="C103" i="14"/>
  <c r="V78" i="37"/>
  <c r="B103" i="14"/>
  <c r="V77" i="37"/>
  <c r="D338" i="38"/>
  <c r="D336" i="38" s="1"/>
  <c r="E284" i="38"/>
  <c r="E290" i="38" s="1"/>
  <c r="E289" i="38" s="1"/>
  <c r="I94" i="38"/>
  <c r="V70" i="38"/>
  <c r="X73" i="38"/>
  <c r="I93" i="38"/>
  <c r="J93" i="38"/>
  <c r="U70" i="38"/>
  <c r="W73" i="38"/>
  <c r="V76" i="38"/>
  <c r="L85" i="38" s="1"/>
  <c r="U76" i="38"/>
  <c r="K85" i="38" s="1"/>
  <c r="V77" i="38"/>
  <c r="L86" i="38" s="1"/>
  <c r="I136" i="47"/>
  <c r="I139" i="47" s="1"/>
  <c r="D326" i="38"/>
  <c r="D324" i="38" s="1"/>
  <c r="D252" i="38"/>
  <c r="D240" i="38"/>
  <c r="D288" i="38"/>
  <c r="E152" i="38"/>
  <c r="F152" i="38" s="1"/>
  <c r="G223" i="56"/>
  <c r="D206" i="38"/>
  <c r="D278" i="38"/>
  <c r="E224" i="38"/>
  <c r="F224" i="38" s="1"/>
  <c r="J329" i="50"/>
  <c r="H150" i="50"/>
  <c r="H149" i="50" s="1"/>
  <c r="F150" i="50"/>
  <c r="F149" i="50" s="1"/>
  <c r="J142" i="50"/>
  <c r="I150" i="50"/>
  <c r="I149" i="50" s="1"/>
  <c r="K142" i="50"/>
  <c r="K150" i="50"/>
  <c r="K149" i="50" s="1"/>
  <c r="J150" i="50"/>
  <c r="J149" i="50" s="1"/>
  <c r="H142" i="50"/>
  <c r="F142" i="50"/>
  <c r="G142" i="50"/>
  <c r="G150" i="50"/>
  <c r="G149" i="50" s="1"/>
  <c r="I142" i="50"/>
  <c r="E164" i="38"/>
  <c r="E170" i="38" s="1"/>
  <c r="E169" i="38" s="1"/>
  <c r="C329" i="50"/>
  <c r="C321" i="50"/>
  <c r="C311" i="50"/>
  <c r="C303" i="50"/>
  <c r="C96" i="50"/>
  <c r="C88" i="50"/>
  <c r="C70" i="50"/>
  <c r="C78" i="50"/>
  <c r="K178" i="15"/>
  <c r="O178" i="15"/>
  <c r="J178" i="15"/>
  <c r="N178" i="15"/>
  <c r="M178" i="15"/>
  <c r="L178" i="15"/>
  <c r="H63" i="49"/>
  <c r="G182" i="49"/>
  <c r="H179" i="49"/>
  <c r="H111" i="49"/>
  <c r="G114" i="49"/>
  <c r="I190" i="47"/>
  <c r="J190" i="47" s="1"/>
  <c r="D181" i="47" s="1"/>
  <c r="I63" i="49"/>
  <c r="J60" i="49"/>
  <c r="J63" i="49" s="1"/>
  <c r="AJ229" i="50"/>
  <c r="AM229" i="50"/>
  <c r="AF228" i="50"/>
  <c r="AN228" i="50"/>
  <c r="AM226" i="50"/>
  <c r="AJ228" i="50"/>
  <c r="AE232" i="50"/>
  <c r="AF227" i="50"/>
  <c r="AR52" i="15"/>
  <c r="AP228" i="50"/>
  <c r="AN230" i="50"/>
  <c r="AP227" i="50"/>
  <c r="AP231" i="50"/>
  <c r="AQ229" i="50"/>
  <c r="AG229" i="50"/>
  <c r="AO232" i="50"/>
  <c r="AL230" i="50"/>
  <c r="AO230" i="50"/>
  <c r="E116" i="38"/>
  <c r="E122" i="38" s="1"/>
  <c r="D302" i="38"/>
  <c r="D300" i="38" s="1"/>
  <c r="AE62" i="37"/>
  <c r="AJ62" i="37"/>
  <c r="AM65" i="37"/>
  <c r="AE64" i="37"/>
  <c r="AJ64" i="37"/>
  <c r="AM67" i="37"/>
  <c r="AE59" i="37"/>
  <c r="AJ59" i="37"/>
  <c r="AI66" i="37"/>
  <c r="AF66" i="37"/>
  <c r="AN66" i="37"/>
  <c r="AI58" i="37"/>
  <c r="AF58" i="37"/>
  <c r="AN58" i="37"/>
  <c r="AI61" i="37"/>
  <c r="AF61" i="37"/>
  <c r="AN61" i="37"/>
  <c r="AI60" i="37"/>
  <c r="AF60" i="37"/>
  <c r="AN60" i="37"/>
  <c r="AI63" i="37"/>
  <c r="AF63" i="37"/>
  <c r="AN63" i="37"/>
  <c r="AS62" i="15"/>
  <c r="AN62" i="15"/>
  <c r="AI62" i="15"/>
  <c r="AL65" i="15"/>
  <c r="AK65" i="15"/>
  <c r="AI65" i="15"/>
  <c r="AS64" i="15"/>
  <c r="AN64" i="15"/>
  <c r="AI64" i="15"/>
  <c r="AR67" i="15"/>
  <c r="AL59" i="15"/>
  <c r="AN59" i="15"/>
  <c r="AQ59" i="15"/>
  <c r="AN66" i="15"/>
  <c r="AR66" i="15"/>
  <c r="AK66" i="15"/>
  <c r="AR58" i="15"/>
  <c r="AK58" i="15"/>
  <c r="AQ58" i="15"/>
  <c r="AR61" i="15"/>
  <c r="AS61" i="15"/>
  <c r="AT61" i="15"/>
  <c r="AN60" i="15"/>
  <c r="AQ60" i="15"/>
  <c r="AJ60" i="15"/>
  <c r="AP63" i="15"/>
  <c r="AJ63" i="15"/>
  <c r="AS63" i="15"/>
  <c r="AC62" i="37"/>
  <c r="AK62" i="37"/>
  <c r="AH62" i="37"/>
  <c r="AC65" i="37"/>
  <c r="AK65" i="37"/>
  <c r="AH65" i="37"/>
  <c r="AC64" i="37"/>
  <c r="AK64" i="37"/>
  <c r="AH64" i="37"/>
  <c r="AC67" i="37"/>
  <c r="AK67" i="37"/>
  <c r="AH67" i="37"/>
  <c r="AC59" i="37"/>
  <c r="AK59" i="37"/>
  <c r="AH59" i="37"/>
  <c r="AC66" i="37"/>
  <c r="AK66" i="37"/>
  <c r="AH66" i="37"/>
  <c r="AC58" i="37"/>
  <c r="AK58" i="37"/>
  <c r="AH58" i="37"/>
  <c r="AC61" i="37"/>
  <c r="AK61" i="37"/>
  <c r="AH61" i="37"/>
  <c r="AC60" i="37"/>
  <c r="AK60" i="37"/>
  <c r="AH60" i="37"/>
  <c r="AC63" i="37"/>
  <c r="AK63" i="37"/>
  <c r="AH63" i="37"/>
  <c r="AT62" i="15"/>
  <c r="AK62" i="15"/>
  <c r="AO62" i="15"/>
  <c r="AN65" i="15"/>
  <c r="AR65" i="15"/>
  <c r="AQ65" i="15"/>
  <c r="AT64" i="15"/>
  <c r="AR64" i="15"/>
  <c r="AO64" i="15"/>
  <c r="AP67" i="15"/>
  <c r="AQ67" i="15"/>
  <c r="AS59" i="15"/>
  <c r="AP59" i="15"/>
  <c r="AM59" i="15"/>
  <c r="AQ66" i="15"/>
  <c r="AS66" i="15"/>
  <c r="AI66" i="15"/>
  <c r="AM58" i="15"/>
  <c r="AL58" i="15"/>
  <c r="AI58" i="15"/>
  <c r="AL61" i="15"/>
  <c r="AM61" i="15"/>
  <c r="AI61" i="15"/>
  <c r="AP60" i="15"/>
  <c r="AR60" i="15"/>
  <c r="AI60" i="15"/>
  <c r="AM63" i="15"/>
  <c r="AL63" i="15"/>
  <c r="AI63" i="15"/>
  <c r="D134" i="38"/>
  <c r="D133" i="38" s="1"/>
  <c r="E212" i="38"/>
  <c r="E218" i="38" s="1"/>
  <c r="E217" i="38" s="1"/>
  <c r="D314" i="38"/>
  <c r="D312" i="38" s="1"/>
  <c r="F191" i="47"/>
  <c r="F17" i="47" s="1"/>
  <c r="AM16" i="14" s="1"/>
  <c r="H191" i="47"/>
  <c r="H17" i="47" s="1"/>
  <c r="AO16" i="14" s="1"/>
  <c r="H100" i="47"/>
  <c r="V43" i="50"/>
  <c r="G175" i="47"/>
  <c r="H172" i="47"/>
  <c r="E260" i="38"/>
  <c r="E266" i="38" s="1"/>
  <c r="E265" i="38" s="1"/>
  <c r="G121" i="47"/>
  <c r="H118" i="47"/>
  <c r="D146" i="38"/>
  <c r="E248" i="38"/>
  <c r="F248" i="38" s="1"/>
  <c r="D194" i="38"/>
  <c r="G131" i="49"/>
  <c r="H128" i="49"/>
  <c r="H162" i="49"/>
  <c r="G165" i="49"/>
  <c r="F188" i="38"/>
  <c r="F332" i="38"/>
  <c r="E338" i="38"/>
  <c r="F296" i="38"/>
  <c r="E302" i="38"/>
  <c r="F308" i="38"/>
  <c r="E314" i="38"/>
  <c r="F320" i="38"/>
  <c r="E326" i="38"/>
  <c r="F272" i="38"/>
  <c r="E278" i="38"/>
  <c r="E277" i="38" s="1"/>
  <c r="F236" i="38"/>
  <c r="E242" i="38"/>
  <c r="E241" i="38" s="1"/>
  <c r="D182" i="38"/>
  <c r="E31" i="1"/>
  <c r="H31" i="1" s="1"/>
  <c r="X1" i="49"/>
  <c r="E104" i="38"/>
  <c r="E134" i="38"/>
  <c r="F128" i="38"/>
  <c r="H97" i="49"/>
  <c r="I94" i="49"/>
  <c r="G17" i="1"/>
  <c r="D16" i="1"/>
  <c r="G16" i="1" s="1"/>
  <c r="E182" i="38"/>
  <c r="E181" i="38" s="1"/>
  <c r="F176" i="38"/>
  <c r="F200" i="38"/>
  <c r="E206" i="38"/>
  <c r="E205" i="38" s="1"/>
  <c r="F140" i="38"/>
  <c r="E146" i="38"/>
  <c r="J145" i="49"/>
  <c r="J148" i="49" s="1"/>
  <c r="I148" i="49"/>
  <c r="J64" i="47"/>
  <c r="J67" i="47" s="1"/>
  <c r="I67" i="47"/>
  <c r="J77" i="49"/>
  <c r="J80" i="49" s="1"/>
  <c r="I80" i="49"/>
  <c r="D117" i="53"/>
  <c r="B13" i="54"/>
  <c r="AI56" i="15"/>
  <c r="AL54" i="15"/>
  <c r="AQ54" i="15"/>
  <c r="AN56" i="15"/>
  <c r="AT56" i="15"/>
  <c r="AI57" i="15"/>
  <c r="AK56" i="15"/>
  <c r="AS54" i="15"/>
  <c r="AM54" i="15"/>
  <c r="J154" i="47"/>
  <c r="J157" i="47" s="1"/>
  <c r="I157" i="47"/>
  <c r="I162" i="51"/>
  <c r="H165" i="51"/>
  <c r="I43" i="51"/>
  <c r="H46" i="51"/>
  <c r="I111" i="51"/>
  <c r="H114" i="51"/>
  <c r="I145" i="51"/>
  <c r="H148" i="51"/>
  <c r="I80" i="51"/>
  <c r="J77" i="51"/>
  <c r="I26" i="51"/>
  <c r="H29" i="51"/>
  <c r="AQ57" i="15"/>
  <c r="AI234" i="50"/>
  <c r="AK52" i="15"/>
  <c r="AN231" i="50"/>
  <c r="AN227" i="50"/>
  <c r="J63" i="51"/>
  <c r="D53" i="51"/>
  <c r="AD9" i="14" s="1"/>
  <c r="H9" i="47"/>
  <c r="AO8" i="14" s="1"/>
  <c r="I43" i="49"/>
  <c r="H46" i="49"/>
  <c r="I128" i="51"/>
  <c r="H131" i="51"/>
  <c r="H97" i="51"/>
  <c r="I94" i="51"/>
  <c r="J46" i="47"/>
  <c r="I49" i="47"/>
  <c r="I31" i="47"/>
  <c r="J28" i="47"/>
  <c r="D19" i="47" s="1"/>
  <c r="F284" i="38" l="1"/>
  <c r="G284" i="38" s="1"/>
  <c r="E133" i="38"/>
  <c r="I82" i="47"/>
  <c r="I85" i="47" s="1"/>
  <c r="J136" i="47"/>
  <c r="J139" i="47" s="1"/>
  <c r="J141" i="47" s="1"/>
  <c r="I92" i="38"/>
  <c r="J321" i="50"/>
  <c r="V256" i="50"/>
  <c r="H339" i="50" s="1"/>
  <c r="G321" i="50"/>
  <c r="I321" i="50"/>
  <c r="H329" i="50"/>
  <c r="F321" i="50"/>
  <c r="I329" i="50"/>
  <c r="G329" i="50"/>
  <c r="F329" i="50"/>
  <c r="K321" i="50"/>
  <c r="K329" i="50"/>
  <c r="B105" i="14"/>
  <c r="C177" i="53" s="1"/>
  <c r="D123" i="53"/>
  <c r="AL67" i="14" s="1"/>
  <c r="G123" i="53"/>
  <c r="AO67" i="14" s="1"/>
  <c r="F123" i="53"/>
  <c r="AN67" i="14" s="1"/>
  <c r="D150" i="53"/>
  <c r="AL68" i="14" s="1"/>
  <c r="E150" i="53"/>
  <c r="AM68" i="14" s="1"/>
  <c r="I150" i="53"/>
  <c r="AQ68" i="14" s="1"/>
  <c r="I177" i="53"/>
  <c r="AQ69" i="14" s="1"/>
  <c r="G177" i="53"/>
  <c r="AO69" i="14" s="1"/>
  <c r="F177" i="53"/>
  <c r="AN69" i="14" s="1"/>
  <c r="G96" i="53"/>
  <c r="AO66" i="14" s="1"/>
  <c r="D96" i="53"/>
  <c r="AL66" i="14" s="1"/>
  <c r="H96" i="53"/>
  <c r="AP66" i="14" s="1"/>
  <c r="E123" i="53"/>
  <c r="AM67" i="14" s="1"/>
  <c r="I123" i="53"/>
  <c r="AQ67" i="14" s="1"/>
  <c r="H123" i="53"/>
  <c r="AP67" i="14" s="1"/>
  <c r="F150" i="53"/>
  <c r="AN68" i="14" s="1"/>
  <c r="G150" i="53"/>
  <c r="AO68" i="14" s="1"/>
  <c r="H150" i="53"/>
  <c r="AP68" i="14" s="1"/>
  <c r="E177" i="53"/>
  <c r="AM69" i="14" s="1"/>
  <c r="D177" i="53"/>
  <c r="AL69" i="14" s="1"/>
  <c r="H177" i="53"/>
  <c r="AP69" i="14" s="1"/>
  <c r="E96" i="53"/>
  <c r="AM66" i="14" s="1"/>
  <c r="I96" i="53"/>
  <c r="AQ66" i="14" s="1"/>
  <c r="F96" i="53"/>
  <c r="AN66" i="14" s="1"/>
  <c r="I366" i="3"/>
  <c r="AQ63" i="14" s="1"/>
  <c r="D258" i="3"/>
  <c r="AL60" i="14" s="1"/>
  <c r="F294" i="3"/>
  <c r="AN61" i="14" s="1"/>
  <c r="F366" i="3"/>
  <c r="AN63" i="14" s="1"/>
  <c r="F330" i="3"/>
  <c r="AN62" i="14" s="1"/>
  <c r="E294" i="3"/>
  <c r="AM61" i="14" s="1"/>
  <c r="H258" i="3"/>
  <c r="AP60" i="14" s="1"/>
  <c r="E330" i="3"/>
  <c r="AM62" i="14" s="1"/>
  <c r="I294" i="3"/>
  <c r="AQ61" i="14" s="1"/>
  <c r="H366" i="3"/>
  <c r="AP63" i="14" s="1"/>
  <c r="H330" i="3"/>
  <c r="AP62" i="14" s="1"/>
  <c r="I258" i="3"/>
  <c r="AQ60" i="14" s="1"/>
  <c r="F258" i="3"/>
  <c r="AN60" i="14" s="1"/>
  <c r="I402" i="3"/>
  <c r="AQ64" i="14" s="1"/>
  <c r="F402" i="3"/>
  <c r="AN64" i="14" s="1"/>
  <c r="E402" i="3"/>
  <c r="AM64" i="14" s="1"/>
  <c r="H294" i="3"/>
  <c r="AP61" i="14" s="1"/>
  <c r="E366" i="3"/>
  <c r="AM63" i="14" s="1"/>
  <c r="G330" i="3"/>
  <c r="AO62" i="14" s="1"/>
  <c r="D330" i="3"/>
  <c r="AL62" i="14" s="1"/>
  <c r="G258" i="3"/>
  <c r="AO60" i="14" s="1"/>
  <c r="G294" i="3"/>
  <c r="AO61" i="14" s="1"/>
  <c r="G366" i="3"/>
  <c r="AO63" i="14" s="1"/>
  <c r="D366" i="3"/>
  <c r="AL63" i="14" s="1"/>
  <c r="D294" i="3"/>
  <c r="AL61" i="14" s="1"/>
  <c r="E258" i="3"/>
  <c r="AM60" i="14" s="1"/>
  <c r="I330" i="3"/>
  <c r="AQ62" i="14" s="1"/>
  <c r="H402" i="3"/>
  <c r="AP64" i="14" s="1"/>
  <c r="D402" i="3"/>
  <c r="AL64" i="14" s="1"/>
  <c r="G402" i="3"/>
  <c r="AO64" i="14" s="1"/>
  <c r="C104" i="14"/>
  <c r="C109" i="14" s="1"/>
  <c r="C41" i="38" s="1"/>
  <c r="D124" i="53"/>
  <c r="AL105" i="14" s="1"/>
  <c r="G124" i="53"/>
  <c r="AO105" i="14" s="1"/>
  <c r="F124" i="53"/>
  <c r="AN105" i="14" s="1"/>
  <c r="D151" i="53"/>
  <c r="AL106" i="14" s="1"/>
  <c r="E151" i="53"/>
  <c r="AM106" i="14" s="1"/>
  <c r="I151" i="53"/>
  <c r="AQ106" i="14" s="1"/>
  <c r="I178" i="53"/>
  <c r="AQ107" i="14" s="1"/>
  <c r="G178" i="53"/>
  <c r="AO107" i="14" s="1"/>
  <c r="F178" i="53"/>
  <c r="AN107" i="14" s="1"/>
  <c r="G97" i="53"/>
  <c r="AO104" i="14" s="1"/>
  <c r="D97" i="53"/>
  <c r="AL104" i="14" s="1"/>
  <c r="H97" i="53"/>
  <c r="AP104" i="14" s="1"/>
  <c r="E124" i="53"/>
  <c r="AM105" i="14" s="1"/>
  <c r="I124" i="53"/>
  <c r="AQ105" i="14" s="1"/>
  <c r="H124" i="53"/>
  <c r="AP105" i="14" s="1"/>
  <c r="F151" i="53"/>
  <c r="AN106" i="14" s="1"/>
  <c r="G151" i="53"/>
  <c r="AO106" i="14" s="1"/>
  <c r="H151" i="53"/>
  <c r="AP106" i="14" s="1"/>
  <c r="E178" i="53"/>
  <c r="AM107" i="14" s="1"/>
  <c r="D178" i="53"/>
  <c r="AL107" i="14" s="1"/>
  <c r="H178" i="53"/>
  <c r="AP107" i="14" s="1"/>
  <c r="E97" i="53"/>
  <c r="AM104" i="14" s="1"/>
  <c r="I97" i="53"/>
  <c r="AQ104" i="14" s="1"/>
  <c r="F97" i="53"/>
  <c r="AN104" i="14" s="1"/>
  <c r="I367" i="3"/>
  <c r="AQ101" i="14" s="1"/>
  <c r="F295" i="3"/>
  <c r="AN99" i="14" s="1"/>
  <c r="F367" i="3"/>
  <c r="AN101" i="14" s="1"/>
  <c r="F331" i="3"/>
  <c r="AN100" i="14" s="1"/>
  <c r="E295" i="3"/>
  <c r="AM99" i="14" s="1"/>
  <c r="H259" i="3"/>
  <c r="AP98" i="14" s="1"/>
  <c r="E331" i="3"/>
  <c r="AM100" i="14" s="1"/>
  <c r="I295" i="3"/>
  <c r="AQ99" i="14" s="1"/>
  <c r="H367" i="3"/>
  <c r="AP101" i="14" s="1"/>
  <c r="H331" i="3"/>
  <c r="AP100" i="14" s="1"/>
  <c r="I259" i="3"/>
  <c r="AQ98" i="14" s="1"/>
  <c r="F259" i="3"/>
  <c r="AN98" i="14" s="1"/>
  <c r="I403" i="3"/>
  <c r="AQ102" i="14" s="1"/>
  <c r="F403" i="3"/>
  <c r="AN102" i="14" s="1"/>
  <c r="E403" i="3"/>
  <c r="AM102" i="14" s="1"/>
  <c r="H295" i="3"/>
  <c r="AP99" i="14" s="1"/>
  <c r="E367" i="3"/>
  <c r="AM101" i="14" s="1"/>
  <c r="G331" i="3"/>
  <c r="AO100" i="14" s="1"/>
  <c r="D331" i="3"/>
  <c r="AL100" i="14" s="1"/>
  <c r="G259" i="3"/>
  <c r="AO98" i="14" s="1"/>
  <c r="G295" i="3"/>
  <c r="AO99" i="14" s="1"/>
  <c r="G367" i="3"/>
  <c r="AO101" i="14" s="1"/>
  <c r="D367" i="3"/>
  <c r="AL101" i="14" s="1"/>
  <c r="D295" i="3"/>
  <c r="AL99" i="14" s="1"/>
  <c r="E259" i="3"/>
  <c r="AM98" i="14" s="1"/>
  <c r="I331" i="3"/>
  <c r="AQ100" i="14" s="1"/>
  <c r="H403" i="3"/>
  <c r="AP102" i="14" s="1"/>
  <c r="D403" i="3"/>
  <c r="AL102" i="14" s="1"/>
  <c r="G403" i="3"/>
  <c r="AO102" i="14" s="1"/>
  <c r="D259" i="3"/>
  <c r="AL98" i="14" s="1"/>
  <c r="D223" i="3"/>
  <c r="AL97" i="14" s="1"/>
  <c r="D259" i="56"/>
  <c r="AL88" i="14" s="1"/>
  <c r="D222" i="3"/>
  <c r="AL59" i="14" s="1"/>
  <c r="D205" i="38"/>
  <c r="D204" i="38" s="1"/>
  <c r="D277" i="38"/>
  <c r="D276" i="38" s="1"/>
  <c r="J92" i="38"/>
  <c r="E158" i="38"/>
  <c r="I91" i="38"/>
  <c r="D181" i="38"/>
  <c r="D180" i="38" s="1"/>
  <c r="D193" i="38"/>
  <c r="D192" i="38" s="1"/>
  <c r="H331" i="56"/>
  <c r="AP90" i="14" s="1"/>
  <c r="E331" i="56"/>
  <c r="AM90" i="14" s="1"/>
  <c r="F295" i="56"/>
  <c r="AN89" i="14" s="1"/>
  <c r="D403" i="56"/>
  <c r="AL92" i="14" s="1"/>
  <c r="I259" i="56"/>
  <c r="AQ88" i="14" s="1"/>
  <c r="G403" i="56"/>
  <c r="AO92" i="14" s="1"/>
  <c r="I222" i="56"/>
  <c r="AQ49" i="14" s="1"/>
  <c r="J91" i="38"/>
  <c r="D108" i="56"/>
  <c r="C294" i="56"/>
  <c r="C295" i="56"/>
  <c r="F223" i="56"/>
  <c r="AN87" i="14" s="1"/>
  <c r="H259" i="56"/>
  <c r="AP88" i="14" s="1"/>
  <c r="D331" i="56"/>
  <c r="AL90" i="14" s="1"/>
  <c r="F367" i="56"/>
  <c r="AN91" i="14" s="1"/>
  <c r="H403" i="56"/>
  <c r="AP92" i="14" s="1"/>
  <c r="E259" i="56"/>
  <c r="AM88" i="14" s="1"/>
  <c r="G295" i="56"/>
  <c r="AO89" i="14" s="1"/>
  <c r="E367" i="56"/>
  <c r="AM91" i="14" s="1"/>
  <c r="F258" i="56"/>
  <c r="AN50" i="14" s="1"/>
  <c r="C223" i="56"/>
  <c r="C222" i="56"/>
  <c r="D223" i="56"/>
  <c r="AL87" i="14" s="1"/>
  <c r="H223" i="56"/>
  <c r="AP87" i="14" s="1"/>
  <c r="F259" i="56"/>
  <c r="AN88" i="14" s="1"/>
  <c r="D295" i="56"/>
  <c r="AL89" i="14" s="1"/>
  <c r="H295" i="56"/>
  <c r="AP89" i="14" s="1"/>
  <c r="F331" i="56"/>
  <c r="AN90" i="14" s="1"/>
  <c r="D367" i="56"/>
  <c r="AL91" i="14" s="1"/>
  <c r="H367" i="56"/>
  <c r="AP91" i="14" s="1"/>
  <c r="F403" i="56"/>
  <c r="AN92" i="14" s="1"/>
  <c r="E223" i="56"/>
  <c r="AM87" i="14" s="1"/>
  <c r="I223" i="56"/>
  <c r="AQ87" i="14" s="1"/>
  <c r="G259" i="56"/>
  <c r="AO88" i="14" s="1"/>
  <c r="E295" i="56"/>
  <c r="AM89" i="14" s="1"/>
  <c r="I295" i="56"/>
  <c r="AQ89" i="14" s="1"/>
  <c r="G331" i="56"/>
  <c r="AO90" i="14" s="1"/>
  <c r="I367" i="56"/>
  <c r="AQ91" i="14" s="1"/>
  <c r="D222" i="56"/>
  <c r="AL49" i="14" s="1"/>
  <c r="D366" i="56"/>
  <c r="AL53" i="14" s="1"/>
  <c r="G402" i="56"/>
  <c r="AO54" i="14" s="1"/>
  <c r="B108" i="14"/>
  <c r="C36" i="38" s="1"/>
  <c r="I140" i="47"/>
  <c r="I142" i="47"/>
  <c r="I141" i="47"/>
  <c r="H87" i="47"/>
  <c r="H86" i="47"/>
  <c r="H88" i="47"/>
  <c r="J159" i="47"/>
  <c r="J158" i="47"/>
  <c r="J160" i="47"/>
  <c r="J69" i="47"/>
  <c r="J68" i="47"/>
  <c r="J70" i="47"/>
  <c r="G176" i="47"/>
  <c r="G178" i="47"/>
  <c r="G177" i="47"/>
  <c r="I50" i="47"/>
  <c r="I52" i="47"/>
  <c r="I51" i="47"/>
  <c r="I158" i="47"/>
  <c r="I160" i="47"/>
  <c r="I159" i="47"/>
  <c r="I68" i="47"/>
  <c r="I70" i="47"/>
  <c r="I69" i="47"/>
  <c r="G122" i="47"/>
  <c r="G124" i="47"/>
  <c r="G123" i="47"/>
  <c r="I32" i="47"/>
  <c r="I34" i="47"/>
  <c r="I33" i="47"/>
  <c r="I331" i="56"/>
  <c r="AQ90" i="14" s="1"/>
  <c r="G367" i="56"/>
  <c r="AO91" i="14" s="1"/>
  <c r="E403" i="56"/>
  <c r="AM92" i="14" s="1"/>
  <c r="I403" i="56"/>
  <c r="AQ92" i="14" s="1"/>
  <c r="H222" i="56"/>
  <c r="AP49" i="14" s="1"/>
  <c r="H294" i="56"/>
  <c r="AP51" i="14" s="1"/>
  <c r="F402" i="56"/>
  <c r="AN54" i="14" s="1"/>
  <c r="E294" i="56"/>
  <c r="AM51" i="14" s="1"/>
  <c r="C107" i="14"/>
  <c r="C174" i="53" s="1"/>
  <c r="C108" i="14"/>
  <c r="F222" i="56"/>
  <c r="AN49" i="14" s="1"/>
  <c r="D258" i="56"/>
  <c r="AL50" i="14" s="1"/>
  <c r="D294" i="56"/>
  <c r="AL51" i="14" s="1"/>
  <c r="F330" i="56"/>
  <c r="AN52" i="14" s="1"/>
  <c r="H366" i="56"/>
  <c r="AP53" i="14" s="1"/>
  <c r="E222" i="56"/>
  <c r="AM49" i="14" s="1"/>
  <c r="G258" i="56"/>
  <c r="AO50" i="14" s="1"/>
  <c r="G330" i="56"/>
  <c r="AO52" i="14" s="1"/>
  <c r="I294" i="56"/>
  <c r="AQ51" i="14" s="1"/>
  <c r="E366" i="56"/>
  <c r="AM53" i="14" s="1"/>
  <c r="H258" i="56"/>
  <c r="AP50" i="14" s="1"/>
  <c r="F294" i="56"/>
  <c r="AN51" i="14" s="1"/>
  <c r="D330" i="56"/>
  <c r="AL52" i="14" s="1"/>
  <c r="H330" i="56"/>
  <c r="AP52" i="14" s="1"/>
  <c r="F366" i="56"/>
  <c r="AN53" i="14" s="1"/>
  <c r="D402" i="56"/>
  <c r="AL54" i="14" s="1"/>
  <c r="H402" i="56"/>
  <c r="AP54" i="14" s="1"/>
  <c r="G222" i="56"/>
  <c r="AO49" i="14" s="1"/>
  <c r="E258" i="56"/>
  <c r="AM50" i="14" s="1"/>
  <c r="I258" i="56"/>
  <c r="AQ50" i="14" s="1"/>
  <c r="G294" i="56"/>
  <c r="AO51" i="14" s="1"/>
  <c r="E330" i="56"/>
  <c r="AM52" i="14" s="1"/>
  <c r="I330" i="56"/>
  <c r="AQ52" i="14" s="1"/>
  <c r="I366" i="56"/>
  <c r="AQ53" i="14" s="1"/>
  <c r="B107" i="14"/>
  <c r="C90" i="53" s="1"/>
  <c r="B104" i="14"/>
  <c r="B109" i="14" s="1"/>
  <c r="J278" i="43"/>
  <c r="J279" i="43"/>
  <c r="J280" i="43"/>
  <c r="J283" i="43"/>
  <c r="J282" i="43"/>
  <c r="J277" i="43"/>
  <c r="Q294" i="43"/>
  <c r="J274" i="43"/>
  <c r="C293" i="50"/>
  <c r="D132" i="38"/>
  <c r="D145" i="38"/>
  <c r="D144" i="38" s="1"/>
  <c r="E145" i="38"/>
  <c r="E144" i="38" s="1"/>
  <c r="J83" i="38"/>
  <c r="D121" i="38"/>
  <c r="D120" i="38" s="1"/>
  <c r="D157" i="38"/>
  <c r="D156" i="38" s="1"/>
  <c r="E157" i="38"/>
  <c r="E121" i="38"/>
  <c r="E120" i="38" s="1"/>
  <c r="G366" i="56"/>
  <c r="AO53" i="14" s="1"/>
  <c r="E402" i="56"/>
  <c r="AM54" i="14" s="1"/>
  <c r="I402" i="56"/>
  <c r="AQ54" i="14" s="1"/>
  <c r="C105" i="14"/>
  <c r="C259" i="3" s="1"/>
  <c r="E230" i="38"/>
  <c r="E229" i="38" s="1"/>
  <c r="J90" i="38"/>
  <c r="H38" i="50" s="1"/>
  <c r="I90" i="38"/>
  <c r="G38" i="50" s="1"/>
  <c r="U77" i="38"/>
  <c r="K86" i="38" s="1"/>
  <c r="V73" i="38"/>
  <c r="L82" i="38" s="1"/>
  <c r="U73" i="38"/>
  <c r="K82" i="38" s="1"/>
  <c r="V74" i="38"/>
  <c r="L83" i="38" s="1"/>
  <c r="U74" i="38"/>
  <c r="K83" i="38" s="1"/>
  <c r="V75" i="38"/>
  <c r="L84" i="38" s="1"/>
  <c r="U75" i="38"/>
  <c r="K84" i="38" s="1"/>
  <c r="AN57" i="15"/>
  <c r="AN54" i="15"/>
  <c r="AL53" i="15"/>
  <c r="AL52" i="15"/>
  <c r="AN234" i="50"/>
  <c r="AE227" i="50"/>
  <c r="AF231" i="50"/>
  <c r="AJ233" i="50"/>
  <c r="AH231" i="50"/>
  <c r="AI228" i="50"/>
  <c r="AW228" i="50" s="1"/>
  <c r="AF234" i="50"/>
  <c r="AG234" i="50"/>
  <c r="AQ226" i="50"/>
  <c r="AP232" i="50"/>
  <c r="AO234" i="50"/>
  <c r="AL226" i="50"/>
  <c r="AJ230" i="50"/>
  <c r="AJ234" i="50"/>
  <c r="AM227" i="50"/>
  <c r="AT227" i="50" s="1"/>
  <c r="AF229" i="50"/>
  <c r="AT229" i="50" s="1"/>
  <c r="AE231" i="50"/>
  <c r="AQ52" i="15"/>
  <c r="AU26" i="50"/>
  <c r="AN52" i="15"/>
  <c r="AP52" i="15"/>
  <c r="AT52" i="15"/>
  <c r="AW24" i="50"/>
  <c r="AG228" i="50"/>
  <c r="AU228" i="50" s="1"/>
  <c r="AE234" i="50"/>
  <c r="AH230" i="50"/>
  <c r="AV230" i="50" s="1"/>
  <c r="AG230" i="50"/>
  <c r="AU230" i="50" s="1"/>
  <c r="AG227" i="50"/>
  <c r="AU227" i="50" s="1"/>
  <c r="AL229" i="50"/>
  <c r="AO233" i="50"/>
  <c r="AO229" i="50"/>
  <c r="AW240" i="50"/>
  <c r="AG231" i="50"/>
  <c r="AU231" i="50" s="1"/>
  <c r="AH229" i="50"/>
  <c r="AM228" i="50"/>
  <c r="AT228" i="50" s="1"/>
  <c r="AG232" i="50"/>
  <c r="AN232" i="50"/>
  <c r="AL234" i="50"/>
  <c r="AH226" i="50"/>
  <c r="AJ226" i="50"/>
  <c r="AQ230" i="50"/>
  <c r="AV23" i="50"/>
  <c r="AO226" i="50"/>
  <c r="AQ227" i="50"/>
  <c r="AP233" i="50"/>
  <c r="AQ228" i="50"/>
  <c r="AX228" i="50" s="1"/>
  <c r="AI62" i="37"/>
  <c r="AF62" i="37"/>
  <c r="AN62" i="37"/>
  <c r="AI65" i="37"/>
  <c r="AF65" i="37"/>
  <c r="AN65" i="37"/>
  <c r="AI64" i="37"/>
  <c r="AF64" i="37"/>
  <c r="AN64" i="37"/>
  <c r="AI67" i="37"/>
  <c r="AF67" i="37"/>
  <c r="AN67" i="37"/>
  <c r="AI59" i="37"/>
  <c r="AF59" i="37"/>
  <c r="AN59" i="37"/>
  <c r="AL228" i="50"/>
  <c r="AI230" i="50"/>
  <c r="AS26" i="50"/>
  <c r="AP230" i="50"/>
  <c r="AN226" i="50"/>
  <c r="AI54" i="15"/>
  <c r="AR54" i="15"/>
  <c r="AL56" i="15"/>
  <c r="AP54" i="15"/>
  <c r="AJ56" i="15"/>
  <c r="AP57" i="15"/>
  <c r="AJ54" i="15"/>
  <c r="AO54" i="15"/>
  <c r="AT54" i="15"/>
  <c r="AS56" i="15"/>
  <c r="AS57" i="15"/>
  <c r="AK63" i="15"/>
  <c r="AQ63" i="15"/>
  <c r="AO63" i="15"/>
  <c r="AO60" i="15"/>
  <c r="AT60" i="15"/>
  <c r="AS60" i="15"/>
  <c r="AK61" i="15"/>
  <c r="AO61" i="15"/>
  <c r="AJ61" i="15"/>
  <c r="AO58" i="15"/>
  <c r="AS58" i="15"/>
  <c r="AJ58" i="15"/>
  <c r="AM66" i="15"/>
  <c r="AJ66" i="15"/>
  <c r="AP66" i="15"/>
  <c r="AR59" i="15"/>
  <c r="AJ59" i="15"/>
  <c r="AT59" i="15"/>
  <c r="AT67" i="15"/>
  <c r="AK64" i="15"/>
  <c r="AM64" i="15"/>
  <c r="AQ64" i="15"/>
  <c r="AT65" i="15"/>
  <c r="AS65" i="15"/>
  <c r="AP65" i="15"/>
  <c r="AQ62" i="15"/>
  <c r="AP62" i="15"/>
  <c r="AR62" i="15"/>
  <c r="AL63" i="37"/>
  <c r="AD63" i="37"/>
  <c r="AG63" i="37"/>
  <c r="AL60" i="37"/>
  <c r="AD60" i="37"/>
  <c r="AG60" i="37"/>
  <c r="AL61" i="37"/>
  <c r="AD61" i="37"/>
  <c r="AG61" i="37"/>
  <c r="AL58" i="37"/>
  <c r="AD58" i="37"/>
  <c r="AG58" i="37"/>
  <c r="AL66" i="37"/>
  <c r="AD66" i="37"/>
  <c r="AG66" i="37"/>
  <c r="AL59" i="37"/>
  <c r="AD59" i="37"/>
  <c r="AG59" i="37"/>
  <c r="AL67" i="37"/>
  <c r="AD67" i="37"/>
  <c r="AG67" i="37"/>
  <c r="AL64" i="37"/>
  <c r="AD64" i="37"/>
  <c r="AG64" i="37"/>
  <c r="AL65" i="37"/>
  <c r="AD65" i="37"/>
  <c r="AG65" i="37"/>
  <c r="AL62" i="37"/>
  <c r="AD62" i="37"/>
  <c r="AG62" i="37"/>
  <c r="AR63" i="15"/>
  <c r="AT63" i="15"/>
  <c r="AN63" i="15"/>
  <c r="AL60" i="15"/>
  <c r="AM60" i="15"/>
  <c r="AK60" i="15"/>
  <c r="AP61" i="15"/>
  <c r="AN61" i="15"/>
  <c r="AQ61" i="15"/>
  <c r="AT58" i="15"/>
  <c r="AN58" i="15"/>
  <c r="AP58" i="15"/>
  <c r="AT66" i="15"/>
  <c r="AL66" i="15"/>
  <c r="AO66" i="15"/>
  <c r="AI59" i="15"/>
  <c r="AO59" i="15"/>
  <c r="AK59" i="15"/>
  <c r="AS67" i="15"/>
  <c r="AO67" i="15"/>
  <c r="AJ64" i="15"/>
  <c r="AP64" i="15"/>
  <c r="AL64" i="15"/>
  <c r="AM65" i="15"/>
  <c r="AJ65" i="15"/>
  <c r="AO65" i="15"/>
  <c r="AM62" i="15"/>
  <c r="AJ62" i="15"/>
  <c r="AL62" i="15"/>
  <c r="AJ63" i="37"/>
  <c r="AM63" i="37"/>
  <c r="AE63" i="37"/>
  <c r="AJ60" i="37"/>
  <c r="AM60" i="37"/>
  <c r="AE60" i="37"/>
  <c r="AJ61" i="37"/>
  <c r="AM61" i="37"/>
  <c r="AE61" i="37"/>
  <c r="AJ58" i="37"/>
  <c r="AM58" i="37"/>
  <c r="AE58" i="37"/>
  <c r="AJ66" i="37"/>
  <c r="AM66" i="37"/>
  <c r="AE66" i="37"/>
  <c r="AM59" i="37"/>
  <c r="AJ67" i="37"/>
  <c r="AE67" i="37"/>
  <c r="AM64" i="37"/>
  <c r="AJ65" i="37"/>
  <c r="AE65" i="37"/>
  <c r="AM62" i="37"/>
  <c r="AI231" i="50"/>
  <c r="AW231" i="50" s="1"/>
  <c r="AS23" i="50"/>
  <c r="AP226" i="50"/>
  <c r="AT239" i="50"/>
  <c r="AM234" i="50"/>
  <c r="AF233" i="50"/>
  <c r="AH227" i="50"/>
  <c r="AI233" i="50"/>
  <c r="AL233" i="50"/>
  <c r="AQ231" i="50"/>
  <c r="AJ232" i="50"/>
  <c r="AH232" i="50"/>
  <c r="AV232" i="50" s="1"/>
  <c r="AX15" i="50"/>
  <c r="AT14" i="50"/>
  <c r="AO52" i="15"/>
  <c r="AN233" i="50"/>
  <c r="AH234" i="50"/>
  <c r="AG226" i="50"/>
  <c r="AQ232" i="50"/>
  <c r="AM230" i="50"/>
  <c r="AL227" i="50"/>
  <c r="AJ55" i="15"/>
  <c r="B106" i="14"/>
  <c r="C150" i="53"/>
  <c r="C186" i="3"/>
  <c r="C78" i="56"/>
  <c r="AJ57" i="15"/>
  <c r="AI53" i="15"/>
  <c r="AP229" i="50"/>
  <c r="AI55" i="15"/>
  <c r="AR55" i="15"/>
  <c r="AL55" i="15"/>
  <c r="AM53" i="15"/>
  <c r="AR57" i="15"/>
  <c r="AN229" i="50"/>
  <c r="AU229" i="50" s="1"/>
  <c r="AO227" i="50"/>
  <c r="F164" i="38"/>
  <c r="G164" i="38" s="1"/>
  <c r="I347" i="50"/>
  <c r="H168" i="50"/>
  <c r="H167" i="50" s="1"/>
  <c r="J168" i="50"/>
  <c r="J167" i="50" s="1"/>
  <c r="H160" i="50"/>
  <c r="F160" i="50"/>
  <c r="G160" i="50"/>
  <c r="K168" i="50"/>
  <c r="K167" i="50" s="1"/>
  <c r="G168" i="50"/>
  <c r="G167" i="50" s="1"/>
  <c r="F168" i="50"/>
  <c r="F167" i="50" s="1"/>
  <c r="J160" i="50"/>
  <c r="I168" i="50"/>
  <c r="I167" i="50" s="1"/>
  <c r="K160" i="50"/>
  <c r="I160" i="50"/>
  <c r="AI229" i="50"/>
  <c r="AO231" i="50"/>
  <c r="F260" i="38"/>
  <c r="F266" i="38" s="1"/>
  <c r="F265" i="38" s="1"/>
  <c r="E284" i="15"/>
  <c r="AM232" i="50"/>
  <c r="E248" i="15"/>
  <c r="E272" i="15"/>
  <c r="Q178" i="15"/>
  <c r="P178" i="15"/>
  <c r="E224" i="15"/>
  <c r="E236" i="15"/>
  <c r="E296" i="15"/>
  <c r="E200" i="15"/>
  <c r="E212" i="15"/>
  <c r="AO228" i="50"/>
  <c r="AE230" i="50"/>
  <c r="AS230" i="50" s="1"/>
  <c r="AI52" i="15"/>
  <c r="AO55" i="15"/>
  <c r="AN53" i="15"/>
  <c r="AK57" i="15"/>
  <c r="AF230" i="50"/>
  <c r="AJ52" i="15"/>
  <c r="AS52" i="15"/>
  <c r="AV17" i="50"/>
  <c r="AT53" i="15"/>
  <c r="AQ53" i="15"/>
  <c r="AO53" i="15"/>
  <c r="AL57" i="15"/>
  <c r="AR53" i="15"/>
  <c r="AK55" i="15"/>
  <c r="AT57" i="15"/>
  <c r="AM55" i="15"/>
  <c r="AN55" i="15"/>
  <c r="AM57" i="15"/>
  <c r="AM56" i="15"/>
  <c r="AP234" i="50"/>
  <c r="AW234" i="50" s="1"/>
  <c r="AP53" i="15"/>
  <c r="AQ233" i="50"/>
  <c r="AL231" i="50"/>
  <c r="AM233" i="50"/>
  <c r="AE233" i="50"/>
  <c r="AF232" i="50"/>
  <c r="AQ234" i="50"/>
  <c r="AE228" i="50"/>
  <c r="AS17" i="50"/>
  <c r="AW18" i="50"/>
  <c r="AT17" i="50"/>
  <c r="AO57" i="15"/>
  <c r="AS53" i="15"/>
  <c r="AS55" i="15"/>
  <c r="AO56" i="15"/>
  <c r="J193" i="47"/>
  <c r="AB16" i="14"/>
  <c r="I193" i="47"/>
  <c r="AE229" i="50"/>
  <c r="AM52" i="15"/>
  <c r="AX16" i="50"/>
  <c r="AP55" i="15"/>
  <c r="AT55" i="15"/>
  <c r="AR56" i="15"/>
  <c r="AJ53" i="15"/>
  <c r="AK53" i="15"/>
  <c r="AK54" i="15"/>
  <c r="AP56" i="15"/>
  <c r="AI226" i="50"/>
  <c r="AM231" i="50"/>
  <c r="AH228" i="50"/>
  <c r="AJ231" i="50"/>
  <c r="I179" i="49"/>
  <c r="H182" i="49"/>
  <c r="H114" i="49"/>
  <c r="I111" i="49"/>
  <c r="AX229" i="50"/>
  <c r="AW30" i="50"/>
  <c r="AX242" i="50"/>
  <c r="AE226" i="50"/>
  <c r="AG233" i="50"/>
  <c r="AQ56" i="15"/>
  <c r="AQ55" i="15"/>
  <c r="AJ227" i="50"/>
  <c r="AW16" i="50"/>
  <c r="F212" i="38"/>
  <c r="F218" i="38" s="1"/>
  <c r="F217" i="38" s="1"/>
  <c r="F116" i="38"/>
  <c r="E254" i="38"/>
  <c r="E253" i="38" s="1"/>
  <c r="I100" i="47"/>
  <c r="H103" i="47"/>
  <c r="W143" i="50"/>
  <c r="H141" i="50"/>
  <c r="W145" i="50"/>
  <c r="J141" i="50"/>
  <c r="W142" i="50"/>
  <c r="G141" i="50"/>
  <c r="I141" i="50"/>
  <c r="W144" i="50"/>
  <c r="W146" i="50"/>
  <c r="K141" i="50"/>
  <c r="W141" i="50"/>
  <c r="F141" i="50"/>
  <c r="V44" i="50"/>
  <c r="H175" i="47"/>
  <c r="I172" i="47"/>
  <c r="H29" i="47"/>
  <c r="H8" i="47" s="1"/>
  <c r="AO7" i="14" s="1"/>
  <c r="H131" i="49"/>
  <c r="I128" i="49"/>
  <c r="I118" i="47"/>
  <c r="H121" i="47"/>
  <c r="H165" i="49"/>
  <c r="I162" i="49"/>
  <c r="G188" i="38"/>
  <c r="F194" i="38"/>
  <c r="F193" i="38" s="1"/>
  <c r="E264" i="38"/>
  <c r="F242" i="38"/>
  <c r="F241" i="38" s="1"/>
  <c r="G236" i="38"/>
  <c r="F290" i="38"/>
  <c r="F289" i="38" s="1"/>
  <c r="G224" i="38"/>
  <c r="F230" i="38"/>
  <c r="F229" i="38" s="1"/>
  <c r="F278" i="38"/>
  <c r="F277" i="38" s="1"/>
  <c r="G272" i="38"/>
  <c r="G320" i="38"/>
  <c r="F326" i="38"/>
  <c r="F314" i="38"/>
  <c r="G308" i="38"/>
  <c r="F254" i="38"/>
  <c r="F253" i="38" s="1"/>
  <c r="G248" i="38"/>
  <c r="F302" i="38"/>
  <c r="G296" i="38"/>
  <c r="F338" i="38"/>
  <c r="G332" i="38"/>
  <c r="F104" i="38"/>
  <c r="E110" i="38"/>
  <c r="E109" i="38" s="1"/>
  <c r="G128" i="38"/>
  <c r="F134" i="38"/>
  <c r="F133" i="38" s="1"/>
  <c r="E132" i="38"/>
  <c r="I97" i="49"/>
  <c r="J94" i="49"/>
  <c r="J97" i="49" s="1"/>
  <c r="G176" i="38"/>
  <c r="F182" i="38"/>
  <c r="F181" i="38" s="1"/>
  <c r="G140" i="38"/>
  <c r="F146" i="38"/>
  <c r="F145" i="38" s="1"/>
  <c r="F158" i="38"/>
  <c r="F157" i="38" s="1"/>
  <c r="G152" i="38"/>
  <c r="G200" i="38"/>
  <c r="F206" i="38"/>
  <c r="F205" i="38" s="1"/>
  <c r="AO87" i="14"/>
  <c r="J80" i="51"/>
  <c r="D70" i="51"/>
  <c r="AD10" i="14" s="1"/>
  <c r="J145" i="51"/>
  <c r="J148" i="51" s="1"/>
  <c r="I148" i="51"/>
  <c r="J111" i="51"/>
  <c r="J114" i="51" s="1"/>
  <c r="I114" i="51"/>
  <c r="I46" i="51"/>
  <c r="J43" i="51"/>
  <c r="J162" i="51"/>
  <c r="J165" i="51" s="1"/>
  <c r="I165" i="51"/>
  <c r="I29" i="51"/>
  <c r="J26" i="51"/>
  <c r="J49" i="47"/>
  <c r="AB8" i="14"/>
  <c r="J9" i="47"/>
  <c r="AQ8" i="14" s="1"/>
  <c r="J128" i="51"/>
  <c r="J131" i="51" s="1"/>
  <c r="I131" i="51"/>
  <c r="J43" i="49"/>
  <c r="J46" i="49" s="1"/>
  <c r="I46" i="49"/>
  <c r="J82" i="47"/>
  <c r="J85" i="47" s="1"/>
  <c r="I9" i="47"/>
  <c r="AP8" i="14" s="1"/>
  <c r="J94" i="51"/>
  <c r="J97" i="51" s="1"/>
  <c r="I97" i="51"/>
  <c r="J31" i="47"/>
  <c r="AB7" i="14"/>
  <c r="C403" i="3" l="1"/>
  <c r="C111" i="56"/>
  <c r="C112" i="56" s="1"/>
  <c r="C330" i="56"/>
  <c r="C366" i="3"/>
  <c r="C97" i="53"/>
  <c r="C79" i="56"/>
  <c r="C186" i="56"/>
  <c r="C402" i="56"/>
  <c r="C150" i="3"/>
  <c r="C222" i="3"/>
  <c r="C330" i="3"/>
  <c r="C96" i="53"/>
  <c r="C216" i="3"/>
  <c r="C115" i="3"/>
  <c r="C288" i="56"/>
  <c r="C399" i="3"/>
  <c r="C400" i="3" s="1"/>
  <c r="C252" i="3"/>
  <c r="C331" i="56"/>
  <c r="J339" i="50"/>
  <c r="J347" i="50"/>
  <c r="J140" i="47"/>
  <c r="J142" i="47"/>
  <c r="I339" i="50"/>
  <c r="H347" i="50"/>
  <c r="F339" i="50"/>
  <c r="V257" i="50"/>
  <c r="J365" i="50" s="1"/>
  <c r="J364" i="50" s="1"/>
  <c r="K339" i="50"/>
  <c r="G347" i="50"/>
  <c r="F347" i="50"/>
  <c r="G339" i="50"/>
  <c r="K347" i="50"/>
  <c r="C258" i="56"/>
  <c r="C366" i="56"/>
  <c r="C150" i="56"/>
  <c r="C114" i="56"/>
  <c r="C294" i="3"/>
  <c r="C78" i="3"/>
  <c r="C114" i="3"/>
  <c r="C258" i="3"/>
  <c r="C402" i="3"/>
  <c r="C69" i="53"/>
  <c r="C123" i="53"/>
  <c r="C37" i="38"/>
  <c r="C180" i="56"/>
  <c r="C255" i="56"/>
  <c r="C256" i="56" s="1"/>
  <c r="C111" i="3"/>
  <c r="C112" i="3" s="1"/>
  <c r="C291" i="3"/>
  <c r="C292" i="3" s="1"/>
  <c r="C117" i="53"/>
  <c r="C144" i="53"/>
  <c r="C187" i="56"/>
  <c r="C403" i="56"/>
  <c r="C187" i="3"/>
  <c r="C331" i="3"/>
  <c r="C120" i="53"/>
  <c r="C151" i="53"/>
  <c r="AU15" i="50"/>
  <c r="AV18" i="50"/>
  <c r="AV229" i="50"/>
  <c r="C108" i="56"/>
  <c r="C396" i="56"/>
  <c r="C360" i="56"/>
  <c r="C327" i="56"/>
  <c r="C328" i="56" s="1"/>
  <c r="C219" i="56"/>
  <c r="C220" i="56" s="1"/>
  <c r="C255" i="3"/>
  <c r="C256" i="3" s="1"/>
  <c r="C147" i="3"/>
  <c r="C148" i="3" s="1"/>
  <c r="C72" i="3"/>
  <c r="C360" i="3"/>
  <c r="C108" i="3"/>
  <c r="C396" i="3"/>
  <c r="C147" i="53"/>
  <c r="C147" i="56"/>
  <c r="C148" i="56" s="1"/>
  <c r="C106" i="14"/>
  <c r="AI46" i="37" s="1"/>
  <c r="AI81" i="37" s="1"/>
  <c r="AI109" i="37" s="1"/>
  <c r="C75" i="56"/>
  <c r="C76" i="56" s="1"/>
  <c r="B16" i="54"/>
  <c r="B38" i="54" s="1"/>
  <c r="C144" i="56"/>
  <c r="C216" i="56"/>
  <c r="C252" i="56"/>
  <c r="C324" i="56"/>
  <c r="C72" i="56"/>
  <c r="C291" i="56"/>
  <c r="C292" i="56" s="1"/>
  <c r="C363" i="56"/>
  <c r="C364" i="56" s="1"/>
  <c r="C183" i="56"/>
  <c r="C184" i="56" s="1"/>
  <c r="C399" i="56"/>
  <c r="C400" i="56" s="1"/>
  <c r="C183" i="3"/>
  <c r="C184" i="3" s="1"/>
  <c r="C327" i="3"/>
  <c r="C328" i="3" s="1"/>
  <c r="C75" i="3"/>
  <c r="C76" i="3" s="1"/>
  <c r="C219" i="3"/>
  <c r="C220" i="3" s="1"/>
  <c r="C363" i="3"/>
  <c r="C364" i="3" s="1"/>
  <c r="C144" i="3"/>
  <c r="C288" i="3"/>
  <c r="C63" i="53"/>
  <c r="C171" i="53"/>
  <c r="C180" i="3"/>
  <c r="C324" i="3"/>
  <c r="C115" i="56"/>
  <c r="C151" i="56"/>
  <c r="C259" i="56"/>
  <c r="C367" i="56"/>
  <c r="C79" i="3"/>
  <c r="C151" i="3"/>
  <c r="C223" i="3"/>
  <c r="C295" i="3"/>
  <c r="C367" i="3"/>
  <c r="C93" i="53"/>
  <c r="C66" i="53"/>
  <c r="C67" i="53" s="1"/>
  <c r="C94" i="53" s="1"/>
  <c r="C121" i="53" s="1"/>
  <c r="C148" i="53" s="1"/>
  <c r="C175" i="53" s="1"/>
  <c r="C70" i="53"/>
  <c r="C124" i="53"/>
  <c r="C178" i="53"/>
  <c r="E78" i="37"/>
  <c r="AK11" i="50"/>
  <c r="AX244" i="50"/>
  <c r="I86" i="47"/>
  <c r="I88" i="47"/>
  <c r="I87" i="47"/>
  <c r="J51" i="47"/>
  <c r="J50" i="47"/>
  <c r="J52" i="47"/>
  <c r="I194" i="47"/>
  <c r="I196" i="47"/>
  <c r="I195" i="47"/>
  <c r="J191" i="47"/>
  <c r="J17" i="47" s="1"/>
  <c r="AQ16" i="14" s="1"/>
  <c r="J195" i="47"/>
  <c r="J194" i="47"/>
  <c r="J196" i="47"/>
  <c r="J87" i="47"/>
  <c r="J86" i="47"/>
  <c r="J88" i="47"/>
  <c r="H123" i="47"/>
  <c r="H122" i="47"/>
  <c r="H124" i="47"/>
  <c r="H177" i="47"/>
  <c r="H176" i="47"/>
  <c r="H178" i="47"/>
  <c r="H105" i="47"/>
  <c r="H104" i="47"/>
  <c r="H106" i="47"/>
  <c r="J33" i="47"/>
  <c r="J32" i="47"/>
  <c r="J34" i="47"/>
  <c r="AI227" i="50"/>
  <c r="AW227" i="50" s="1"/>
  <c r="AT234" i="50"/>
  <c r="AT26" i="50"/>
  <c r="AU226" i="50"/>
  <c r="S175" i="15"/>
  <c r="E392" i="15"/>
  <c r="T170" i="15"/>
  <c r="E332" i="15"/>
  <c r="S169" i="15"/>
  <c r="E320" i="15"/>
  <c r="T174" i="15"/>
  <c r="E380" i="15"/>
  <c r="T176" i="15"/>
  <c r="E404" i="15"/>
  <c r="S173" i="15"/>
  <c r="E368" i="15"/>
  <c r="T172" i="15"/>
  <c r="E356" i="15"/>
  <c r="S168" i="15"/>
  <c r="E308" i="15"/>
  <c r="S171" i="15"/>
  <c r="E344" i="15"/>
  <c r="T164" i="15"/>
  <c r="E260" i="15"/>
  <c r="F260" i="15" s="1"/>
  <c r="F266" i="15" s="1"/>
  <c r="S177" i="15"/>
  <c r="E416" i="15"/>
  <c r="S164" i="15"/>
  <c r="I273" i="43"/>
  <c r="H272" i="43"/>
  <c r="J273" i="43"/>
  <c r="H273" i="43"/>
  <c r="F170" i="38"/>
  <c r="F169" i="38" s="1"/>
  <c r="AV234" i="50"/>
  <c r="AS16" i="50"/>
  <c r="AS15" i="50"/>
  <c r="C14" i="3"/>
  <c r="AD20" i="50"/>
  <c r="AD36" i="50" s="1"/>
  <c r="AD11" i="50"/>
  <c r="AD223" i="50"/>
  <c r="AD236" i="50" s="1"/>
  <c r="AI46" i="15"/>
  <c r="AI71" i="15" s="1"/>
  <c r="AI103" i="15" s="1"/>
  <c r="AC46" i="37"/>
  <c r="AC81" i="37" s="1"/>
  <c r="AC109" i="37" s="1"/>
  <c r="G260" i="38"/>
  <c r="H260" i="38" s="1"/>
  <c r="AW243" i="50"/>
  <c r="AX230" i="50"/>
  <c r="AU244" i="50"/>
  <c r="AX243" i="50"/>
  <c r="AS229" i="50"/>
  <c r="AW15" i="50"/>
  <c r="AS231" i="50"/>
  <c r="C14" i="56"/>
  <c r="C14" i="53"/>
  <c r="AS239" i="50"/>
  <c r="AW17" i="50"/>
  <c r="AX31" i="50"/>
  <c r="AT241" i="50"/>
  <c r="L289" i="34"/>
  <c r="AT240" i="50"/>
  <c r="AV243" i="50"/>
  <c r="AV228" i="50"/>
  <c r="B15" i="54"/>
  <c r="AV226" i="50"/>
  <c r="AX23" i="50"/>
  <c r="E77" i="37"/>
  <c r="C40" i="38"/>
  <c r="AS29" i="50"/>
  <c r="AW230" i="50"/>
  <c r="AV248" i="50"/>
  <c r="AS30" i="50"/>
  <c r="AV239" i="50"/>
  <c r="AU241" i="50"/>
  <c r="AT27" i="50"/>
  <c r="AX245" i="50"/>
  <c r="AT248" i="50"/>
  <c r="AT231" i="50"/>
  <c r="AV16" i="50"/>
  <c r="AT16" i="50"/>
  <c r="AU14" i="50"/>
  <c r="AW23" i="50"/>
  <c r="AW233" i="50"/>
  <c r="AW241" i="50"/>
  <c r="AU248" i="50"/>
  <c r="AT15" i="50"/>
  <c r="AS227" i="50"/>
  <c r="AW226" i="50"/>
  <c r="AX226" i="50"/>
  <c r="AV240" i="50"/>
  <c r="AS18" i="50"/>
  <c r="AS233" i="50"/>
  <c r="AW229" i="50"/>
  <c r="AU232" i="50"/>
  <c r="AU234" i="50"/>
  <c r="AU18" i="50"/>
  <c r="AS234" i="50"/>
  <c r="AV26" i="50"/>
  <c r="AW247" i="50"/>
  <c r="AW27" i="50"/>
  <c r="AU243" i="50"/>
  <c r="AV245" i="50"/>
  <c r="AU29" i="50"/>
  <c r="AX18" i="50"/>
  <c r="AU16" i="50"/>
  <c r="AX234" i="50"/>
  <c r="AT233" i="50"/>
  <c r="AX233" i="50"/>
  <c r="AT230" i="50"/>
  <c r="AU27" i="50"/>
  <c r="AW244" i="50"/>
  <c r="AV247" i="50"/>
  <c r="AS24" i="50"/>
  <c r="AU240" i="50"/>
  <c r="AU239" i="50"/>
  <c r="AT28" i="50"/>
  <c r="AX241" i="50"/>
  <c r="AX29" i="50"/>
  <c r="AX227" i="50"/>
  <c r="AS248" i="50"/>
  <c r="AU245" i="50"/>
  <c r="AU233" i="50"/>
  <c r="AS226" i="50"/>
  <c r="AT242" i="50"/>
  <c r="AS240" i="50"/>
  <c r="AF226" i="50"/>
  <c r="AT226" i="50" s="1"/>
  <c r="AX239" i="50"/>
  <c r="AV242" i="50"/>
  <c r="AX231" i="50"/>
  <c r="AS14" i="50"/>
  <c r="AS228" i="50"/>
  <c r="AX28" i="50"/>
  <c r="AW245" i="50"/>
  <c r="AX232" i="50"/>
  <c r="AU247" i="50"/>
  <c r="AV227" i="50"/>
  <c r="AU242" i="50"/>
  <c r="H357" i="50"/>
  <c r="K365" i="50"/>
  <c r="K364" i="50" s="1"/>
  <c r="K357" i="50"/>
  <c r="F365" i="50"/>
  <c r="F364" i="50" s="1"/>
  <c r="G365" i="50"/>
  <c r="G364" i="50" s="1"/>
  <c r="G357" i="50"/>
  <c r="H186" i="50"/>
  <c r="H185" i="50" s="1"/>
  <c r="F186" i="50"/>
  <c r="F185" i="50" s="1"/>
  <c r="J178" i="50"/>
  <c r="G186" i="50"/>
  <c r="G185" i="50" s="1"/>
  <c r="I178" i="50"/>
  <c r="I186" i="50"/>
  <c r="I185" i="50" s="1"/>
  <c r="J186" i="50"/>
  <c r="J185" i="50" s="1"/>
  <c r="H178" i="50"/>
  <c r="F178" i="50"/>
  <c r="K186" i="50"/>
  <c r="K185" i="50" s="1"/>
  <c r="G178" i="50"/>
  <c r="K178" i="50"/>
  <c r="AV244" i="50"/>
  <c r="AW242" i="50"/>
  <c r="AH233" i="50"/>
  <c r="AV233" i="50" s="1"/>
  <c r="AV231" i="50"/>
  <c r="S172" i="15"/>
  <c r="T166" i="15"/>
  <c r="S166" i="15"/>
  <c r="AV24" i="50"/>
  <c r="AT23" i="50"/>
  <c r="AT232" i="50"/>
  <c r="AV15" i="50"/>
  <c r="AI232" i="50"/>
  <c r="AW232" i="50" s="1"/>
  <c r="AS243" i="50"/>
  <c r="AW31" i="50"/>
  <c r="AX17" i="50"/>
  <c r="AU28" i="50"/>
  <c r="AS241" i="50"/>
  <c r="AT30" i="50"/>
  <c r="AW248" i="50"/>
  <c r="AT245" i="50"/>
  <c r="AS31" i="50"/>
  <c r="AW29" i="50"/>
  <c r="AV31" i="50"/>
  <c r="AU24" i="50"/>
  <c r="AS247" i="50"/>
  <c r="AV29" i="50"/>
  <c r="AS244" i="50"/>
  <c r="AT247" i="50"/>
  <c r="AX247" i="50"/>
  <c r="AX27" i="50"/>
  <c r="AU17" i="50"/>
  <c r="AX14" i="50"/>
  <c r="AT18" i="50"/>
  <c r="S174" i="15"/>
  <c r="T168" i="15"/>
  <c r="T175" i="15"/>
  <c r="T173" i="15"/>
  <c r="S163" i="15"/>
  <c r="T163" i="15"/>
  <c r="S160" i="15"/>
  <c r="T160" i="15"/>
  <c r="T167" i="15"/>
  <c r="S167" i="15"/>
  <c r="T169" i="15"/>
  <c r="T177" i="15"/>
  <c r="S165" i="15"/>
  <c r="T165" i="15"/>
  <c r="S176" i="15"/>
  <c r="T162" i="15"/>
  <c r="S162" i="15"/>
  <c r="T161" i="15"/>
  <c r="S161" i="15"/>
  <c r="R178" i="15"/>
  <c r="S170" i="15"/>
  <c r="T171" i="15"/>
  <c r="AW32" i="50"/>
  <c r="AS27" i="50"/>
  <c r="AV28" i="50"/>
  <c r="AT243" i="50"/>
  <c r="AW14" i="50"/>
  <c r="AV32" i="50"/>
  <c r="AW26" i="50"/>
  <c r="AU30" i="50"/>
  <c r="AX248" i="50"/>
  <c r="G212" i="38"/>
  <c r="H212" i="38" s="1"/>
  <c r="AX32" i="50"/>
  <c r="AW28" i="50"/>
  <c r="AV30" i="50"/>
  <c r="AW239" i="50"/>
  <c r="AV27" i="50"/>
  <c r="AU23" i="50"/>
  <c r="AV14" i="50"/>
  <c r="AT31" i="50"/>
  <c r="AU31" i="50"/>
  <c r="I191" i="47"/>
  <c r="I17" i="47" s="1"/>
  <c r="AP16" i="14" s="1"/>
  <c r="AS28" i="50"/>
  <c r="AS242" i="50"/>
  <c r="AX24" i="50"/>
  <c r="AT24" i="50"/>
  <c r="AX30" i="50"/>
  <c r="AS32" i="50"/>
  <c r="AT32" i="50"/>
  <c r="AX240" i="50"/>
  <c r="AT29" i="50"/>
  <c r="AX26" i="50"/>
  <c r="AT244" i="50"/>
  <c r="AU32" i="50"/>
  <c r="AV241" i="50"/>
  <c r="I114" i="49"/>
  <c r="J111" i="49"/>
  <c r="J114" i="49" s="1"/>
  <c r="I182" i="49"/>
  <c r="J179" i="49"/>
  <c r="AL232" i="50"/>
  <c r="AS232" i="50" s="1"/>
  <c r="AS245" i="50"/>
  <c r="G116" i="38"/>
  <c r="F122" i="38"/>
  <c r="F121" i="38" s="1"/>
  <c r="J100" i="47"/>
  <c r="J103" i="47" s="1"/>
  <c r="I103" i="47"/>
  <c r="G159" i="50"/>
  <c r="W160" i="50"/>
  <c r="V45" i="50"/>
  <c r="W161" i="50"/>
  <c r="H159" i="50"/>
  <c r="W164" i="50"/>
  <c r="K159" i="50"/>
  <c r="W159" i="50"/>
  <c r="F159" i="50"/>
  <c r="J159" i="50"/>
  <c r="W163" i="50"/>
  <c r="W162" i="50"/>
  <c r="I159" i="50"/>
  <c r="I175" i="47"/>
  <c r="J172" i="47"/>
  <c r="J175" i="47" s="1"/>
  <c r="I29" i="47"/>
  <c r="I8" i="47" s="1"/>
  <c r="AP7" i="14" s="1"/>
  <c r="J162" i="49"/>
  <c r="I165" i="49"/>
  <c r="J128" i="49"/>
  <c r="J131" i="49" s="1"/>
  <c r="I131" i="49"/>
  <c r="I121" i="47"/>
  <c r="J118" i="47"/>
  <c r="J121" i="47" s="1"/>
  <c r="F192" i="38"/>
  <c r="G194" i="38"/>
  <c r="G193" i="38" s="1"/>
  <c r="H188" i="38"/>
  <c r="E336" i="38"/>
  <c r="E300" i="38"/>
  <c r="E252" i="38"/>
  <c r="E312" i="38"/>
  <c r="E324" i="38"/>
  <c r="E276" i="38"/>
  <c r="E228" i="38"/>
  <c r="E288" i="38"/>
  <c r="E240" i="38"/>
  <c r="H332" i="38"/>
  <c r="G338" i="38"/>
  <c r="G302" i="38"/>
  <c r="H296" i="38"/>
  <c r="G254" i="38"/>
  <c r="G253" i="38" s="1"/>
  <c r="H248" i="38"/>
  <c r="G314" i="38"/>
  <c r="H308" i="38"/>
  <c r="H272" i="38"/>
  <c r="G278" i="38"/>
  <c r="G277" i="38" s="1"/>
  <c r="H284" i="38"/>
  <c r="G290" i="38"/>
  <c r="G289" i="38" s="1"/>
  <c r="H236" i="38"/>
  <c r="G242" i="38"/>
  <c r="G241" i="38" s="1"/>
  <c r="G266" i="38"/>
  <c r="G265" i="38" s="1"/>
  <c r="H320" i="38"/>
  <c r="G326" i="38"/>
  <c r="H224" i="38"/>
  <c r="G230" i="38"/>
  <c r="G229" i="38" s="1"/>
  <c r="G104" i="38"/>
  <c r="F110" i="38"/>
  <c r="F109" i="38" s="1"/>
  <c r="F216" i="38"/>
  <c r="E216" i="38"/>
  <c r="V258" i="50"/>
  <c r="H128" i="38"/>
  <c r="G134" i="38"/>
  <c r="G133" i="38" s="1"/>
  <c r="F132" i="38"/>
  <c r="E180" i="38"/>
  <c r="E168" i="38"/>
  <c r="E204" i="38"/>
  <c r="F204" i="38"/>
  <c r="G158" i="38"/>
  <c r="G157" i="38" s="1"/>
  <c r="H152" i="38"/>
  <c r="F144" i="38"/>
  <c r="H164" i="38"/>
  <c r="G170" i="38"/>
  <c r="G169" i="38" s="1"/>
  <c r="H200" i="38"/>
  <c r="G206" i="38"/>
  <c r="G205" i="38" s="1"/>
  <c r="H140" i="38"/>
  <c r="G146" i="38"/>
  <c r="G145" i="38" s="1"/>
  <c r="G182" i="38"/>
  <c r="G181" i="38" s="1"/>
  <c r="H176" i="38"/>
  <c r="E156" i="38"/>
  <c r="J46" i="51"/>
  <c r="D36" i="51"/>
  <c r="AD8" i="14" s="1"/>
  <c r="J29" i="51"/>
  <c r="D19" i="51"/>
  <c r="AD7" i="14" s="1"/>
  <c r="L181" i="56"/>
  <c r="M181" i="56" s="1"/>
  <c r="L145" i="56"/>
  <c r="M145" i="56" s="1"/>
  <c r="L109" i="56"/>
  <c r="M109" i="56" s="1"/>
  <c r="E214" i="3"/>
  <c r="AB17" i="14"/>
  <c r="L73" i="56"/>
  <c r="M73" i="56" s="1"/>
  <c r="I357" i="50" l="1"/>
  <c r="I356" i="50" s="1"/>
  <c r="J357" i="50"/>
  <c r="W360" i="50" s="1"/>
  <c r="H365" i="50"/>
  <c r="H364" i="50" s="1"/>
  <c r="I365" i="50"/>
  <c r="I364" i="50" s="1"/>
  <c r="F357" i="50"/>
  <c r="F356" i="50" s="1"/>
  <c r="L57" i="53"/>
  <c r="M57" i="53" s="1"/>
  <c r="D57" i="53" s="1"/>
  <c r="D61" i="53" s="1"/>
  <c r="L73" i="3"/>
  <c r="M73" i="3" s="1"/>
  <c r="AK223" i="50"/>
  <c r="AK236" i="50" s="1"/>
  <c r="I164" i="56"/>
  <c r="I178" i="56" s="1"/>
  <c r="G164" i="56"/>
  <c r="G178" i="56" s="1"/>
  <c r="E164" i="56"/>
  <c r="F164" i="56"/>
  <c r="F178" i="56" s="1"/>
  <c r="D164" i="56"/>
  <c r="D178" i="56" s="1"/>
  <c r="H164" i="56"/>
  <c r="H178" i="56" s="1"/>
  <c r="I128" i="56"/>
  <c r="I142" i="56" s="1"/>
  <c r="G128" i="56"/>
  <c r="G142" i="56" s="1"/>
  <c r="E128" i="56"/>
  <c r="E142" i="56" s="1"/>
  <c r="H128" i="56"/>
  <c r="H142" i="56" s="1"/>
  <c r="F128" i="56"/>
  <c r="F142" i="56" s="1"/>
  <c r="D128" i="56"/>
  <c r="D142" i="56" s="1"/>
  <c r="I92" i="56"/>
  <c r="I106" i="56" s="1"/>
  <c r="G92" i="56"/>
  <c r="G106" i="56" s="1"/>
  <c r="E92" i="56"/>
  <c r="E106" i="56" s="1"/>
  <c r="H92" i="56"/>
  <c r="H106" i="56" s="1"/>
  <c r="F92" i="56"/>
  <c r="F106" i="56" s="1"/>
  <c r="D92" i="56"/>
  <c r="D106" i="56" s="1"/>
  <c r="D56" i="56"/>
  <c r="D70" i="56" s="1"/>
  <c r="F56" i="56"/>
  <c r="H56" i="56"/>
  <c r="E56" i="56"/>
  <c r="G56" i="56"/>
  <c r="R158" i="56"/>
  <c r="R122" i="56"/>
  <c r="R86" i="56"/>
  <c r="R50" i="56"/>
  <c r="O51" i="53"/>
  <c r="E178" i="56"/>
  <c r="AK20" i="50"/>
  <c r="AJ36" i="50" s="1"/>
  <c r="C15" i="53"/>
  <c r="C15" i="56"/>
  <c r="B24" i="54"/>
  <c r="AO46" i="15"/>
  <c r="C15" i="3"/>
  <c r="C30" i="3" s="1"/>
  <c r="B31" i="54"/>
  <c r="E223" i="3"/>
  <c r="AM97" i="14" s="1"/>
  <c r="E222" i="3"/>
  <c r="AM59" i="14" s="1"/>
  <c r="F265" i="15"/>
  <c r="F264" i="15" s="1"/>
  <c r="J123" i="47"/>
  <c r="J122" i="47"/>
  <c r="J124" i="47"/>
  <c r="I176" i="47"/>
  <c r="I178" i="47"/>
  <c r="I177" i="47"/>
  <c r="I104" i="47"/>
  <c r="I106" i="47"/>
  <c r="I105" i="47"/>
  <c r="I122" i="47"/>
  <c r="I124" i="47"/>
  <c r="I123" i="47"/>
  <c r="J177" i="47"/>
  <c r="J176" i="47"/>
  <c r="J178" i="47"/>
  <c r="J105" i="47"/>
  <c r="J104" i="47"/>
  <c r="J106" i="47"/>
  <c r="C42" i="3"/>
  <c r="C19" i="3"/>
  <c r="G260" i="15"/>
  <c r="H260" i="15" s="1"/>
  <c r="I260" i="15" s="1"/>
  <c r="I266" i="15" s="1"/>
  <c r="I265" i="15" s="1"/>
  <c r="I264" i="15" s="1"/>
  <c r="E266" i="15"/>
  <c r="E265" i="15" s="1"/>
  <c r="E264" i="15" s="1"/>
  <c r="E350" i="15"/>
  <c r="E349" i="15" s="1"/>
  <c r="E348" i="15" s="1"/>
  <c r="F344" i="15"/>
  <c r="E314" i="15"/>
  <c r="E313" i="15" s="1"/>
  <c r="E312" i="15" s="1"/>
  <c r="F308" i="15"/>
  <c r="E362" i="15"/>
  <c r="E361" i="15" s="1"/>
  <c r="E360" i="15" s="1"/>
  <c r="F356" i="15"/>
  <c r="E374" i="15"/>
  <c r="E373" i="15" s="1"/>
  <c r="E372" i="15" s="1"/>
  <c r="F368" i="15"/>
  <c r="E410" i="15"/>
  <c r="E409" i="15" s="1"/>
  <c r="E408" i="15" s="1"/>
  <c r="F404" i="15"/>
  <c r="E386" i="15"/>
  <c r="E385" i="15" s="1"/>
  <c r="E384" i="15" s="1"/>
  <c r="F380" i="15"/>
  <c r="E326" i="15"/>
  <c r="E325" i="15" s="1"/>
  <c r="E324" i="15" s="1"/>
  <c r="F320" i="15"/>
  <c r="E338" i="15"/>
  <c r="E337" i="15" s="1"/>
  <c r="E336" i="15" s="1"/>
  <c r="F332" i="15"/>
  <c r="E398" i="15"/>
  <c r="E397" i="15" s="1"/>
  <c r="E396" i="15" s="1"/>
  <c r="F392" i="15"/>
  <c r="F416" i="15"/>
  <c r="E422" i="15"/>
  <c r="E421" i="15" s="1"/>
  <c r="E420" i="15" s="1"/>
  <c r="C42" i="53"/>
  <c r="C19" i="53"/>
  <c r="C42" i="56"/>
  <c r="C19" i="56"/>
  <c r="L280" i="43"/>
  <c r="L287" i="34"/>
  <c r="M274" i="43"/>
  <c r="M292" i="43"/>
  <c r="L285" i="43"/>
  <c r="M285" i="43"/>
  <c r="L292" i="34"/>
  <c r="M289" i="34"/>
  <c r="L289" i="43"/>
  <c r="L284" i="43"/>
  <c r="M291" i="43"/>
  <c r="M286" i="34"/>
  <c r="L278" i="43"/>
  <c r="L276" i="43"/>
  <c r="M280" i="43"/>
  <c r="M290" i="43"/>
  <c r="L290" i="43"/>
  <c r="B23" i="54"/>
  <c r="B30" i="54"/>
  <c r="B37" i="54"/>
  <c r="G218" i="38"/>
  <c r="G217" i="38" s="1"/>
  <c r="J383" i="50"/>
  <c r="J382" i="50" s="1"/>
  <c r="H375" i="50"/>
  <c r="F375" i="50"/>
  <c r="K383" i="50"/>
  <c r="K382" i="50" s="1"/>
  <c r="I383" i="50"/>
  <c r="I382" i="50" s="1"/>
  <c r="K375" i="50"/>
  <c r="H383" i="50"/>
  <c r="H382" i="50" s="1"/>
  <c r="F383" i="50"/>
  <c r="F382" i="50" s="1"/>
  <c r="J375" i="50"/>
  <c r="G383" i="50"/>
  <c r="G382" i="50" s="1"/>
  <c r="I375" i="50"/>
  <c r="G375" i="50"/>
  <c r="J204" i="50"/>
  <c r="J203" i="50" s="1"/>
  <c r="H196" i="50"/>
  <c r="F196" i="50"/>
  <c r="K204" i="50"/>
  <c r="K203" i="50" s="1"/>
  <c r="I204" i="50"/>
  <c r="I203" i="50" s="1"/>
  <c r="G196" i="50"/>
  <c r="H204" i="50"/>
  <c r="H203" i="50" s="1"/>
  <c r="F204" i="50"/>
  <c r="F203" i="50" s="1"/>
  <c r="J196" i="50"/>
  <c r="G204" i="50"/>
  <c r="G203" i="50" s="1"/>
  <c r="I196" i="50"/>
  <c r="K196" i="50"/>
  <c r="F284" i="15"/>
  <c r="E290" i="15"/>
  <c r="E289" i="15" s="1"/>
  <c r="E288" i="15" s="1"/>
  <c r="F120" i="38"/>
  <c r="F248" i="15"/>
  <c r="E254" i="15"/>
  <c r="E253" i="15" s="1"/>
  <c r="E252" i="15" s="1"/>
  <c r="F188" i="15"/>
  <c r="E194" i="15"/>
  <c r="F236" i="15"/>
  <c r="E242" i="15"/>
  <c r="E241" i="15" s="1"/>
  <c r="E240" i="15" s="1"/>
  <c r="F200" i="15"/>
  <c r="E206" i="15"/>
  <c r="E278" i="15"/>
  <c r="E277" i="15" s="1"/>
  <c r="E276" i="15" s="1"/>
  <c r="F272" i="15"/>
  <c r="F296" i="15"/>
  <c r="E302" i="15"/>
  <c r="E301" i="15" s="1"/>
  <c r="E300" i="15" s="1"/>
  <c r="F212" i="15"/>
  <c r="E218" i="15"/>
  <c r="E217" i="15" s="1"/>
  <c r="E216" i="15" s="1"/>
  <c r="F224" i="15"/>
  <c r="E230" i="15"/>
  <c r="E229" i="15" s="1"/>
  <c r="E228" i="15" s="1"/>
  <c r="J165" i="49"/>
  <c r="D155" i="49"/>
  <c r="AC15" i="14" s="1"/>
  <c r="J182" i="49"/>
  <c r="D172" i="49"/>
  <c r="AC16" i="14" s="1"/>
  <c r="G122" i="38"/>
  <c r="G121" i="38" s="1"/>
  <c r="H116" i="38"/>
  <c r="G192" i="38"/>
  <c r="G177" i="50"/>
  <c r="W178" i="50"/>
  <c r="W179" i="50"/>
  <c r="H177" i="50"/>
  <c r="V46" i="50"/>
  <c r="I177" i="50"/>
  <c r="W180" i="50"/>
  <c r="W181" i="50"/>
  <c r="J177" i="50"/>
  <c r="W177" i="50"/>
  <c r="F177" i="50"/>
  <c r="K177" i="50"/>
  <c r="W182" i="50"/>
  <c r="J29" i="47"/>
  <c r="J8" i="47" s="1"/>
  <c r="AQ7" i="14" s="1"/>
  <c r="I56" i="56" s="1"/>
  <c r="I188" i="38"/>
  <c r="H194" i="38"/>
  <c r="H193" i="38" s="1"/>
  <c r="F240" i="38"/>
  <c r="E108" i="38"/>
  <c r="F336" i="38"/>
  <c r="F228" i="38"/>
  <c r="F324" i="38"/>
  <c r="F264" i="38"/>
  <c r="F276" i="38"/>
  <c r="F312" i="38"/>
  <c r="F252" i="38"/>
  <c r="H266" i="38"/>
  <c r="H265" i="38" s="1"/>
  <c r="I260" i="38"/>
  <c r="H314" i="38"/>
  <c r="I308" i="38"/>
  <c r="H254" i="38"/>
  <c r="H253" i="38" s="1"/>
  <c r="I248" i="38"/>
  <c r="H302" i="38"/>
  <c r="I296" i="38"/>
  <c r="F288" i="38"/>
  <c r="H230" i="38"/>
  <c r="H229" i="38" s="1"/>
  <c r="I224" i="38"/>
  <c r="I320" i="38"/>
  <c r="H326" i="38"/>
  <c r="F300" i="38"/>
  <c r="H242" i="38"/>
  <c r="H241" i="38" s="1"/>
  <c r="I236" i="38"/>
  <c r="H290" i="38"/>
  <c r="H289" i="38" s="1"/>
  <c r="I284" i="38"/>
  <c r="H278" i="38"/>
  <c r="H277" i="38" s="1"/>
  <c r="I272" i="38"/>
  <c r="I332" i="38"/>
  <c r="H338" i="38"/>
  <c r="H104" i="38"/>
  <c r="G110" i="38"/>
  <c r="G109" i="38" s="1"/>
  <c r="H218" i="38"/>
  <c r="H217" i="38" s="1"/>
  <c r="I212" i="38"/>
  <c r="W358" i="50"/>
  <c r="H356" i="50"/>
  <c r="V259" i="50"/>
  <c r="G356" i="50"/>
  <c r="W357" i="50"/>
  <c r="W361" i="50"/>
  <c r="K356" i="50"/>
  <c r="J356" i="50"/>
  <c r="I128" i="38"/>
  <c r="H134" i="38"/>
  <c r="H133" i="38" s="1"/>
  <c r="F168" i="38"/>
  <c r="F180" i="38"/>
  <c r="I176" i="38"/>
  <c r="H182" i="38"/>
  <c r="H181" i="38" s="1"/>
  <c r="F156" i="38"/>
  <c r="I164" i="38"/>
  <c r="H170" i="38"/>
  <c r="H169" i="38" s="1"/>
  <c r="H158" i="38"/>
  <c r="H157" i="38" s="1"/>
  <c r="I152" i="38"/>
  <c r="I140" i="38"/>
  <c r="H146" i="38"/>
  <c r="H145" i="38" s="1"/>
  <c r="I200" i="38"/>
  <c r="H206" i="38"/>
  <c r="H205" i="38" s="1"/>
  <c r="L145" i="3"/>
  <c r="M145" i="3" s="1"/>
  <c r="L109" i="3"/>
  <c r="M109" i="3" s="1"/>
  <c r="L181" i="3"/>
  <c r="M181" i="3" s="1"/>
  <c r="AD17" i="14"/>
  <c r="F214" i="3"/>
  <c r="W359" i="50" l="1"/>
  <c r="W356" i="50"/>
  <c r="R50" i="3"/>
  <c r="D56" i="3"/>
  <c r="D70" i="3" s="1"/>
  <c r="I164" i="3"/>
  <c r="G164" i="3"/>
  <c r="E164" i="3"/>
  <c r="H164" i="3"/>
  <c r="F164" i="3"/>
  <c r="D164" i="3"/>
  <c r="D178" i="3" s="1"/>
  <c r="D187" i="3" s="1"/>
  <c r="AL96" i="14" s="1"/>
  <c r="H128" i="3"/>
  <c r="F128" i="3"/>
  <c r="D128" i="3"/>
  <c r="D142" i="3" s="1"/>
  <c r="D150" i="3" s="1"/>
  <c r="AL57" i="14" s="1"/>
  <c r="I128" i="3"/>
  <c r="G128" i="3"/>
  <c r="E128" i="3"/>
  <c r="H92" i="3"/>
  <c r="F92" i="3"/>
  <c r="D92" i="3"/>
  <c r="D106" i="3" s="1"/>
  <c r="D114" i="3" s="1"/>
  <c r="AL56" i="14" s="1"/>
  <c r="I92" i="3"/>
  <c r="G92" i="3"/>
  <c r="E92" i="3"/>
  <c r="R158" i="3"/>
  <c r="R122" i="3"/>
  <c r="R86" i="3"/>
  <c r="C43" i="3"/>
  <c r="C30" i="53"/>
  <c r="C43" i="53"/>
  <c r="AO103" i="15"/>
  <c r="AO71" i="15"/>
  <c r="C43" i="56"/>
  <c r="C30" i="56"/>
  <c r="H266" i="15"/>
  <c r="H265" i="15" s="1"/>
  <c r="H264" i="15" s="1"/>
  <c r="D70" i="53"/>
  <c r="D15" i="53" s="1"/>
  <c r="D31" i="53" s="1"/>
  <c r="E31" i="53" s="1"/>
  <c r="F31" i="53" s="1"/>
  <c r="G31" i="53" s="1"/>
  <c r="H31" i="53" s="1"/>
  <c r="I31" i="53" s="1"/>
  <c r="D69" i="53"/>
  <c r="AL65" i="14" s="1"/>
  <c r="F223" i="3"/>
  <c r="AN97" i="14" s="1"/>
  <c r="F222" i="3"/>
  <c r="AN59" i="14" s="1"/>
  <c r="D186" i="3"/>
  <c r="AL58" i="14" s="1"/>
  <c r="J260" i="15"/>
  <c r="K260" i="15" s="1"/>
  <c r="K266" i="15" s="1"/>
  <c r="G266" i="15"/>
  <c r="G265" i="15" s="1"/>
  <c r="G264" i="15" s="1"/>
  <c r="F398" i="15"/>
  <c r="F397" i="15" s="1"/>
  <c r="F396" i="15" s="1"/>
  <c r="G392" i="15"/>
  <c r="G332" i="15"/>
  <c r="F338" i="15"/>
  <c r="F337" i="15" s="1"/>
  <c r="F336" i="15" s="1"/>
  <c r="G320" i="15"/>
  <c r="F326" i="15"/>
  <c r="F325" i="15" s="1"/>
  <c r="F324" i="15" s="1"/>
  <c r="F386" i="15"/>
  <c r="F385" i="15" s="1"/>
  <c r="F384" i="15" s="1"/>
  <c r="G380" i="15"/>
  <c r="F410" i="15"/>
  <c r="F409" i="15" s="1"/>
  <c r="F408" i="15" s="1"/>
  <c r="G404" i="15"/>
  <c r="F374" i="15"/>
  <c r="F373" i="15" s="1"/>
  <c r="F372" i="15" s="1"/>
  <c r="G368" i="15"/>
  <c r="G356" i="15"/>
  <c r="F362" i="15"/>
  <c r="F361" i="15" s="1"/>
  <c r="F360" i="15" s="1"/>
  <c r="F314" i="15"/>
  <c r="F313" i="15" s="1"/>
  <c r="F312" i="15" s="1"/>
  <c r="G308" i="15"/>
  <c r="F350" i="15"/>
  <c r="F349" i="15" s="1"/>
  <c r="F348" i="15" s="1"/>
  <c r="G344" i="15"/>
  <c r="F422" i="15"/>
  <c r="F421" i="15" s="1"/>
  <c r="G416" i="15"/>
  <c r="F420" i="15"/>
  <c r="M287" i="34"/>
  <c r="M278" i="43"/>
  <c r="M292" i="34"/>
  <c r="L286" i="34"/>
  <c r="M276" i="43"/>
  <c r="M284" i="43"/>
  <c r="L292" i="43"/>
  <c r="M406" i="41"/>
  <c r="M17" i="41" s="1"/>
  <c r="L274" i="43"/>
  <c r="L291" i="34"/>
  <c r="M291" i="34"/>
  <c r="L291" i="43"/>
  <c r="M289" i="43"/>
  <c r="L286" i="43"/>
  <c r="M286" i="43"/>
  <c r="L293" i="43"/>
  <c r="M293" i="43"/>
  <c r="M293" i="34"/>
  <c r="L293" i="34"/>
  <c r="M288" i="34"/>
  <c r="L288" i="34"/>
  <c r="L277" i="43"/>
  <c r="M277" i="43"/>
  <c r="L288" i="43"/>
  <c r="M288" i="43"/>
  <c r="M285" i="34"/>
  <c r="L285" i="34"/>
  <c r="L279" i="43"/>
  <c r="M279" i="43"/>
  <c r="L275" i="43"/>
  <c r="M275" i="43"/>
  <c r="L283" i="43"/>
  <c r="M283" i="43"/>
  <c r="L287" i="43"/>
  <c r="M287" i="43"/>
  <c r="L281" i="43"/>
  <c r="M281" i="43"/>
  <c r="M290" i="34"/>
  <c r="L290" i="34"/>
  <c r="M284" i="34"/>
  <c r="L284" i="34"/>
  <c r="L282" i="43"/>
  <c r="M282" i="43"/>
  <c r="F150" i="56"/>
  <c r="F151" i="56"/>
  <c r="AN85" i="14" s="1"/>
  <c r="E150" i="56"/>
  <c r="E151" i="56"/>
  <c r="AM85" i="14" s="1"/>
  <c r="D150" i="56"/>
  <c r="D151" i="56"/>
  <c r="AL85" i="14" s="1"/>
  <c r="D186" i="56"/>
  <c r="D187" i="56"/>
  <c r="AL86" i="14" s="1"/>
  <c r="G186" i="56"/>
  <c r="G187" i="56"/>
  <c r="AO86" i="14" s="1"/>
  <c r="I186" i="56"/>
  <c r="AQ48" i="14" s="1"/>
  <c r="I187" i="56"/>
  <c r="AQ86" i="14" s="1"/>
  <c r="E114" i="56"/>
  <c r="E115" i="56"/>
  <c r="AM84" i="14" s="1"/>
  <c r="H114" i="56"/>
  <c r="H115" i="56"/>
  <c r="AP84" i="14" s="1"/>
  <c r="G150" i="56"/>
  <c r="G151" i="56"/>
  <c r="AO85" i="14" s="1"/>
  <c r="H150" i="56"/>
  <c r="H151" i="56"/>
  <c r="AP85" i="14" s="1"/>
  <c r="I150" i="56"/>
  <c r="AQ47" i="14" s="1"/>
  <c r="I151" i="56"/>
  <c r="AQ85" i="14" s="1"/>
  <c r="F186" i="56"/>
  <c r="F187" i="56"/>
  <c r="AN86" i="14" s="1"/>
  <c r="E186" i="56"/>
  <c r="E187" i="56"/>
  <c r="AM86" i="14" s="1"/>
  <c r="H186" i="56"/>
  <c r="H187" i="56"/>
  <c r="AP86" i="14" s="1"/>
  <c r="G114" i="56"/>
  <c r="G115" i="56"/>
  <c r="AO84" i="14" s="1"/>
  <c r="D114" i="56"/>
  <c r="D115" i="56"/>
  <c r="AL84" i="14" s="1"/>
  <c r="I114" i="56"/>
  <c r="AQ46" i="14" s="1"/>
  <c r="I115" i="56"/>
  <c r="AQ84" i="14" s="1"/>
  <c r="F114" i="56"/>
  <c r="F115" i="56"/>
  <c r="AN84" i="14" s="1"/>
  <c r="D78" i="56"/>
  <c r="D79" i="56"/>
  <c r="H401" i="50"/>
  <c r="H400" i="50" s="1"/>
  <c r="F401" i="50"/>
  <c r="F400" i="50" s="1"/>
  <c r="J393" i="50"/>
  <c r="G401" i="50"/>
  <c r="G400" i="50" s="1"/>
  <c r="I393" i="50"/>
  <c r="G393" i="50"/>
  <c r="J401" i="50"/>
  <c r="J400" i="50" s="1"/>
  <c r="H393" i="50"/>
  <c r="F393" i="50"/>
  <c r="K401" i="50"/>
  <c r="K400" i="50" s="1"/>
  <c r="I401" i="50"/>
  <c r="I400" i="50" s="1"/>
  <c r="K393" i="50"/>
  <c r="H222" i="50"/>
  <c r="H221" i="50" s="1"/>
  <c r="F222" i="50"/>
  <c r="F221" i="50" s="1"/>
  <c r="J214" i="50"/>
  <c r="G222" i="50"/>
  <c r="G221" i="50" s="1"/>
  <c r="I214" i="50"/>
  <c r="I222" i="50"/>
  <c r="I221" i="50" s="1"/>
  <c r="J222" i="50"/>
  <c r="J221" i="50" s="1"/>
  <c r="H214" i="50"/>
  <c r="F214" i="50"/>
  <c r="K222" i="50"/>
  <c r="K221" i="50" s="1"/>
  <c r="G214" i="50"/>
  <c r="K214" i="50"/>
  <c r="F290" i="15"/>
  <c r="F289" i="15" s="1"/>
  <c r="F288" i="15" s="1"/>
  <c r="G284" i="15"/>
  <c r="G120" i="38"/>
  <c r="G248" i="15"/>
  <c r="F254" i="15"/>
  <c r="F253" i="15" s="1"/>
  <c r="G272" i="15"/>
  <c r="F278" i="15"/>
  <c r="F277" i="15" s="1"/>
  <c r="F276" i="15" s="1"/>
  <c r="G224" i="15"/>
  <c r="F230" i="15"/>
  <c r="F229" i="15" s="1"/>
  <c r="F218" i="15"/>
  <c r="F217" i="15" s="1"/>
  <c r="F216" i="15" s="1"/>
  <c r="G212" i="15"/>
  <c r="F302" i="15"/>
  <c r="F301" i="15" s="1"/>
  <c r="F300" i="15" s="1"/>
  <c r="G296" i="15"/>
  <c r="G200" i="15"/>
  <c r="F206" i="15"/>
  <c r="F205" i="15" s="1"/>
  <c r="F204" i="15" s="1"/>
  <c r="F242" i="15"/>
  <c r="F241" i="15" s="1"/>
  <c r="G236" i="15"/>
  <c r="F194" i="15"/>
  <c r="G188" i="15"/>
  <c r="AC17" i="14"/>
  <c r="I116" i="38"/>
  <c r="H122" i="38"/>
  <c r="H121" i="38" s="1"/>
  <c r="A1" i="47"/>
  <c r="X1" i="47" s="1"/>
  <c r="J195" i="50"/>
  <c r="W199" i="50"/>
  <c r="W200" i="50"/>
  <c r="K195" i="50"/>
  <c r="W197" i="50"/>
  <c r="H195" i="50"/>
  <c r="G195" i="50"/>
  <c r="W196" i="50"/>
  <c r="F195" i="50"/>
  <c r="W195" i="50"/>
  <c r="V47" i="50"/>
  <c r="W198" i="50"/>
  <c r="I195" i="50"/>
  <c r="H192" i="38"/>
  <c r="J188" i="38"/>
  <c r="J194" i="38" s="1"/>
  <c r="J193" i="38" s="1"/>
  <c r="I194" i="38"/>
  <c r="I193" i="38" s="1"/>
  <c r="G336" i="38"/>
  <c r="G276" i="38"/>
  <c r="G288" i="38"/>
  <c r="G240" i="38"/>
  <c r="G324" i="38"/>
  <c r="G228" i="38"/>
  <c r="J332" i="38"/>
  <c r="J338" i="38" s="1"/>
  <c r="I338" i="38"/>
  <c r="I230" i="38"/>
  <c r="I229" i="38" s="1"/>
  <c r="J224" i="38"/>
  <c r="J230" i="38" s="1"/>
  <c r="J229" i="38" s="1"/>
  <c r="I302" i="38"/>
  <c r="J296" i="38"/>
  <c r="J302" i="38" s="1"/>
  <c r="I254" i="38"/>
  <c r="I253" i="38" s="1"/>
  <c r="J248" i="38"/>
  <c r="J254" i="38" s="1"/>
  <c r="J253" i="38" s="1"/>
  <c r="I314" i="38"/>
  <c r="J308" i="38"/>
  <c r="J314" i="38" s="1"/>
  <c r="I266" i="38"/>
  <c r="I265" i="38" s="1"/>
  <c r="J260" i="38"/>
  <c r="J266" i="38" s="1"/>
  <c r="J265" i="38" s="1"/>
  <c r="G300" i="38"/>
  <c r="G252" i="38"/>
  <c r="G312" i="38"/>
  <c r="I278" i="38"/>
  <c r="I277" i="38" s="1"/>
  <c r="J272" i="38"/>
  <c r="J278" i="38" s="1"/>
  <c r="J277" i="38" s="1"/>
  <c r="I290" i="38"/>
  <c r="I289" i="38" s="1"/>
  <c r="J284" i="38"/>
  <c r="J290" i="38" s="1"/>
  <c r="J289" i="38" s="1"/>
  <c r="I242" i="38"/>
  <c r="I241" i="38" s="1"/>
  <c r="J236" i="38"/>
  <c r="J242" i="38" s="1"/>
  <c r="J241" i="38" s="1"/>
  <c r="G264" i="38"/>
  <c r="I326" i="38"/>
  <c r="J320" i="38"/>
  <c r="J326" i="38" s="1"/>
  <c r="F108" i="38"/>
  <c r="H110" i="38"/>
  <c r="H109" i="38" s="1"/>
  <c r="I104" i="38"/>
  <c r="H216" i="38"/>
  <c r="G216" i="38"/>
  <c r="J212" i="38"/>
  <c r="J218" i="38" s="1"/>
  <c r="J217" i="38" s="1"/>
  <c r="I218" i="38"/>
  <c r="I217" i="38" s="1"/>
  <c r="F374" i="50"/>
  <c r="W374" i="50"/>
  <c r="J374" i="50"/>
  <c r="W378" i="50"/>
  <c r="W376" i="50"/>
  <c r="H374" i="50"/>
  <c r="W377" i="50"/>
  <c r="I374" i="50"/>
  <c r="W379" i="50"/>
  <c r="K374" i="50"/>
  <c r="V260" i="50"/>
  <c r="G374" i="50"/>
  <c r="W375" i="50"/>
  <c r="G132" i="38"/>
  <c r="J128" i="38"/>
  <c r="J134" i="38" s="1"/>
  <c r="J133" i="38" s="1"/>
  <c r="I134" i="38"/>
  <c r="I133" i="38" s="1"/>
  <c r="G144" i="38"/>
  <c r="G156" i="38"/>
  <c r="G168" i="38"/>
  <c r="G204" i="38"/>
  <c r="I206" i="38"/>
  <c r="I205" i="38" s="1"/>
  <c r="J200" i="38"/>
  <c r="J206" i="38" s="1"/>
  <c r="J205" i="38" s="1"/>
  <c r="I146" i="38"/>
  <c r="I145" i="38" s="1"/>
  <c r="J140" i="38"/>
  <c r="J146" i="38" s="1"/>
  <c r="J145" i="38" s="1"/>
  <c r="H144" i="38"/>
  <c r="G180" i="38"/>
  <c r="I158" i="38"/>
  <c r="I157" i="38" s="1"/>
  <c r="J152" i="38"/>
  <c r="J158" i="38" s="1"/>
  <c r="J157" i="38" s="1"/>
  <c r="I170" i="38"/>
  <c r="I169" i="38" s="1"/>
  <c r="J164" i="38"/>
  <c r="J170" i="38" s="1"/>
  <c r="J169" i="38" s="1"/>
  <c r="I182" i="38"/>
  <c r="I181" i="38" s="1"/>
  <c r="J176" i="38"/>
  <c r="J182" i="38" s="1"/>
  <c r="J181" i="38" s="1"/>
  <c r="G214" i="3"/>
  <c r="D151" i="3" l="1"/>
  <c r="AL95" i="14" s="1"/>
  <c r="D115" i="3"/>
  <c r="AL94" i="14" s="1"/>
  <c r="D14" i="53"/>
  <c r="D20" i="53" s="1"/>
  <c r="E20" i="53" s="1"/>
  <c r="F20" i="53" s="1"/>
  <c r="G20" i="53" s="1"/>
  <c r="H20" i="53" s="1"/>
  <c r="I20" i="53" s="1"/>
  <c r="J266" i="15"/>
  <c r="J265" i="15" s="1"/>
  <c r="J264" i="15" s="1"/>
  <c r="D78" i="3"/>
  <c r="AL55" i="14" s="1"/>
  <c r="D79" i="3"/>
  <c r="AL93" i="14" s="1"/>
  <c r="G223" i="3"/>
  <c r="AO97" i="14" s="1"/>
  <c r="G222" i="3"/>
  <c r="G350" i="15"/>
  <c r="G349" i="15" s="1"/>
  <c r="G348" i="15" s="1"/>
  <c r="H344" i="15"/>
  <c r="G314" i="15"/>
  <c r="G313" i="15" s="1"/>
  <c r="G312" i="15" s="1"/>
  <c r="H308" i="15"/>
  <c r="G374" i="15"/>
  <c r="G373" i="15" s="1"/>
  <c r="G372" i="15" s="1"/>
  <c r="H368" i="15"/>
  <c r="G410" i="15"/>
  <c r="G409" i="15" s="1"/>
  <c r="G408" i="15" s="1"/>
  <c r="H404" i="15"/>
  <c r="G386" i="15"/>
  <c r="G385" i="15" s="1"/>
  <c r="G384" i="15" s="1"/>
  <c r="H380" i="15"/>
  <c r="G398" i="15"/>
  <c r="G397" i="15" s="1"/>
  <c r="G396" i="15" s="1"/>
  <c r="H392" i="15"/>
  <c r="G362" i="15"/>
  <c r="G361" i="15" s="1"/>
  <c r="G360" i="15" s="1"/>
  <c r="H356" i="15"/>
  <c r="G326" i="15"/>
  <c r="G325" i="15" s="1"/>
  <c r="G324" i="15" s="1"/>
  <c r="H320" i="15"/>
  <c r="G338" i="15"/>
  <c r="G337" i="15" s="1"/>
  <c r="G336" i="15" s="1"/>
  <c r="H332" i="15"/>
  <c r="G422" i="15"/>
  <c r="H416" i="15"/>
  <c r="F228" i="15"/>
  <c r="F240" i="15"/>
  <c r="F252" i="15"/>
  <c r="E30" i="1"/>
  <c r="H30" i="1" s="1"/>
  <c r="H419" i="50"/>
  <c r="H418" i="50" s="1"/>
  <c r="F419" i="50"/>
  <c r="F418" i="50" s="1"/>
  <c r="J411" i="50"/>
  <c r="G419" i="50"/>
  <c r="G418" i="50" s="1"/>
  <c r="I411" i="50"/>
  <c r="G411" i="50"/>
  <c r="J419" i="50"/>
  <c r="J418" i="50" s="1"/>
  <c r="H411" i="50"/>
  <c r="F411" i="50"/>
  <c r="K419" i="50"/>
  <c r="K418" i="50" s="1"/>
  <c r="I419" i="50"/>
  <c r="I418" i="50" s="1"/>
  <c r="K411" i="50"/>
  <c r="H240" i="50"/>
  <c r="H239" i="50" s="1"/>
  <c r="F240" i="50"/>
  <c r="F239" i="50" s="1"/>
  <c r="J232" i="50"/>
  <c r="G240" i="50"/>
  <c r="G239" i="50" s="1"/>
  <c r="I232" i="50"/>
  <c r="K232" i="50"/>
  <c r="J240" i="50"/>
  <c r="J239" i="50" s="1"/>
  <c r="H232" i="50"/>
  <c r="F232" i="50"/>
  <c r="K240" i="50"/>
  <c r="K239" i="50" s="1"/>
  <c r="I240" i="50"/>
  <c r="I239" i="50" s="1"/>
  <c r="G232" i="50"/>
  <c r="H284" i="15"/>
  <c r="G290" i="15"/>
  <c r="G289" i="15" s="1"/>
  <c r="G288" i="15" s="1"/>
  <c r="AL103" i="14"/>
  <c r="AO107" i="15" s="1"/>
  <c r="AO50" i="15" s="1"/>
  <c r="AI107" i="15"/>
  <c r="AI108" i="15"/>
  <c r="AI51" i="15" s="1"/>
  <c r="D37" i="53"/>
  <c r="D43" i="53" s="1"/>
  <c r="C38" i="54" s="1"/>
  <c r="AL115" i="14" s="1"/>
  <c r="G254" i="15"/>
  <c r="G253" i="15" s="1"/>
  <c r="H248" i="15"/>
  <c r="H188" i="15"/>
  <c r="G194" i="15"/>
  <c r="H236" i="15"/>
  <c r="G242" i="15"/>
  <c r="G241" i="15" s="1"/>
  <c r="G302" i="15"/>
  <c r="G301" i="15" s="1"/>
  <c r="G300" i="15" s="1"/>
  <c r="H296" i="15"/>
  <c r="H212" i="15"/>
  <c r="G218" i="15"/>
  <c r="G217" i="15" s="1"/>
  <c r="G216" i="15" s="1"/>
  <c r="F193" i="15"/>
  <c r="G206" i="15"/>
  <c r="G205" i="15" s="1"/>
  <c r="G204" i="15" s="1"/>
  <c r="H200" i="15"/>
  <c r="H224" i="15"/>
  <c r="G230" i="15"/>
  <c r="G229" i="15" s="1"/>
  <c r="G278" i="15"/>
  <c r="G277" i="15" s="1"/>
  <c r="G276" i="15" s="1"/>
  <c r="H272" i="15"/>
  <c r="I192" i="38"/>
  <c r="J192" i="38"/>
  <c r="H120" i="38"/>
  <c r="I122" i="38"/>
  <c r="I121" i="38" s="1"/>
  <c r="J116" i="38"/>
  <c r="J122" i="38" s="1"/>
  <c r="J121" i="38" s="1"/>
  <c r="W214" i="50"/>
  <c r="G213" i="50"/>
  <c r="I213" i="50"/>
  <c r="W216" i="50"/>
  <c r="J213" i="50"/>
  <c r="W217" i="50"/>
  <c r="K213" i="50"/>
  <c r="W218" i="50"/>
  <c r="W215" i="50"/>
  <c r="H213" i="50"/>
  <c r="F213" i="50"/>
  <c r="W213" i="50"/>
  <c r="H264" i="38"/>
  <c r="H312" i="38"/>
  <c r="H252" i="38"/>
  <c r="H300" i="38"/>
  <c r="H240" i="38"/>
  <c r="H288" i="38"/>
  <c r="H276" i="38"/>
  <c r="H336" i="38"/>
  <c r="H228" i="38"/>
  <c r="H324" i="38"/>
  <c r="G108" i="38"/>
  <c r="J104" i="38"/>
  <c r="J110" i="38" s="1"/>
  <c r="J109" i="38" s="1"/>
  <c r="I110" i="38"/>
  <c r="I109" i="38" s="1"/>
  <c r="I216" i="38"/>
  <c r="J216" i="38"/>
  <c r="H204" i="38"/>
  <c r="H180" i="38"/>
  <c r="G392" i="50"/>
  <c r="W393" i="50"/>
  <c r="J392" i="50"/>
  <c r="W396" i="50"/>
  <c r="W395" i="50"/>
  <c r="I392" i="50"/>
  <c r="K392" i="50"/>
  <c r="W397" i="50"/>
  <c r="V261" i="50"/>
  <c r="W394" i="50"/>
  <c r="H392" i="50"/>
  <c r="W392" i="50"/>
  <c r="F392" i="50"/>
  <c r="AF253" i="50"/>
  <c r="H132" i="38"/>
  <c r="K265" i="15"/>
  <c r="K264" i="15" s="1"/>
  <c r="H168" i="38"/>
  <c r="H156" i="38"/>
  <c r="AM118" i="37"/>
  <c r="AK118" i="37"/>
  <c r="AN118" i="37"/>
  <c r="AL118" i="37"/>
  <c r="AI118" i="37"/>
  <c r="AJ118" i="37"/>
  <c r="AH118" i="37"/>
  <c r="AM117" i="37"/>
  <c r="AL117" i="37"/>
  <c r="AI117" i="37"/>
  <c r="AJ117" i="37"/>
  <c r="AK117" i="37"/>
  <c r="AN117" i="37"/>
  <c r="AH117" i="37"/>
  <c r="AO46" i="14"/>
  <c r="AM48" i="14"/>
  <c r="AM46" i="14"/>
  <c r="AL46" i="14"/>
  <c r="AP48" i="14"/>
  <c r="AN48" i="14"/>
  <c r="AP47" i="14"/>
  <c r="AO47" i="14"/>
  <c r="AP46" i="14"/>
  <c r="AN46" i="14"/>
  <c r="AO48" i="14"/>
  <c r="AL48" i="14"/>
  <c r="AL47" i="14"/>
  <c r="AM47" i="14"/>
  <c r="AN47" i="14"/>
  <c r="H214" i="3"/>
  <c r="AO59" i="14"/>
  <c r="I214" i="3"/>
  <c r="D14" i="56"/>
  <c r="D20" i="56" s="1"/>
  <c r="AL45" i="14"/>
  <c r="AI124" i="15" s="1"/>
  <c r="AL83" i="14"/>
  <c r="AI112" i="37" s="1"/>
  <c r="AI84" i="37" s="1"/>
  <c r="D15" i="56"/>
  <c r="D31" i="56" s="1"/>
  <c r="E31" i="56" s="1"/>
  <c r="F31" i="56" s="1"/>
  <c r="G31" i="56" s="1"/>
  <c r="H31" i="56" s="1"/>
  <c r="I31" i="56" s="1"/>
  <c r="D26" i="53" l="1"/>
  <c r="D42" i="53" s="1"/>
  <c r="D37" i="56"/>
  <c r="D43" i="56" s="1"/>
  <c r="C24" i="54" s="1"/>
  <c r="D26" i="56"/>
  <c r="D42" i="56" s="1"/>
  <c r="E20" i="56"/>
  <c r="H222" i="3"/>
  <c r="AP59" i="14" s="1"/>
  <c r="H223" i="3"/>
  <c r="I223" i="3"/>
  <c r="I222" i="3"/>
  <c r="AN54" i="37"/>
  <c r="AJ54" i="37"/>
  <c r="AL54" i="37"/>
  <c r="AI55" i="37"/>
  <c r="AN55" i="37"/>
  <c r="AM55" i="37"/>
  <c r="AI49" i="37"/>
  <c r="AK54" i="37"/>
  <c r="AI54" i="37"/>
  <c r="AM54" i="37"/>
  <c r="AJ55" i="37"/>
  <c r="AL55" i="37"/>
  <c r="AK55" i="37"/>
  <c r="H338" i="15"/>
  <c r="H337" i="15" s="1"/>
  <c r="H336" i="15" s="1"/>
  <c r="I332" i="15"/>
  <c r="H326" i="15"/>
  <c r="H325" i="15" s="1"/>
  <c r="H324" i="15" s="1"/>
  <c r="I320" i="15"/>
  <c r="H362" i="15"/>
  <c r="H361" i="15" s="1"/>
  <c r="H360" i="15" s="1"/>
  <c r="I356" i="15"/>
  <c r="H398" i="15"/>
  <c r="H397" i="15" s="1"/>
  <c r="H396" i="15" s="1"/>
  <c r="I392" i="15"/>
  <c r="H386" i="15"/>
  <c r="H385" i="15" s="1"/>
  <c r="H384" i="15" s="1"/>
  <c r="I380" i="15"/>
  <c r="H410" i="15"/>
  <c r="H409" i="15" s="1"/>
  <c r="H408" i="15" s="1"/>
  <c r="I404" i="15"/>
  <c r="H374" i="15"/>
  <c r="H373" i="15" s="1"/>
  <c r="H372" i="15" s="1"/>
  <c r="I368" i="15"/>
  <c r="H314" i="15"/>
  <c r="H313" i="15" s="1"/>
  <c r="H312" i="15" s="1"/>
  <c r="I308" i="15"/>
  <c r="H350" i="15"/>
  <c r="H349" i="15" s="1"/>
  <c r="H348" i="15" s="1"/>
  <c r="I344" i="15"/>
  <c r="H422" i="15"/>
  <c r="I416" i="15"/>
  <c r="G421" i="15"/>
  <c r="G228" i="15"/>
  <c r="G240" i="15"/>
  <c r="G252" i="15"/>
  <c r="AI116" i="37"/>
  <c r="AI113" i="37"/>
  <c r="J437" i="50"/>
  <c r="J436" i="50" s="1"/>
  <c r="H429" i="50"/>
  <c r="F429" i="50"/>
  <c r="K437" i="50"/>
  <c r="I437" i="50"/>
  <c r="I436" i="50" s="1"/>
  <c r="K429" i="50"/>
  <c r="H437" i="50"/>
  <c r="H436" i="50" s="1"/>
  <c r="F437" i="50"/>
  <c r="J429" i="50"/>
  <c r="G437" i="50"/>
  <c r="G436" i="50" s="1"/>
  <c r="I429" i="50"/>
  <c r="G429" i="50"/>
  <c r="D14" i="3"/>
  <c r="D20" i="3" s="1"/>
  <c r="D15" i="3"/>
  <c r="D31" i="3" s="1"/>
  <c r="E31" i="3" s="1"/>
  <c r="F31" i="3" s="1"/>
  <c r="G31" i="3" s="1"/>
  <c r="H31" i="3" s="1"/>
  <c r="I31" i="3" s="1"/>
  <c r="I120" i="38"/>
  <c r="I284" i="15"/>
  <c r="H290" i="15"/>
  <c r="H289" i="15" s="1"/>
  <c r="H288" i="15" s="1"/>
  <c r="AI114" i="37"/>
  <c r="AO108" i="15"/>
  <c r="L51" i="15" s="1"/>
  <c r="C37" i="54"/>
  <c r="AL77" i="14" s="1"/>
  <c r="L50" i="15"/>
  <c r="F192" i="15"/>
  <c r="I248" i="15"/>
  <c r="H254" i="15"/>
  <c r="H253" i="15" s="1"/>
  <c r="I272" i="15"/>
  <c r="H278" i="15"/>
  <c r="H277" i="15" s="1"/>
  <c r="H276" i="15" s="1"/>
  <c r="H206" i="15"/>
  <c r="H205" i="15" s="1"/>
  <c r="H204" i="15" s="1"/>
  <c r="I200" i="15"/>
  <c r="I296" i="15"/>
  <c r="H302" i="15"/>
  <c r="H301" i="15" s="1"/>
  <c r="H300" i="15" s="1"/>
  <c r="G193" i="15"/>
  <c r="G192" i="15" s="1"/>
  <c r="H230" i="15"/>
  <c r="H229" i="15" s="1"/>
  <c r="I224" i="15"/>
  <c r="I212" i="15"/>
  <c r="H218" i="15"/>
  <c r="H217" i="15" s="1"/>
  <c r="H216" i="15" s="1"/>
  <c r="H242" i="15"/>
  <c r="H241" i="15" s="1"/>
  <c r="I236" i="15"/>
  <c r="H194" i="15"/>
  <c r="I188" i="15"/>
  <c r="J120" i="38"/>
  <c r="AI67" i="15"/>
  <c r="I231" i="50"/>
  <c r="W234" i="50"/>
  <c r="H231" i="50"/>
  <c r="W233" i="50"/>
  <c r="W232" i="50"/>
  <c r="G231" i="50"/>
  <c r="F231" i="50"/>
  <c r="W231" i="50"/>
  <c r="K231" i="50"/>
  <c r="W236" i="50"/>
  <c r="W235" i="50"/>
  <c r="J231" i="50"/>
  <c r="AN124" i="15"/>
  <c r="J336" i="38"/>
  <c r="I336" i="38"/>
  <c r="J228" i="38"/>
  <c r="J300" i="38"/>
  <c r="J252" i="38"/>
  <c r="J312" i="38"/>
  <c r="J264" i="38"/>
  <c r="I300" i="38"/>
  <c r="I288" i="38"/>
  <c r="I240" i="38"/>
  <c r="J324" i="38"/>
  <c r="AL253" i="50"/>
  <c r="AN225" i="50" s="1"/>
  <c r="AK253" i="50"/>
  <c r="AM225" i="50" s="1"/>
  <c r="AO253" i="50"/>
  <c r="AQ225" i="50" s="1"/>
  <c r="AJ253" i="50"/>
  <c r="AL225" i="50" s="1"/>
  <c r="AJ38" i="50"/>
  <c r="AN253" i="50"/>
  <c r="AP225" i="50" s="1"/>
  <c r="AM253" i="50"/>
  <c r="I228" i="38"/>
  <c r="I252" i="38"/>
  <c r="I312" i="38"/>
  <c r="I264" i="38"/>
  <c r="J276" i="38"/>
  <c r="J288" i="38"/>
  <c r="J240" i="38"/>
  <c r="I324" i="38"/>
  <c r="I276" i="38"/>
  <c r="H108" i="38"/>
  <c r="J156" i="38"/>
  <c r="J168" i="38"/>
  <c r="I156" i="38"/>
  <c r="I168" i="38"/>
  <c r="J180" i="38"/>
  <c r="F410" i="50"/>
  <c r="W410" i="50"/>
  <c r="W412" i="50"/>
  <c r="H410" i="50"/>
  <c r="K410" i="50"/>
  <c r="W415" i="50"/>
  <c r="W411" i="50"/>
  <c r="G410" i="50"/>
  <c r="F436" i="50"/>
  <c r="V262" i="50"/>
  <c r="K436" i="50"/>
  <c r="I410" i="50"/>
  <c r="W413" i="50"/>
  <c r="J410" i="50"/>
  <c r="W414" i="50"/>
  <c r="AD38" i="50"/>
  <c r="AD253" i="50"/>
  <c r="AI253" i="50"/>
  <c r="AE253" i="50"/>
  <c r="AG253" i="50"/>
  <c r="AH253" i="50"/>
  <c r="J132" i="38"/>
  <c r="I132" i="38"/>
  <c r="I204" i="38"/>
  <c r="I144" i="38"/>
  <c r="I180" i="38"/>
  <c r="J204" i="38"/>
  <c r="J144" i="38"/>
  <c r="AO105" i="15"/>
  <c r="AO48" i="15" s="1"/>
  <c r="AO106" i="15"/>
  <c r="AI105" i="15"/>
  <c r="L48" i="15" s="1"/>
  <c r="AI106" i="15"/>
  <c r="AI119" i="37"/>
  <c r="AI120" i="37"/>
  <c r="AC119" i="37"/>
  <c r="AC120" i="37"/>
  <c r="AC114" i="37"/>
  <c r="AC118" i="37"/>
  <c r="AG118" i="37"/>
  <c r="AD118" i="37"/>
  <c r="R55" i="37"/>
  <c r="AF118" i="37"/>
  <c r="AE118" i="37"/>
  <c r="AE117" i="37"/>
  <c r="AD117" i="37"/>
  <c r="AC113" i="37"/>
  <c r="AC117" i="37"/>
  <c r="AF117" i="37"/>
  <c r="AG117" i="37"/>
  <c r="R54" i="37"/>
  <c r="AC112" i="37"/>
  <c r="AC84" i="37" s="1"/>
  <c r="AC116" i="37"/>
  <c r="AI111" i="37"/>
  <c r="AI83" i="37" s="1"/>
  <c r="AI115" i="37"/>
  <c r="AC111" i="37"/>
  <c r="AC83" i="37" s="1"/>
  <c r="AC115" i="37"/>
  <c r="F10" i="51"/>
  <c r="AM29" i="14" s="1"/>
  <c r="E142" i="3" s="1"/>
  <c r="AQ59" i="14"/>
  <c r="AQ97" i="14"/>
  <c r="AP97" i="14"/>
  <c r="AE22" i="50" l="1"/>
  <c r="AE13" i="50" s="1"/>
  <c r="F20" i="56"/>
  <c r="D26" i="3"/>
  <c r="D42" i="3" s="1"/>
  <c r="E20" i="3"/>
  <c r="E151" i="3"/>
  <c r="AM95" i="14" s="1"/>
  <c r="E150" i="3"/>
  <c r="AM57" i="14" s="1"/>
  <c r="AI52" i="37"/>
  <c r="M50" i="37"/>
  <c r="AC57" i="37"/>
  <c r="AI51" i="37"/>
  <c r="AI50" i="37"/>
  <c r="M49" i="37"/>
  <c r="AC56" i="37"/>
  <c r="M56" i="37"/>
  <c r="AI53" i="37"/>
  <c r="AI48" i="37"/>
  <c r="M48" i="37"/>
  <c r="C23" i="54"/>
  <c r="AL75" i="14" s="1"/>
  <c r="J344" i="15"/>
  <c r="I350" i="15"/>
  <c r="I349" i="15" s="1"/>
  <c r="I348" i="15" s="1"/>
  <c r="J308" i="15"/>
  <c r="I314" i="15"/>
  <c r="I313" i="15" s="1"/>
  <c r="I312" i="15" s="1"/>
  <c r="I374" i="15"/>
  <c r="I373" i="15" s="1"/>
  <c r="I372" i="15" s="1"/>
  <c r="J368" i="15"/>
  <c r="I410" i="15"/>
  <c r="I409" i="15" s="1"/>
  <c r="I408" i="15" s="1"/>
  <c r="J404" i="15"/>
  <c r="J380" i="15"/>
  <c r="I386" i="15"/>
  <c r="I385" i="15" s="1"/>
  <c r="I384" i="15" s="1"/>
  <c r="J392" i="15"/>
  <c r="I398" i="15"/>
  <c r="I397" i="15" s="1"/>
  <c r="I396" i="15" s="1"/>
  <c r="J356" i="15"/>
  <c r="I362" i="15"/>
  <c r="I361" i="15" s="1"/>
  <c r="I360" i="15" s="1"/>
  <c r="J320" i="15"/>
  <c r="I326" i="15"/>
  <c r="I325" i="15" s="1"/>
  <c r="I324" i="15" s="1"/>
  <c r="J332" i="15"/>
  <c r="I338" i="15"/>
  <c r="I337" i="15" s="1"/>
  <c r="I336" i="15" s="1"/>
  <c r="G420" i="15"/>
  <c r="J416" i="15"/>
  <c r="I422" i="15"/>
  <c r="H421" i="15"/>
  <c r="H228" i="15"/>
  <c r="H240" i="15"/>
  <c r="H252" i="15"/>
  <c r="H455" i="50"/>
  <c r="H454" i="50" s="1"/>
  <c r="F455" i="50"/>
  <c r="F454" i="50" s="1"/>
  <c r="J447" i="50"/>
  <c r="G455" i="50"/>
  <c r="G454" i="50" s="1"/>
  <c r="I447" i="50"/>
  <c r="G447" i="50"/>
  <c r="J455" i="50"/>
  <c r="J454" i="50" s="1"/>
  <c r="H447" i="50"/>
  <c r="F447" i="50"/>
  <c r="K455" i="50"/>
  <c r="K454" i="50" s="1"/>
  <c r="I455" i="50"/>
  <c r="I454" i="50" s="1"/>
  <c r="K447" i="50"/>
  <c r="M51" i="37"/>
  <c r="I290" i="15"/>
  <c r="I289" i="15" s="1"/>
  <c r="I288" i="15" s="1"/>
  <c r="J284" i="15"/>
  <c r="AO51" i="15"/>
  <c r="E51" i="15" s="1"/>
  <c r="AI50" i="15"/>
  <c r="E50" i="15" s="1"/>
  <c r="AO49" i="15"/>
  <c r="E49" i="15" s="1"/>
  <c r="L49" i="15"/>
  <c r="L68" i="15" s="1"/>
  <c r="J248" i="15"/>
  <c r="I254" i="15"/>
  <c r="I253" i="15" s="1"/>
  <c r="I194" i="15"/>
  <c r="J188" i="15"/>
  <c r="J236" i="15"/>
  <c r="I242" i="15"/>
  <c r="I241" i="15" s="1"/>
  <c r="J224" i="15"/>
  <c r="I230" i="15"/>
  <c r="I229" i="15" s="1"/>
  <c r="J200" i="15"/>
  <c r="I206" i="15"/>
  <c r="I205" i="15" s="1"/>
  <c r="I204" i="15" s="1"/>
  <c r="H193" i="15"/>
  <c r="H192" i="15" s="1"/>
  <c r="J212" i="15"/>
  <c r="I218" i="15"/>
  <c r="I217" i="15" s="1"/>
  <c r="I216" i="15" s="1"/>
  <c r="J296" i="15"/>
  <c r="I302" i="15"/>
  <c r="I301" i="15" s="1"/>
  <c r="I300" i="15" s="1"/>
  <c r="I278" i="15"/>
  <c r="I277" i="15" s="1"/>
  <c r="I276" i="15" s="1"/>
  <c r="J272" i="15"/>
  <c r="AU238" i="50"/>
  <c r="AO225" i="50"/>
  <c r="AN67" i="15"/>
  <c r="I108" i="38"/>
  <c r="J108" i="38"/>
  <c r="K428" i="50"/>
  <c r="W433" i="50"/>
  <c r="F428" i="50"/>
  <c r="W428" i="50"/>
  <c r="W430" i="50"/>
  <c r="H428" i="50"/>
  <c r="W429" i="50"/>
  <c r="G428" i="50"/>
  <c r="I428" i="50"/>
  <c r="W431" i="50"/>
  <c r="J428" i="50"/>
  <c r="W432" i="50"/>
  <c r="AW238" i="50"/>
  <c r="AH225" i="50"/>
  <c r="AT238" i="50"/>
  <c r="AG225" i="50"/>
  <c r="AU225" i="50" s="1"/>
  <c r="AJ225" i="50"/>
  <c r="AX225" i="50" s="1"/>
  <c r="AX238" i="50"/>
  <c r="AS238" i="50"/>
  <c r="AI48" i="15"/>
  <c r="E48" i="15" s="1"/>
  <c r="M57" i="37"/>
  <c r="AI56" i="37"/>
  <c r="F11" i="51"/>
  <c r="AM30" i="14" s="1"/>
  <c r="E178" i="3" s="1"/>
  <c r="AH55" i="37"/>
  <c r="K55" i="37" s="1"/>
  <c r="O55" i="37"/>
  <c r="P55" i="37"/>
  <c r="N55" i="37"/>
  <c r="Q55" i="37"/>
  <c r="M55" i="37"/>
  <c r="AH54" i="37"/>
  <c r="K54" i="37" s="1"/>
  <c r="Q54" i="37"/>
  <c r="P54" i="37"/>
  <c r="M54" i="37"/>
  <c r="N54" i="37"/>
  <c r="O54" i="37"/>
  <c r="M53" i="37"/>
  <c r="M52" i="37"/>
  <c r="AC50" i="37"/>
  <c r="F50" i="37" s="1"/>
  <c r="AC51" i="37"/>
  <c r="AC49" i="37"/>
  <c r="F49" i="37" s="1"/>
  <c r="G10" i="51"/>
  <c r="AN29" i="14" s="1"/>
  <c r="F142" i="3" s="1"/>
  <c r="AC48" i="37"/>
  <c r="F48" i="37" s="1"/>
  <c r="AL113" i="14"/>
  <c r="G20" i="56" l="1"/>
  <c r="D37" i="3"/>
  <c r="D43" i="3" s="1"/>
  <c r="C31" i="54" s="1"/>
  <c r="F20" i="3"/>
  <c r="F56" i="37"/>
  <c r="F151" i="3"/>
  <c r="AN95" i="14" s="1"/>
  <c r="F150" i="3"/>
  <c r="AN57" i="14" s="1"/>
  <c r="E187" i="3"/>
  <c r="AM96" i="14" s="1"/>
  <c r="E186" i="3"/>
  <c r="AM58" i="14" s="1"/>
  <c r="F51" i="37"/>
  <c r="C30" i="54"/>
  <c r="AL76" i="14" s="1"/>
  <c r="J410" i="15"/>
  <c r="J409" i="15" s="1"/>
  <c r="J408" i="15" s="1"/>
  <c r="K404" i="15"/>
  <c r="K410" i="15" s="1"/>
  <c r="K409" i="15" s="1"/>
  <c r="K408" i="15" s="1"/>
  <c r="J374" i="15"/>
  <c r="J373" i="15" s="1"/>
  <c r="J372" i="15" s="1"/>
  <c r="K368" i="15"/>
  <c r="K374" i="15" s="1"/>
  <c r="K373" i="15" s="1"/>
  <c r="K372" i="15" s="1"/>
  <c r="J338" i="15"/>
  <c r="J337" i="15" s="1"/>
  <c r="J336" i="15" s="1"/>
  <c r="K332" i="15"/>
  <c r="K338" i="15" s="1"/>
  <c r="K337" i="15" s="1"/>
  <c r="K336" i="15" s="1"/>
  <c r="K320" i="15"/>
  <c r="K326" i="15" s="1"/>
  <c r="K325" i="15" s="1"/>
  <c r="K324" i="15" s="1"/>
  <c r="J326" i="15"/>
  <c r="J325" i="15" s="1"/>
  <c r="J324" i="15" s="1"/>
  <c r="J362" i="15"/>
  <c r="J361" i="15" s="1"/>
  <c r="J360" i="15" s="1"/>
  <c r="K356" i="15"/>
  <c r="K362" i="15" s="1"/>
  <c r="K361" i="15" s="1"/>
  <c r="K360" i="15" s="1"/>
  <c r="J398" i="15"/>
  <c r="J397" i="15" s="1"/>
  <c r="J396" i="15" s="1"/>
  <c r="K392" i="15"/>
  <c r="K398" i="15" s="1"/>
  <c r="K397" i="15" s="1"/>
  <c r="K396" i="15" s="1"/>
  <c r="K380" i="15"/>
  <c r="K386" i="15" s="1"/>
  <c r="K385" i="15" s="1"/>
  <c r="K384" i="15" s="1"/>
  <c r="J386" i="15"/>
  <c r="J385" i="15" s="1"/>
  <c r="J384" i="15" s="1"/>
  <c r="K308" i="15"/>
  <c r="K314" i="15" s="1"/>
  <c r="K313" i="15" s="1"/>
  <c r="K312" i="15" s="1"/>
  <c r="J314" i="15"/>
  <c r="J313" i="15" s="1"/>
  <c r="J312" i="15" s="1"/>
  <c r="K344" i="15"/>
  <c r="K350" i="15" s="1"/>
  <c r="K349" i="15" s="1"/>
  <c r="K348" i="15" s="1"/>
  <c r="J350" i="15"/>
  <c r="J349" i="15" s="1"/>
  <c r="J348" i="15" s="1"/>
  <c r="H420" i="15"/>
  <c r="I421" i="15"/>
  <c r="J422" i="15"/>
  <c r="K416" i="15"/>
  <c r="K422" i="15" s="1"/>
  <c r="I228" i="15"/>
  <c r="I240" i="15"/>
  <c r="I252" i="15"/>
  <c r="C15" i="54"/>
  <c r="J290" i="15"/>
  <c r="J289" i="15" s="1"/>
  <c r="J288" i="15" s="1"/>
  <c r="K284" i="15"/>
  <c r="K290" i="15" s="1"/>
  <c r="K289" i="15" s="1"/>
  <c r="K288" i="15" s="1"/>
  <c r="J254" i="15"/>
  <c r="J253" i="15" s="1"/>
  <c r="K248" i="15"/>
  <c r="K254" i="15" s="1"/>
  <c r="K253" i="15" s="1"/>
  <c r="K272" i="15"/>
  <c r="K278" i="15" s="1"/>
  <c r="K277" i="15" s="1"/>
  <c r="K276" i="15" s="1"/>
  <c r="J278" i="15"/>
  <c r="J277" i="15" s="1"/>
  <c r="J276" i="15" s="1"/>
  <c r="J194" i="15"/>
  <c r="K188" i="15"/>
  <c r="K194" i="15" s="1"/>
  <c r="K296" i="15"/>
  <c r="K302" i="15" s="1"/>
  <c r="K301" i="15" s="1"/>
  <c r="K300" i="15" s="1"/>
  <c r="J302" i="15"/>
  <c r="J301" i="15" s="1"/>
  <c r="J300" i="15" s="1"/>
  <c r="J218" i="15"/>
  <c r="J217" i="15" s="1"/>
  <c r="J216" i="15" s="1"/>
  <c r="K212" i="15"/>
  <c r="K218" i="15" s="1"/>
  <c r="K217" i="15" s="1"/>
  <c r="K216" i="15" s="1"/>
  <c r="J206" i="15"/>
  <c r="J205" i="15" s="1"/>
  <c r="J204" i="15" s="1"/>
  <c r="K200" i="15"/>
  <c r="K206" i="15" s="1"/>
  <c r="K205" i="15" s="1"/>
  <c r="K204" i="15" s="1"/>
  <c r="K224" i="15"/>
  <c r="K230" i="15" s="1"/>
  <c r="K229" i="15" s="1"/>
  <c r="J230" i="15"/>
  <c r="J229" i="15" s="1"/>
  <c r="J242" i="15"/>
  <c r="J241" i="15" s="1"/>
  <c r="K236" i="15"/>
  <c r="K242" i="15" s="1"/>
  <c r="K241" i="15" s="1"/>
  <c r="I193" i="15"/>
  <c r="I192" i="15" s="1"/>
  <c r="E68" i="15"/>
  <c r="AV238" i="50"/>
  <c r="AV225" i="50"/>
  <c r="M68" i="37"/>
  <c r="W446" i="50"/>
  <c r="F446" i="50"/>
  <c r="W451" i="50"/>
  <c r="K446" i="50"/>
  <c r="W449" i="50"/>
  <c r="I446" i="50"/>
  <c r="G446" i="50"/>
  <c r="W447" i="50"/>
  <c r="W448" i="50"/>
  <c r="H446" i="50"/>
  <c r="J446" i="50"/>
  <c r="W450" i="50"/>
  <c r="AE225" i="50"/>
  <c r="AS225" i="50" s="1"/>
  <c r="AF225" i="50"/>
  <c r="AT225" i="50" s="1"/>
  <c r="AI225" i="50"/>
  <c r="AW225" i="50" s="1"/>
  <c r="AI49" i="15"/>
  <c r="AI57" i="37"/>
  <c r="F57" i="37" s="1"/>
  <c r="G11" i="51"/>
  <c r="AN30" i="14" s="1"/>
  <c r="F178" i="3" s="1"/>
  <c r="AE54" i="37"/>
  <c r="H54" i="37" s="1"/>
  <c r="AD54" i="37"/>
  <c r="G54" i="37" s="1"/>
  <c r="AC54" i="37"/>
  <c r="F54" i="37" s="1"/>
  <c r="AF54" i="37"/>
  <c r="I54" i="37" s="1"/>
  <c r="AG54" i="37"/>
  <c r="J54" i="37" s="1"/>
  <c r="AC55" i="37"/>
  <c r="F55" i="37" s="1"/>
  <c r="AG55" i="37"/>
  <c r="J55" i="37" s="1"/>
  <c r="AD55" i="37"/>
  <c r="G55" i="37" s="1"/>
  <c r="AF55" i="37"/>
  <c r="I55" i="37" s="1"/>
  <c r="AE55" i="37"/>
  <c r="H55" i="37" s="1"/>
  <c r="AC52" i="37"/>
  <c r="F52" i="37" s="1"/>
  <c r="AC53" i="37"/>
  <c r="F53" i="37" s="1"/>
  <c r="H10" i="51"/>
  <c r="AO29" i="14" s="1"/>
  <c r="G142" i="3" s="1"/>
  <c r="AL114" i="14" l="1"/>
  <c r="C16" i="54"/>
  <c r="AL116" i="14" s="1"/>
  <c r="H20" i="56"/>
  <c r="G20" i="3"/>
  <c r="F187" i="3"/>
  <c r="AN96" i="14" s="1"/>
  <c r="F186" i="3"/>
  <c r="AN58" i="14" s="1"/>
  <c r="G151" i="3"/>
  <c r="AO95" i="14" s="1"/>
  <c r="G150" i="3"/>
  <c r="AO57" i="14" s="1"/>
  <c r="AL78" i="14"/>
  <c r="I420" i="15"/>
  <c r="J421" i="15"/>
  <c r="K421" i="15"/>
  <c r="J228" i="15"/>
  <c r="K228" i="15"/>
  <c r="K240" i="15"/>
  <c r="J240" i="15"/>
  <c r="J252" i="15"/>
  <c r="K252" i="15"/>
  <c r="K193" i="15"/>
  <c r="K192" i="15" s="1"/>
  <c r="J193" i="15"/>
  <c r="J192" i="15" s="1"/>
  <c r="F68" i="37"/>
  <c r="H11" i="51"/>
  <c r="AO30" i="14" s="1"/>
  <c r="G178" i="3" s="1"/>
  <c r="F17" i="51"/>
  <c r="AM36" i="14" s="1"/>
  <c r="F15" i="51"/>
  <c r="AM34" i="14" s="1"/>
  <c r="F13" i="51"/>
  <c r="AM32" i="14" s="1"/>
  <c r="F16" i="51"/>
  <c r="AM35" i="14" s="1"/>
  <c r="F14" i="51"/>
  <c r="AM33" i="14" s="1"/>
  <c r="F12" i="51"/>
  <c r="AM31" i="14" s="1"/>
  <c r="I10" i="51"/>
  <c r="AP29" i="14" s="1"/>
  <c r="H142" i="3" s="1"/>
  <c r="J10" i="51"/>
  <c r="AQ29" i="14" s="1"/>
  <c r="I142" i="3" s="1"/>
  <c r="F8" i="51"/>
  <c r="F9" i="51"/>
  <c r="AM28" i="14" s="1"/>
  <c r="E57" i="53" s="1"/>
  <c r="C17" i="54" l="1"/>
  <c r="I20" i="56"/>
  <c r="H20" i="3"/>
  <c r="I151" i="3"/>
  <c r="AQ95" i="14" s="1"/>
  <c r="I150" i="3"/>
  <c r="AQ57" i="14" s="1"/>
  <c r="G187" i="3"/>
  <c r="AO96" i="14" s="1"/>
  <c r="G186" i="3"/>
  <c r="AO58" i="14" s="1"/>
  <c r="H150" i="3"/>
  <c r="AP57" i="14" s="1"/>
  <c r="H151" i="3"/>
  <c r="AP95" i="14" s="1"/>
  <c r="K420" i="15"/>
  <c r="J420" i="15"/>
  <c r="E106" i="3"/>
  <c r="J11" i="51"/>
  <c r="AQ30" i="14" s="1"/>
  <c r="I178" i="3" s="1"/>
  <c r="G14" i="51"/>
  <c r="AN33" i="14" s="1"/>
  <c r="G15" i="51"/>
  <c r="AN34" i="14" s="1"/>
  <c r="G17" i="51"/>
  <c r="AN36" i="14" s="1"/>
  <c r="G16" i="51"/>
  <c r="AN35" i="14" s="1"/>
  <c r="G13" i="51"/>
  <c r="AN32" i="14" s="1"/>
  <c r="G12" i="51"/>
  <c r="AN31" i="14" s="1"/>
  <c r="I11" i="51"/>
  <c r="AP30" i="14" s="1"/>
  <c r="H178" i="3" s="1"/>
  <c r="G9" i="51"/>
  <c r="AN28" i="14" s="1"/>
  <c r="F57" i="53" s="1"/>
  <c r="G8" i="51"/>
  <c r="AN27" i="14" s="1"/>
  <c r="AM27" i="14"/>
  <c r="F70" i="56" l="1"/>
  <c r="F78" i="56" s="1"/>
  <c r="F56" i="3"/>
  <c r="F70" i="3" s="1"/>
  <c r="E61" i="53"/>
  <c r="E70" i="53" s="1"/>
  <c r="E56" i="3"/>
  <c r="E70" i="3" s="1"/>
  <c r="I20" i="3"/>
  <c r="E115" i="3"/>
  <c r="AM94" i="14" s="1"/>
  <c r="E114" i="3"/>
  <c r="AM56" i="14" s="1"/>
  <c r="I187" i="3"/>
  <c r="AQ96" i="14" s="1"/>
  <c r="I186" i="3"/>
  <c r="AQ58" i="14" s="1"/>
  <c r="H186" i="3"/>
  <c r="AP58" i="14" s="1"/>
  <c r="H187" i="3"/>
  <c r="AP96" i="14" s="1"/>
  <c r="E70" i="56"/>
  <c r="F106" i="3"/>
  <c r="F61" i="53"/>
  <c r="H15" i="51"/>
  <c r="AO34" i="14" s="1"/>
  <c r="H13" i="51"/>
  <c r="AO32" i="14" s="1"/>
  <c r="H16" i="51"/>
  <c r="AO35" i="14" s="1"/>
  <c r="H14" i="51"/>
  <c r="AO33" i="14" s="1"/>
  <c r="H12" i="51"/>
  <c r="AO31" i="14" s="1"/>
  <c r="H17" i="51"/>
  <c r="AO36" i="14" s="1"/>
  <c r="H8" i="51"/>
  <c r="H9" i="51"/>
  <c r="AO28" i="14" s="1"/>
  <c r="G57" i="53" s="1"/>
  <c r="F79" i="56" l="1"/>
  <c r="AN83" i="14" s="1"/>
  <c r="E69" i="53"/>
  <c r="E14" i="53" s="1"/>
  <c r="E21" i="53" s="1"/>
  <c r="F21" i="53" s="1"/>
  <c r="G21" i="53" s="1"/>
  <c r="H21" i="53" s="1"/>
  <c r="I21" i="53" s="1"/>
  <c r="F70" i="53"/>
  <c r="F69" i="53"/>
  <c r="F79" i="3"/>
  <c r="AN93" i="14" s="1"/>
  <c r="F78" i="3"/>
  <c r="AN55" i="14" s="1"/>
  <c r="F115" i="3"/>
  <c r="AN94" i="14" s="1"/>
  <c r="F114" i="3"/>
  <c r="AN56" i="14" s="1"/>
  <c r="E79" i="3"/>
  <c r="E78" i="3"/>
  <c r="E14" i="3" s="1"/>
  <c r="E21" i="3" s="1"/>
  <c r="E78" i="56"/>
  <c r="E79" i="56"/>
  <c r="E15" i="3"/>
  <c r="E32" i="3" s="1"/>
  <c r="F32" i="3" s="1"/>
  <c r="G32" i="3" s="1"/>
  <c r="H32" i="3" s="1"/>
  <c r="I32" i="3" s="1"/>
  <c r="F15" i="56"/>
  <c r="F33" i="56" s="1"/>
  <c r="AN45" i="14"/>
  <c r="AE116" i="37" s="1"/>
  <c r="F14" i="56"/>
  <c r="F22" i="56" s="1"/>
  <c r="G22" i="56" s="1"/>
  <c r="H22" i="56" s="1"/>
  <c r="I22" i="56" s="1"/>
  <c r="G106" i="3"/>
  <c r="AM103" i="14"/>
  <c r="E15" i="53"/>
  <c r="E32" i="53" s="1"/>
  <c r="F32" i="53" s="1"/>
  <c r="G32" i="53" s="1"/>
  <c r="H32" i="53" s="1"/>
  <c r="I32" i="53" s="1"/>
  <c r="J17" i="51"/>
  <c r="AQ36" i="14" s="1"/>
  <c r="J12" i="51"/>
  <c r="AQ31" i="14" s="1"/>
  <c r="J15" i="51"/>
  <c r="AQ34" i="14" s="1"/>
  <c r="J13" i="51"/>
  <c r="AQ32" i="14" s="1"/>
  <c r="J16" i="51"/>
  <c r="AQ35" i="14" s="1"/>
  <c r="J14" i="51"/>
  <c r="AQ33" i="14" s="1"/>
  <c r="I16" i="51"/>
  <c r="AP35" i="14" s="1"/>
  <c r="I13" i="51"/>
  <c r="AP32" i="14" s="1"/>
  <c r="I12" i="51"/>
  <c r="AP31" i="14" s="1"/>
  <c r="I14" i="51"/>
  <c r="AP33" i="14" s="1"/>
  <c r="I15" i="51"/>
  <c r="AP34" i="14" s="1"/>
  <c r="I17" i="51"/>
  <c r="AP36" i="14" s="1"/>
  <c r="J8" i="51"/>
  <c r="AQ27" i="14" s="1"/>
  <c r="J9" i="51"/>
  <c r="AQ28" i="14" s="1"/>
  <c r="I9" i="51"/>
  <c r="AP28" i="14" s="1"/>
  <c r="H57" i="53" s="1"/>
  <c r="I8" i="51"/>
  <c r="AP27" i="14" s="1"/>
  <c r="AO27" i="14"/>
  <c r="AM65" i="14" l="1"/>
  <c r="I70" i="56"/>
  <c r="I78" i="56" s="1"/>
  <c r="I56" i="3"/>
  <c r="I70" i="3" s="1"/>
  <c r="G61" i="53"/>
  <c r="G70" i="53" s="1"/>
  <c r="G56" i="3"/>
  <c r="G70" i="3" s="1"/>
  <c r="H70" i="56"/>
  <c r="H78" i="56" s="1"/>
  <c r="H56" i="3"/>
  <c r="H70" i="3" s="1"/>
  <c r="I106" i="3"/>
  <c r="I115" i="3" s="1"/>
  <c r="AQ94" i="14" s="1"/>
  <c r="I57" i="53"/>
  <c r="AM55" i="14"/>
  <c r="G33" i="56"/>
  <c r="H33" i="56" s="1"/>
  <c r="I33" i="56" s="1"/>
  <c r="E37" i="3"/>
  <c r="E43" i="3" s="1"/>
  <c r="D31" i="54" s="1"/>
  <c r="F21" i="3"/>
  <c r="E26" i="3"/>
  <c r="E42" i="3" s="1"/>
  <c r="G115" i="3"/>
  <c r="AO94" i="14" s="1"/>
  <c r="G114" i="3"/>
  <c r="AO56" i="14" s="1"/>
  <c r="F14" i="3"/>
  <c r="F22" i="3" s="1"/>
  <c r="G22" i="3" s="1"/>
  <c r="H22" i="3" s="1"/>
  <c r="I22" i="3" s="1"/>
  <c r="AL38" i="50"/>
  <c r="AK116" i="37"/>
  <c r="AK115" i="37"/>
  <c r="AF38" i="50"/>
  <c r="AE115" i="37"/>
  <c r="AM93" i="14"/>
  <c r="E15" i="56"/>
  <c r="E32" i="56" s="1"/>
  <c r="F32" i="56" s="1"/>
  <c r="G32" i="56" s="1"/>
  <c r="H32" i="56" s="1"/>
  <c r="I32" i="56" s="1"/>
  <c r="AM83" i="14"/>
  <c r="AJ114" i="37" s="1"/>
  <c r="AK112" i="37"/>
  <c r="AK84" i="37" s="1"/>
  <c r="AQ105" i="15"/>
  <c r="AQ48" i="15" s="1"/>
  <c r="AK111" i="37"/>
  <c r="AK83" i="37" s="1"/>
  <c r="AQ106" i="15"/>
  <c r="G70" i="56"/>
  <c r="E14" i="56"/>
  <c r="E21" i="56" s="1"/>
  <c r="AM45" i="14"/>
  <c r="AD116" i="37" s="1"/>
  <c r="AK124" i="15"/>
  <c r="AK67" i="15" s="1"/>
  <c r="AK105" i="15"/>
  <c r="AK106" i="15"/>
  <c r="AE111" i="37"/>
  <c r="AE83" i="37" s="1"/>
  <c r="AE112" i="37"/>
  <c r="AE84" i="37" s="1"/>
  <c r="H106" i="3"/>
  <c r="I61" i="53"/>
  <c r="H61" i="53"/>
  <c r="E37" i="53"/>
  <c r="E43" i="53" s="1"/>
  <c r="D38" i="54" s="1"/>
  <c r="AM115" i="14" s="1"/>
  <c r="AN103" i="14"/>
  <c r="F15" i="53"/>
  <c r="F33" i="53" s="1"/>
  <c r="G33" i="53" s="1"/>
  <c r="H33" i="53" s="1"/>
  <c r="I33" i="53" s="1"/>
  <c r="E26" i="53"/>
  <c r="E42" i="53" s="1"/>
  <c r="AP107" i="15"/>
  <c r="AP50" i="15" s="1"/>
  <c r="AP108" i="15"/>
  <c r="AN65" i="14"/>
  <c r="F14" i="53"/>
  <c r="F22" i="53" s="1"/>
  <c r="G22" i="53" s="1"/>
  <c r="H22" i="53" s="1"/>
  <c r="I22" i="53" s="1"/>
  <c r="AJ107" i="15"/>
  <c r="AJ108" i="15"/>
  <c r="AJ51" i="15" s="1"/>
  <c r="F15" i="3"/>
  <c r="F33" i="3" s="1"/>
  <c r="G33" i="3" s="1"/>
  <c r="H33" i="3" s="1"/>
  <c r="I33" i="3" s="1"/>
  <c r="AJ119" i="37"/>
  <c r="AJ120" i="37"/>
  <c r="AE119" i="37"/>
  <c r="AE120" i="37"/>
  <c r="AD119" i="37"/>
  <c r="AD120" i="37"/>
  <c r="AK119" i="37"/>
  <c r="AK120" i="37"/>
  <c r="A1" i="51"/>
  <c r="E32" i="1" s="1"/>
  <c r="H32" i="1" s="1"/>
  <c r="I79" i="56" l="1"/>
  <c r="AQ83" i="14" s="1"/>
  <c r="H79" i="56"/>
  <c r="AP83" i="14" s="1"/>
  <c r="G69" i="53"/>
  <c r="AO65" i="14" s="1"/>
  <c r="I114" i="3"/>
  <c r="AQ56" i="14" s="1"/>
  <c r="AM22" i="50"/>
  <c r="AG22" i="50"/>
  <c r="AG13" i="50" s="1"/>
  <c r="F21" i="56"/>
  <c r="E26" i="56"/>
  <c r="E42" i="56" s="1"/>
  <c r="E37" i="56"/>
  <c r="E43" i="56" s="1"/>
  <c r="D24" i="54" s="1"/>
  <c r="AM113" i="14" s="1"/>
  <c r="G21" i="3"/>
  <c r="F26" i="3"/>
  <c r="F42" i="3" s="1"/>
  <c r="F37" i="3"/>
  <c r="F43" i="3" s="1"/>
  <c r="E31" i="54" s="1"/>
  <c r="H70" i="53"/>
  <c r="H69" i="53"/>
  <c r="I70" i="53"/>
  <c r="I69" i="53"/>
  <c r="I79" i="3"/>
  <c r="AQ93" i="14" s="1"/>
  <c r="I78" i="3"/>
  <c r="I14" i="3" s="1"/>
  <c r="I25" i="3" s="1"/>
  <c r="G79" i="3"/>
  <c r="AO93" i="14" s="1"/>
  <c r="G78" i="3"/>
  <c r="G14" i="3" s="1"/>
  <c r="G23" i="3" s="1"/>
  <c r="H23" i="3" s="1"/>
  <c r="I23" i="3" s="1"/>
  <c r="H78" i="3"/>
  <c r="H79" i="3"/>
  <c r="AP93" i="14" s="1"/>
  <c r="H114" i="3"/>
  <c r="AP56" i="14" s="1"/>
  <c r="H115" i="3"/>
  <c r="AP94" i="14" s="1"/>
  <c r="O56" i="37"/>
  <c r="AE56" i="37"/>
  <c r="AD57" i="37"/>
  <c r="AE57" i="37"/>
  <c r="AJ51" i="37"/>
  <c r="AK52" i="37"/>
  <c r="AD56" i="37"/>
  <c r="N56" i="37"/>
  <c r="AK49" i="37"/>
  <c r="AK53" i="37"/>
  <c r="AK48" i="37"/>
  <c r="O53" i="37"/>
  <c r="G79" i="56"/>
  <c r="G78" i="56"/>
  <c r="AJ113" i="37"/>
  <c r="AK38" i="50"/>
  <c r="AJ116" i="37"/>
  <c r="AJ115" i="37"/>
  <c r="AD113" i="37"/>
  <c r="AD114" i="37"/>
  <c r="AE53" i="37"/>
  <c r="AE38" i="50"/>
  <c r="AD115" i="37"/>
  <c r="O52" i="37"/>
  <c r="O48" i="37"/>
  <c r="N48" i="15"/>
  <c r="AJ124" i="15"/>
  <c r="AJ67" i="15" s="1"/>
  <c r="AJ105" i="15"/>
  <c r="AD112" i="37"/>
  <c r="AD84" i="37" s="1"/>
  <c r="AJ106" i="15"/>
  <c r="AD111" i="37"/>
  <c r="AD83" i="37" s="1"/>
  <c r="I14" i="56"/>
  <c r="I25" i="56" s="1"/>
  <c r="AQ45" i="14"/>
  <c r="AH116" i="37" s="1"/>
  <c r="H14" i="56"/>
  <c r="H24" i="56" s="1"/>
  <c r="I24" i="56" s="1"/>
  <c r="AP45" i="14"/>
  <c r="AG116" i="37" s="1"/>
  <c r="N49" i="15"/>
  <c r="AJ112" i="37"/>
  <c r="AJ84" i="37" s="1"/>
  <c r="AP105" i="15"/>
  <c r="AP48" i="15" s="1"/>
  <c r="AJ111" i="37"/>
  <c r="AJ83" i="37" s="1"/>
  <c r="AP106" i="15"/>
  <c r="O49" i="37"/>
  <c r="AK49" i="15"/>
  <c r="I15" i="56"/>
  <c r="I36" i="56" s="1"/>
  <c r="H15" i="56"/>
  <c r="H35" i="56" s="1"/>
  <c r="I35" i="56" s="1"/>
  <c r="M50" i="15"/>
  <c r="AK107" i="15"/>
  <c r="AK108" i="15"/>
  <c r="AK51" i="15" s="1"/>
  <c r="AE114" i="37"/>
  <c r="AE113" i="37"/>
  <c r="F26" i="53"/>
  <c r="F42" i="53" s="1"/>
  <c r="AQ107" i="15"/>
  <c r="AQ50" i="15" s="1"/>
  <c r="AQ108" i="15"/>
  <c r="AK114" i="37"/>
  <c r="AK113" i="37"/>
  <c r="F37" i="53"/>
  <c r="F43" i="53" s="1"/>
  <c r="E38" i="54" s="1"/>
  <c r="AN115" i="14" s="1"/>
  <c r="M51" i="15"/>
  <c r="D37" i="54"/>
  <c r="AM77" i="14" s="1"/>
  <c r="G15" i="53"/>
  <c r="G34" i="53" s="1"/>
  <c r="H34" i="53" s="1"/>
  <c r="I34" i="53" s="1"/>
  <c r="AO103" i="14"/>
  <c r="O57" i="37"/>
  <c r="N57" i="37"/>
  <c r="AK56" i="37"/>
  <c r="AJ56" i="37"/>
  <c r="D30" i="54"/>
  <c r="AM114" i="14"/>
  <c r="X1" i="51"/>
  <c r="AO55" i="14" l="1"/>
  <c r="G14" i="53"/>
  <c r="G23" i="53" s="1"/>
  <c r="H23" i="53" s="1"/>
  <c r="I23" i="53" s="1"/>
  <c r="AQ55" i="14"/>
  <c r="H14" i="3"/>
  <c r="H24" i="3" s="1"/>
  <c r="I24" i="3" s="1"/>
  <c r="G15" i="3"/>
  <c r="G34" i="3" s="1"/>
  <c r="H34" i="3" s="1"/>
  <c r="I34" i="3" s="1"/>
  <c r="AM13" i="50"/>
  <c r="AF22" i="50"/>
  <c r="AF13" i="50" s="1"/>
  <c r="H53" i="37"/>
  <c r="AL22" i="50"/>
  <c r="G56" i="37"/>
  <c r="H15" i="3"/>
  <c r="H35" i="3" s="1"/>
  <c r="I35" i="3" s="1"/>
  <c r="F37" i="56"/>
  <c r="F43" i="56" s="1"/>
  <c r="E24" i="54" s="1"/>
  <c r="AN113" i="14" s="1"/>
  <c r="G21" i="56"/>
  <c r="F26" i="56"/>
  <c r="F42" i="56" s="1"/>
  <c r="H21" i="3"/>
  <c r="G26" i="3"/>
  <c r="G42" i="3" s="1"/>
  <c r="H56" i="37"/>
  <c r="AK50" i="37"/>
  <c r="AJ49" i="37"/>
  <c r="N50" i="37"/>
  <c r="AD50" i="37"/>
  <c r="G50" i="37" s="1"/>
  <c r="AJ53" i="37"/>
  <c r="AJ50" i="37"/>
  <c r="AK51" i="37"/>
  <c r="N51" i="37"/>
  <c r="AD51" i="37"/>
  <c r="G51" i="37" s="1"/>
  <c r="AJ52" i="37"/>
  <c r="AJ48" i="37"/>
  <c r="N53" i="37"/>
  <c r="D16" i="54"/>
  <c r="AM116" i="14" s="1"/>
  <c r="AN38" i="50"/>
  <c r="AM116" i="37"/>
  <c r="AM115" i="37"/>
  <c r="AO38" i="50"/>
  <c r="AN116" i="37"/>
  <c r="AN115" i="37"/>
  <c r="AE52" i="37"/>
  <c r="H52" i="37" s="1"/>
  <c r="AD53" i="37"/>
  <c r="AH38" i="50"/>
  <c r="AG115" i="37"/>
  <c r="AI38" i="50"/>
  <c r="AH115" i="37"/>
  <c r="N52" i="37"/>
  <c r="AE49" i="37"/>
  <c r="H49" i="37" s="1"/>
  <c r="AQ49" i="15"/>
  <c r="G49" i="15" s="1"/>
  <c r="AO45" i="14"/>
  <c r="AF116" i="37" s="1"/>
  <c r="G14" i="56"/>
  <c r="G23" i="56" s="1"/>
  <c r="H23" i="56" s="1"/>
  <c r="I23" i="56" s="1"/>
  <c r="AJ49" i="15"/>
  <c r="M48" i="15"/>
  <c r="AK48" i="15"/>
  <c r="G48" i="15" s="1"/>
  <c r="AE48" i="37"/>
  <c r="H48" i="37" s="1"/>
  <c r="AM112" i="37"/>
  <c r="AM84" i="37" s="1"/>
  <c r="AS105" i="15"/>
  <c r="AS48" i="15" s="1"/>
  <c r="AM111" i="37"/>
  <c r="AM83" i="37" s="1"/>
  <c r="AS106" i="15"/>
  <c r="AN112" i="37"/>
  <c r="AN84" i="37" s="1"/>
  <c r="AT105" i="15"/>
  <c r="AT48" i="15" s="1"/>
  <c r="AN111" i="37"/>
  <c r="AN83" i="37" s="1"/>
  <c r="AT106" i="15"/>
  <c r="D23" i="54"/>
  <c r="AM75" i="14" s="1"/>
  <c r="M49" i="15"/>
  <c r="AM124" i="15"/>
  <c r="AM67" i="15" s="1"/>
  <c r="AM105" i="15"/>
  <c r="AG112" i="37"/>
  <c r="AG84" i="37" s="1"/>
  <c r="AM106" i="15"/>
  <c r="AG111" i="37"/>
  <c r="AG83" i="37" s="1"/>
  <c r="AO83" i="14"/>
  <c r="AL113" i="37" s="1"/>
  <c r="G15" i="56"/>
  <c r="G34" i="56" s="1"/>
  <c r="AN105" i="15"/>
  <c r="AH111" i="37"/>
  <c r="AH83" i="37" s="1"/>
  <c r="AH112" i="37"/>
  <c r="AH84" i="37" s="1"/>
  <c r="AN106" i="15"/>
  <c r="N48" i="37"/>
  <c r="N49" i="37"/>
  <c r="AP65" i="14"/>
  <c r="H14" i="53"/>
  <c r="H24" i="53" s="1"/>
  <c r="I24" i="53" s="1"/>
  <c r="AR107" i="15"/>
  <c r="AR50" i="15" s="1"/>
  <c r="AR108" i="15"/>
  <c r="AL114" i="37"/>
  <c r="I15" i="53"/>
  <c r="I36" i="53" s="1"/>
  <c r="AQ103" i="14"/>
  <c r="H15" i="53"/>
  <c r="H35" i="53" s="1"/>
  <c r="I35" i="53" s="1"/>
  <c r="AP103" i="14"/>
  <c r="AP51" i="15"/>
  <c r="F51" i="15" s="1"/>
  <c r="AQ65" i="14"/>
  <c r="I14" i="53"/>
  <c r="I25" i="53" s="1"/>
  <c r="AL107" i="15"/>
  <c r="AL108" i="15"/>
  <c r="AL51" i="15" s="1"/>
  <c r="AF114" i="37"/>
  <c r="N51" i="15"/>
  <c r="E37" i="54"/>
  <c r="AN77" i="14" s="1"/>
  <c r="O50" i="37"/>
  <c r="AJ50" i="15"/>
  <c r="F50" i="15" s="1"/>
  <c r="G37" i="53"/>
  <c r="G43" i="53" s="1"/>
  <c r="F38" i="54" s="1"/>
  <c r="AO115" i="14" s="1"/>
  <c r="O51" i="37"/>
  <c r="N50" i="15"/>
  <c r="AP55" i="14"/>
  <c r="AG119" i="37" s="1"/>
  <c r="AJ57" i="37"/>
  <c r="G57" i="37" s="1"/>
  <c r="AK57" i="37"/>
  <c r="H57" i="37" s="1"/>
  <c r="AM119" i="37"/>
  <c r="AM120" i="37"/>
  <c r="AL119" i="37"/>
  <c r="AL120" i="37"/>
  <c r="AH119" i="37"/>
  <c r="AH120" i="37"/>
  <c r="AF119" i="37"/>
  <c r="AF120" i="37"/>
  <c r="AN119" i="37"/>
  <c r="AN120" i="37"/>
  <c r="I15" i="3"/>
  <c r="I36" i="3" s="1"/>
  <c r="AN114" i="14"/>
  <c r="AM76" i="14"/>
  <c r="E30" i="54"/>
  <c r="G26" i="53" l="1"/>
  <c r="G42" i="53" s="1"/>
  <c r="F37" i="54" s="1"/>
  <c r="AO77" i="14" s="1"/>
  <c r="G37" i="3"/>
  <c r="G43" i="3" s="1"/>
  <c r="F31" i="54" s="1"/>
  <c r="AO114" i="14" s="1"/>
  <c r="H34" i="56"/>
  <c r="I34" i="56" s="1"/>
  <c r="AT13" i="50"/>
  <c r="AO22" i="50"/>
  <c r="AP22" i="50"/>
  <c r="AP13" i="50" s="1"/>
  <c r="AQ13" i="50"/>
  <c r="AT22" i="50"/>
  <c r="AS22" i="50"/>
  <c r="AL13" i="50"/>
  <c r="AS13" i="50" s="1"/>
  <c r="AJ22" i="50"/>
  <c r="AJ13" i="50" s="1"/>
  <c r="AX13" i="50" s="1"/>
  <c r="AI22" i="50"/>
  <c r="AI13" i="50" s="1"/>
  <c r="H21" i="56"/>
  <c r="G26" i="56"/>
  <c r="G42" i="56" s="1"/>
  <c r="G37" i="56"/>
  <c r="G43" i="56" s="1"/>
  <c r="F24" i="54" s="1"/>
  <c r="AO113" i="14" s="1"/>
  <c r="I21" i="3"/>
  <c r="I26" i="3" s="1"/>
  <c r="I42" i="3" s="1"/>
  <c r="H26" i="3"/>
  <c r="H42" i="3" s="1"/>
  <c r="I37" i="3"/>
  <c r="I43" i="3" s="1"/>
  <c r="H31" i="54" s="1"/>
  <c r="H37" i="3"/>
  <c r="H43" i="3" s="1"/>
  <c r="G31" i="54" s="1"/>
  <c r="G53" i="37"/>
  <c r="AF57" i="37"/>
  <c r="AH57" i="37"/>
  <c r="AG56" i="37"/>
  <c r="AN49" i="37"/>
  <c r="AM49" i="37"/>
  <c r="AN52" i="37"/>
  <c r="AM53" i="37"/>
  <c r="R56" i="37"/>
  <c r="AF56" i="37"/>
  <c r="AH56" i="37"/>
  <c r="P56" i="37"/>
  <c r="AL56" i="37"/>
  <c r="Q56" i="37"/>
  <c r="AM56" i="37"/>
  <c r="AL51" i="37"/>
  <c r="AL50" i="37"/>
  <c r="AN53" i="37"/>
  <c r="AM52" i="37"/>
  <c r="AN48" i="37"/>
  <c r="AM48" i="37"/>
  <c r="N68" i="15"/>
  <c r="D15" i="54"/>
  <c r="D17" i="54" s="1"/>
  <c r="AF113" i="37"/>
  <c r="R53" i="37"/>
  <c r="Q53" i="37"/>
  <c r="AM38" i="50"/>
  <c r="AL116" i="37"/>
  <c r="AL115" i="37"/>
  <c r="AH53" i="37"/>
  <c r="AG53" i="37"/>
  <c r="AD52" i="37"/>
  <c r="G52" i="37" s="1"/>
  <c r="R52" i="37"/>
  <c r="Q52" i="37"/>
  <c r="AG38" i="50"/>
  <c r="AF115" i="37"/>
  <c r="N68" i="37"/>
  <c r="M68" i="15"/>
  <c r="E16" i="54"/>
  <c r="AN116" i="14" s="1"/>
  <c r="AD49" i="37"/>
  <c r="G49" i="37" s="1"/>
  <c r="AD48" i="37"/>
  <c r="G48" i="37" s="1"/>
  <c r="AJ48" i="15"/>
  <c r="F48" i="15" s="1"/>
  <c r="AN49" i="15"/>
  <c r="R48" i="37"/>
  <c r="Q48" i="37"/>
  <c r="Q49" i="37"/>
  <c r="Q49" i="15"/>
  <c r="P49" i="15"/>
  <c r="E23" i="54"/>
  <c r="AN75" i="14" s="1"/>
  <c r="R49" i="37"/>
  <c r="Q48" i="15"/>
  <c r="AL112" i="37"/>
  <c r="AL84" i="37" s="1"/>
  <c r="AR105" i="15"/>
  <c r="AR48" i="15" s="1"/>
  <c r="AL111" i="37"/>
  <c r="AL83" i="37" s="1"/>
  <c r="AR106" i="15"/>
  <c r="AM49" i="15"/>
  <c r="P48" i="15"/>
  <c r="AP49" i="15"/>
  <c r="F49" i="15" s="1"/>
  <c r="AL124" i="15"/>
  <c r="AL67" i="15" s="1"/>
  <c r="AL105" i="15"/>
  <c r="AF112" i="37"/>
  <c r="AF84" i="37" s="1"/>
  <c r="AL106" i="15"/>
  <c r="AF111" i="37"/>
  <c r="AF83" i="37" s="1"/>
  <c r="O68" i="37"/>
  <c r="AE50" i="37"/>
  <c r="H50" i="37" s="1"/>
  <c r="AQ51" i="15"/>
  <c r="G51" i="15" s="1"/>
  <c r="I26" i="53"/>
  <c r="I42" i="53" s="1"/>
  <c r="H26" i="53"/>
  <c r="H42" i="53" s="1"/>
  <c r="I37" i="53"/>
  <c r="I43" i="53" s="1"/>
  <c r="H38" i="54" s="1"/>
  <c r="AQ115" i="14" s="1"/>
  <c r="H37" i="53"/>
  <c r="H43" i="53" s="1"/>
  <c r="G38" i="54" s="1"/>
  <c r="AP115" i="14" s="1"/>
  <c r="AK50" i="15"/>
  <c r="G50" i="15" s="1"/>
  <c r="AE51" i="37"/>
  <c r="H51" i="37" s="1"/>
  <c r="P51" i="37"/>
  <c r="O50" i="15"/>
  <c r="AN107" i="15"/>
  <c r="AN108" i="15"/>
  <c r="AN51" i="15" s="1"/>
  <c r="AH114" i="37"/>
  <c r="AH113" i="37"/>
  <c r="AS107" i="15"/>
  <c r="AS50" i="15" s="1"/>
  <c r="AS108" i="15"/>
  <c r="AM114" i="37"/>
  <c r="AM113" i="37"/>
  <c r="AT107" i="15"/>
  <c r="AT50" i="15" s="1"/>
  <c r="AT108" i="15"/>
  <c r="AN114" i="37"/>
  <c r="AN113" i="37"/>
  <c r="O51" i="15"/>
  <c r="AM107" i="15"/>
  <c r="AM108" i="15"/>
  <c r="AM51" i="15" s="1"/>
  <c r="AG114" i="37"/>
  <c r="AG113" i="37"/>
  <c r="AG120" i="37"/>
  <c r="R57" i="37"/>
  <c r="P57" i="37"/>
  <c r="Q57" i="37"/>
  <c r="AN56" i="37"/>
  <c r="F30" i="54"/>
  <c r="AN76" i="14"/>
  <c r="J53" i="37" l="1"/>
  <c r="AN22" i="50"/>
  <c r="AO13" i="50"/>
  <c r="AW13" i="50"/>
  <c r="AW22" i="50"/>
  <c r="AH22" i="50"/>
  <c r="AH13" i="50" s="1"/>
  <c r="AX22" i="50"/>
  <c r="I37" i="56"/>
  <c r="I43" i="56" s="1"/>
  <c r="H24" i="54" s="1"/>
  <c r="AQ113" i="14" s="1"/>
  <c r="H37" i="56"/>
  <c r="I21" i="56"/>
  <c r="I26" i="56" s="1"/>
  <c r="I42" i="56" s="1"/>
  <c r="H26" i="56"/>
  <c r="H42" i="56" s="1"/>
  <c r="K56" i="37"/>
  <c r="K53" i="37"/>
  <c r="J56" i="37"/>
  <c r="I56" i="37"/>
  <c r="AN51" i="37"/>
  <c r="AM51" i="37"/>
  <c r="AL49" i="37"/>
  <c r="AL53" i="37"/>
  <c r="AM78" i="14"/>
  <c r="AG57" i="37"/>
  <c r="AN50" i="37"/>
  <c r="AM50" i="37"/>
  <c r="AL52" i="37"/>
  <c r="P50" i="37"/>
  <c r="AL48" i="37"/>
  <c r="P53" i="37"/>
  <c r="E15" i="54"/>
  <c r="E17" i="54" s="1"/>
  <c r="AH52" i="37"/>
  <c r="K52" i="37" s="1"/>
  <c r="AG52" i="37"/>
  <c r="J52" i="37" s="1"/>
  <c r="AF53" i="37"/>
  <c r="I53" i="37" s="1"/>
  <c r="P52" i="37"/>
  <c r="G68" i="15"/>
  <c r="G68" i="37"/>
  <c r="H68" i="37"/>
  <c r="F68" i="15"/>
  <c r="A1" i="53"/>
  <c r="E19" i="1" s="1"/>
  <c r="H19" i="1" s="1"/>
  <c r="F16" i="54"/>
  <c r="AO116" i="14" s="1"/>
  <c r="F23" i="54"/>
  <c r="AO75" i="14" s="1"/>
  <c r="P48" i="37"/>
  <c r="P49" i="37"/>
  <c r="AM48" i="15"/>
  <c r="I48" i="15" s="1"/>
  <c r="O49" i="15"/>
  <c r="AN48" i="15"/>
  <c r="J48" i="15" s="1"/>
  <c r="AH49" i="37"/>
  <c r="K49" i="37" s="1"/>
  <c r="AS49" i="15"/>
  <c r="I49" i="15" s="1"/>
  <c r="AT49" i="15"/>
  <c r="J49" i="15" s="1"/>
  <c r="AG49" i="37"/>
  <c r="J49" i="37" s="1"/>
  <c r="AG48" i="37"/>
  <c r="J48" i="37" s="1"/>
  <c r="AH48" i="37"/>
  <c r="K48" i="37" s="1"/>
  <c r="H43" i="56"/>
  <c r="G24" i="54" s="1"/>
  <c r="AP113" i="14" s="1"/>
  <c r="AL49" i="15"/>
  <c r="O48" i="15"/>
  <c r="Q51" i="37"/>
  <c r="R51" i="37"/>
  <c r="Q50" i="37"/>
  <c r="AR51" i="15"/>
  <c r="H51" i="15" s="1"/>
  <c r="Q51" i="15"/>
  <c r="P51" i="15"/>
  <c r="R50" i="37"/>
  <c r="AL50" i="15"/>
  <c r="H50" i="15" s="1"/>
  <c r="AF51" i="37"/>
  <c r="I51" i="37" s="1"/>
  <c r="AF50" i="37"/>
  <c r="I50" i="37" s="1"/>
  <c r="G37" i="54"/>
  <c r="AP77" i="14" s="1"/>
  <c r="P50" i="15"/>
  <c r="Q50" i="15"/>
  <c r="H37" i="54"/>
  <c r="AQ77" i="14" s="1"/>
  <c r="AM57" i="37"/>
  <c r="J57" i="37" s="1"/>
  <c r="AL57" i="37"/>
  <c r="I57" i="37" s="1"/>
  <c r="AN57" i="37"/>
  <c r="K57" i="37" s="1"/>
  <c r="G30" i="54"/>
  <c r="A1" i="3"/>
  <c r="E18" i="1" s="1"/>
  <c r="H18" i="1" s="1"/>
  <c r="AO76" i="14"/>
  <c r="AP114" i="14"/>
  <c r="AQ114" i="14"/>
  <c r="H30" i="54"/>
  <c r="AV13" i="50" l="1"/>
  <c r="AU22" i="50"/>
  <c r="AN13" i="50"/>
  <c r="AU13" i="50" s="1"/>
  <c r="AV22" i="50"/>
  <c r="G16" i="54"/>
  <c r="AP116" i="14" s="1"/>
  <c r="AN78" i="14"/>
  <c r="AF52" i="37"/>
  <c r="I52" i="37" s="1"/>
  <c r="F15" i="54"/>
  <c r="F17" i="54" s="1"/>
  <c r="P68" i="37"/>
  <c r="O68" i="15"/>
  <c r="R68" i="37"/>
  <c r="P68" i="15"/>
  <c r="Q68" i="37"/>
  <c r="Q68" i="15"/>
  <c r="H16" i="54"/>
  <c r="AQ116" i="14" s="1"/>
  <c r="AR49" i="15"/>
  <c r="H49" i="15" s="1"/>
  <c r="H23" i="54"/>
  <c r="AQ75" i="14" s="1"/>
  <c r="AL48" i="15"/>
  <c r="H48" i="15" s="1"/>
  <c r="G23" i="54"/>
  <c r="AP75" i="14" s="1"/>
  <c r="AF49" i="37"/>
  <c r="I49" i="37" s="1"/>
  <c r="AF48" i="37"/>
  <c r="I48" i="37" s="1"/>
  <c r="A1" i="56"/>
  <c r="E17" i="1" s="1"/>
  <c r="H17" i="1" s="1"/>
  <c r="AH50" i="37"/>
  <c r="K50" i="37" s="1"/>
  <c r="AS51" i="15"/>
  <c r="I51" i="15" s="1"/>
  <c r="AT51" i="15"/>
  <c r="J51" i="15" s="1"/>
  <c r="AN50" i="15"/>
  <c r="J50" i="15" s="1"/>
  <c r="AM50" i="15"/>
  <c r="I50" i="15" s="1"/>
  <c r="AG50" i="37"/>
  <c r="J50" i="37" s="1"/>
  <c r="AH51" i="37"/>
  <c r="K51" i="37" s="1"/>
  <c r="AG51" i="37"/>
  <c r="J51" i="37" s="1"/>
  <c r="AQ76" i="14"/>
  <c r="AP76" i="14"/>
  <c r="AO78" i="14" l="1"/>
  <c r="K68" i="37"/>
  <c r="H15" i="54"/>
  <c r="H17" i="54" s="1"/>
  <c r="J68" i="37"/>
  <c r="I68" i="37"/>
  <c r="G15" i="54"/>
  <c r="G17" i="54" s="1"/>
  <c r="J68" i="15"/>
  <c r="I68" i="15"/>
  <c r="H68" i="15"/>
  <c r="I402" i="41" l="1"/>
  <c r="AQ78" i="14"/>
  <c r="A1" i="54"/>
  <c r="E16" i="1" s="1"/>
  <c r="H16" i="1" s="1"/>
  <c r="AP78" i="14"/>
  <c r="D185" i="15" l="1"/>
  <c r="I185" i="15" s="1"/>
  <c r="B80" i="15" l="1"/>
  <c r="D19" i="15"/>
  <c r="B85" i="15"/>
  <c r="D24" i="15"/>
  <c r="B81" i="15"/>
  <c r="D20" i="15"/>
  <c r="B89" i="15"/>
  <c r="D28" i="15"/>
  <c r="B90" i="15"/>
  <c r="D29" i="15"/>
  <c r="B94" i="15"/>
  <c r="N33" i="15"/>
  <c r="M33" i="15"/>
  <c r="Q33" i="15"/>
  <c r="G33" i="15"/>
  <c r="D33" i="15"/>
  <c r="H33" i="15"/>
  <c r="L33" i="15"/>
  <c r="O33" i="15"/>
  <c r="I33" i="15"/>
  <c r="J33" i="15"/>
  <c r="P33" i="15"/>
  <c r="E33" i="15"/>
  <c r="F33" i="15"/>
  <c r="B84" i="15"/>
  <c r="D23" i="15"/>
  <c r="B77" i="15"/>
  <c r="D16" i="15"/>
  <c r="B78" i="15"/>
  <c r="D17" i="15"/>
  <c r="B83" i="15"/>
  <c r="D22" i="15"/>
  <c r="B79" i="15"/>
  <c r="D18" i="15"/>
  <c r="B82" i="15"/>
  <c r="D21" i="15"/>
  <c r="B88" i="15"/>
  <c r="D27" i="15"/>
  <c r="B92" i="15"/>
  <c r="D31" i="15"/>
  <c r="B95" i="15"/>
  <c r="N34" i="15"/>
  <c r="M34" i="15"/>
  <c r="Q34" i="15"/>
  <c r="G34" i="15"/>
  <c r="F34" i="15"/>
  <c r="J34" i="15"/>
  <c r="L34" i="15"/>
  <c r="P34" i="15"/>
  <c r="O34" i="15"/>
  <c r="E34" i="15"/>
  <c r="I34" i="15"/>
  <c r="H34" i="15"/>
  <c r="D34" i="15"/>
  <c r="B96" i="15"/>
  <c r="N35" i="15"/>
  <c r="M35" i="15"/>
  <c r="Q35" i="15"/>
  <c r="G35" i="15"/>
  <c r="D35" i="15"/>
  <c r="H35" i="15"/>
  <c r="L35" i="15"/>
  <c r="O35" i="15"/>
  <c r="I35" i="15"/>
  <c r="J35" i="15"/>
  <c r="P35" i="15"/>
  <c r="E35" i="15"/>
  <c r="F35" i="15"/>
  <c r="B18" i="15"/>
  <c r="B33" i="15"/>
  <c r="B24" i="15"/>
  <c r="B16" i="15"/>
  <c r="B17" i="15"/>
  <c r="B19" i="15"/>
  <c r="B22" i="15"/>
  <c r="B20" i="15"/>
  <c r="B21" i="15"/>
  <c r="B28" i="15"/>
  <c r="B27" i="15"/>
  <c r="B29" i="15"/>
  <c r="B31" i="15"/>
  <c r="B34" i="15"/>
  <c r="B158" i="15"/>
  <c r="D197" i="15"/>
  <c r="I197" i="15" s="1"/>
  <c r="B159" i="15"/>
  <c r="B161" i="15"/>
  <c r="D221" i="15"/>
  <c r="I221" i="15" s="1"/>
  <c r="B166" i="15"/>
  <c r="D281" i="15"/>
  <c r="I281" i="15" s="1"/>
  <c r="B168" i="15"/>
  <c r="D305" i="15"/>
  <c r="I305" i="15" s="1"/>
  <c r="B172" i="15"/>
  <c r="D353" i="15"/>
  <c r="I353" i="15" s="1"/>
  <c r="B174" i="15"/>
  <c r="D377" i="15"/>
  <c r="I377" i="15" s="1"/>
  <c r="B167" i="15"/>
  <c r="D293" i="15"/>
  <c r="I293" i="15" s="1"/>
  <c r="B23" i="15"/>
  <c r="B35" i="15"/>
  <c r="B164" i="15"/>
  <c r="D257" i="15"/>
  <c r="I257" i="15" s="1"/>
  <c r="B160" i="15"/>
  <c r="D209" i="15"/>
  <c r="I209" i="15" s="1"/>
  <c r="B162" i="15"/>
  <c r="D233" i="15"/>
  <c r="I233" i="15" s="1"/>
  <c r="B163" i="15"/>
  <c r="D245" i="15"/>
  <c r="I245" i="15" s="1"/>
  <c r="B170" i="15"/>
  <c r="D329" i="15"/>
  <c r="I329" i="15" s="1"/>
  <c r="B169" i="15"/>
  <c r="D317" i="15"/>
  <c r="I317" i="15" s="1"/>
  <c r="B171" i="15"/>
  <c r="D341" i="15"/>
  <c r="I341" i="15" s="1"/>
  <c r="B173" i="15"/>
  <c r="D365" i="15"/>
  <c r="I365" i="15" s="1"/>
  <c r="B175" i="15"/>
  <c r="D389" i="15"/>
  <c r="I389" i="15" s="1"/>
  <c r="B176" i="15"/>
  <c r="D401" i="15"/>
  <c r="I401" i="15" s="1"/>
  <c r="B165" i="15"/>
  <c r="D269" i="15"/>
  <c r="I269" i="15" s="1"/>
  <c r="B177" i="15"/>
  <c r="D413" i="15"/>
  <c r="I413" i="15" s="1"/>
  <c r="C317" i="38" l="1"/>
  <c r="I317" i="38" s="1"/>
  <c r="AB34" i="15"/>
  <c r="C281" i="38"/>
  <c r="I281" i="38" s="1"/>
  <c r="AB31" i="15"/>
  <c r="C233" i="38"/>
  <c r="I233" i="38" s="1"/>
  <c r="AB27" i="15"/>
  <c r="C161" i="38"/>
  <c r="I161" i="38" s="1"/>
  <c r="AB21" i="15"/>
  <c r="C125" i="38"/>
  <c r="I125" i="38" s="1"/>
  <c r="AB18" i="15"/>
  <c r="C173" i="38"/>
  <c r="I173" i="38" s="1"/>
  <c r="AB22" i="15"/>
  <c r="C113" i="38"/>
  <c r="I113" i="38" s="1"/>
  <c r="AB17" i="15"/>
  <c r="C101" i="38"/>
  <c r="I101" i="38" s="1"/>
  <c r="AB16" i="15"/>
  <c r="C185" i="38"/>
  <c r="I185" i="38" s="1"/>
  <c r="AB23" i="15"/>
  <c r="C305" i="38"/>
  <c r="I305" i="38" s="1"/>
  <c r="AB33" i="15"/>
  <c r="C257" i="38"/>
  <c r="I257" i="38" s="1"/>
  <c r="AB29" i="15"/>
  <c r="C149" i="38"/>
  <c r="I149" i="38" s="1"/>
  <c r="AB20" i="15"/>
  <c r="C197" i="38"/>
  <c r="I197" i="38" s="1"/>
  <c r="AB24" i="15"/>
  <c r="C137" i="38"/>
  <c r="I137" i="38" s="1"/>
  <c r="AB19" i="15"/>
  <c r="C329" i="38"/>
  <c r="I329" i="38" s="1"/>
  <c r="AB35" i="15"/>
  <c r="C245" i="38"/>
  <c r="I245" i="38" s="1"/>
  <c r="AB28" i="15"/>
  <c r="B93" i="15"/>
  <c r="N32" i="15"/>
  <c r="M32" i="15"/>
  <c r="Q32" i="15"/>
  <c r="G32" i="15"/>
  <c r="F32" i="15"/>
  <c r="J32" i="15"/>
  <c r="L32" i="15"/>
  <c r="P32" i="15"/>
  <c r="O32" i="15"/>
  <c r="E32" i="15"/>
  <c r="I32" i="15"/>
  <c r="H32" i="15"/>
  <c r="D32" i="15"/>
  <c r="B87" i="15"/>
  <c r="D26" i="15"/>
  <c r="B86" i="15"/>
  <c r="D25" i="15"/>
  <c r="B91" i="15"/>
  <c r="D30" i="15"/>
  <c r="B32" i="15"/>
  <c r="B25" i="15"/>
  <c r="B30" i="15"/>
  <c r="H408" i="7"/>
  <c r="F407" i="7"/>
  <c r="G407" i="7"/>
  <c r="G408" i="7"/>
  <c r="E407" i="7"/>
  <c r="E408" i="7"/>
  <c r="H399" i="7"/>
  <c r="G399" i="7"/>
  <c r="F399" i="7"/>
  <c r="G400" i="7"/>
  <c r="E399" i="7"/>
  <c r="E400" i="7"/>
  <c r="H391" i="7"/>
  <c r="G392" i="7"/>
  <c r="H392" i="7"/>
  <c r="D391" i="7"/>
  <c r="E392" i="7"/>
  <c r="B26" i="15"/>
  <c r="I407" i="7"/>
  <c r="I408" i="7"/>
  <c r="H407" i="7"/>
  <c r="F408" i="7"/>
  <c r="D407" i="7"/>
  <c r="D408" i="7"/>
  <c r="B178" i="15"/>
  <c r="I399" i="7"/>
  <c r="I400" i="7"/>
  <c r="H400" i="7"/>
  <c r="F400" i="7"/>
  <c r="D399" i="7"/>
  <c r="D400" i="7"/>
  <c r="I391" i="7"/>
  <c r="I392" i="7"/>
  <c r="F391" i="7"/>
  <c r="E391" i="7"/>
  <c r="F392" i="7"/>
  <c r="D392" i="7"/>
  <c r="B97" i="15" l="1"/>
  <c r="I71" i="15" s="1"/>
  <c r="D144" i="37"/>
  <c r="D143" i="37"/>
  <c r="D147" i="37"/>
  <c r="D142" i="37"/>
  <c r="C167" i="37" s="1"/>
  <c r="D145" i="37"/>
  <c r="D146" i="37"/>
  <c r="D141" i="37"/>
  <c r="C166" i="37" s="1"/>
  <c r="C269" i="38"/>
  <c r="I269" i="38" s="1"/>
  <c r="AB30" i="15"/>
  <c r="C293" i="38"/>
  <c r="I293" i="38" s="1"/>
  <c r="AB32" i="15"/>
  <c r="C209" i="38"/>
  <c r="I209" i="38" s="1"/>
  <c r="AB25" i="15"/>
  <c r="C221" i="38"/>
  <c r="I221" i="38" s="1"/>
  <c r="AB26" i="15"/>
  <c r="I12" i="15"/>
  <c r="J284" i="50"/>
  <c r="J320" i="50"/>
  <c r="J338" i="50"/>
  <c r="J302" i="50"/>
  <c r="I284" i="50"/>
  <c r="I320" i="50"/>
  <c r="I302" i="50"/>
  <c r="I338" i="50"/>
  <c r="K292" i="50"/>
  <c r="K328" i="50"/>
  <c r="K310" i="50"/>
  <c r="K346" i="50"/>
  <c r="G292" i="50"/>
  <c r="G328" i="50"/>
  <c r="G310" i="50"/>
  <c r="G346" i="50"/>
  <c r="H292" i="50"/>
  <c r="H310" i="50"/>
  <c r="H328" i="50"/>
  <c r="H346" i="50"/>
  <c r="F292" i="50"/>
  <c r="F346" i="50"/>
  <c r="F328" i="50"/>
  <c r="F310" i="50"/>
  <c r="K284" i="50"/>
  <c r="K320" i="50"/>
  <c r="K302" i="50"/>
  <c r="K338" i="50"/>
  <c r="J292" i="50"/>
  <c r="J328" i="50"/>
  <c r="J346" i="50"/>
  <c r="J310" i="50"/>
  <c r="H284" i="50"/>
  <c r="H320" i="50"/>
  <c r="H338" i="50"/>
  <c r="H302" i="50"/>
  <c r="I328" i="50"/>
  <c r="I310" i="50"/>
  <c r="I346" i="50"/>
  <c r="G284" i="50"/>
  <c r="G320" i="50"/>
  <c r="G302" i="50"/>
  <c r="G338" i="50"/>
  <c r="F284" i="50"/>
  <c r="F320" i="50"/>
  <c r="F302" i="50"/>
  <c r="I292" i="50"/>
  <c r="I383" i="7"/>
  <c r="G383" i="7"/>
  <c r="I384" i="7"/>
  <c r="E384" i="7"/>
  <c r="F384" i="7"/>
  <c r="F383" i="7"/>
  <c r="H383" i="7"/>
  <c r="E383" i="7"/>
  <c r="H384" i="7"/>
  <c r="D383" i="7"/>
  <c r="D384" i="7"/>
  <c r="D152" i="37" l="1"/>
  <c r="D149" i="37"/>
  <c r="D174" i="37" s="1"/>
  <c r="C177" i="37"/>
  <c r="AD152" i="37"/>
  <c r="D177" i="37"/>
  <c r="D154" i="37"/>
  <c r="D153" i="37"/>
  <c r="D150" i="37"/>
  <c r="D151" i="37"/>
  <c r="C168" i="37"/>
  <c r="D168" i="37"/>
  <c r="D148" i="37"/>
  <c r="AD149" i="37"/>
  <c r="C174" i="37"/>
  <c r="M174" i="37" s="1"/>
  <c r="AD146" i="37"/>
  <c r="C171" i="37"/>
  <c r="D171" i="37"/>
  <c r="AD145" i="37"/>
  <c r="C170" i="37"/>
  <c r="D170" i="37"/>
  <c r="C172" i="37"/>
  <c r="AD147" i="37"/>
  <c r="D172" i="37"/>
  <c r="C169" i="37"/>
  <c r="AD144" i="37"/>
  <c r="D169" i="37"/>
  <c r="D139" i="37"/>
  <c r="D164" i="37" s="1"/>
  <c r="D140" i="37"/>
  <c r="C165" i="37" s="1"/>
  <c r="D166" i="37"/>
  <c r="D167" i="37"/>
  <c r="H295" i="50"/>
  <c r="G287" i="50"/>
  <c r="J286" i="50"/>
  <c r="K297" i="50"/>
  <c r="F287" i="50"/>
  <c r="F286" i="50"/>
  <c r="G288" i="50"/>
  <c r="W285" i="50" s="1"/>
  <c r="F288" i="50"/>
  <c r="W284" i="50" s="1"/>
  <c r="F289" i="50"/>
  <c r="G286" i="50"/>
  <c r="H286" i="50"/>
  <c r="K288" i="50"/>
  <c r="W289" i="50" s="1"/>
  <c r="G289" i="50"/>
  <c r="J294" i="50"/>
  <c r="F294" i="50"/>
  <c r="G294" i="50"/>
  <c r="I287" i="50"/>
  <c r="J296" i="50"/>
  <c r="K286" i="50"/>
  <c r="F297" i="50"/>
  <c r="H297" i="50"/>
  <c r="G296" i="50"/>
  <c r="K295" i="50"/>
  <c r="I286" i="50"/>
  <c r="J289" i="50"/>
  <c r="H287" i="50"/>
  <c r="J297" i="50"/>
  <c r="J295" i="50"/>
  <c r="K289" i="50"/>
  <c r="K287" i="50"/>
  <c r="F295" i="50"/>
  <c r="F296" i="50"/>
  <c r="H294" i="50"/>
  <c r="H296" i="50"/>
  <c r="G295" i="50"/>
  <c r="G297" i="50"/>
  <c r="K296" i="50"/>
  <c r="K294" i="50"/>
  <c r="I288" i="50"/>
  <c r="W287" i="50" s="1"/>
  <c r="I289" i="50"/>
  <c r="J288" i="50"/>
  <c r="W288" i="50" s="1"/>
  <c r="J287" i="50"/>
  <c r="H289" i="50"/>
  <c r="H288" i="50"/>
  <c r="W286" i="50" s="1"/>
  <c r="F305" i="50"/>
  <c r="F307" i="50"/>
  <c r="F306" i="50"/>
  <c r="W302" i="50" s="1"/>
  <c r="F304" i="50"/>
  <c r="G304" i="50"/>
  <c r="G307" i="50"/>
  <c r="G305" i="50"/>
  <c r="G306" i="50"/>
  <c r="W303" i="50" s="1"/>
  <c r="I312" i="50"/>
  <c r="I315" i="50"/>
  <c r="I313" i="50"/>
  <c r="I314" i="50"/>
  <c r="H304" i="50"/>
  <c r="H306" i="50"/>
  <c r="W304" i="50" s="1"/>
  <c r="H307" i="50"/>
  <c r="H305" i="50"/>
  <c r="H323" i="50"/>
  <c r="H324" i="50"/>
  <c r="W322" i="50"/>
  <c r="H322" i="50"/>
  <c r="H325" i="50"/>
  <c r="J313" i="50"/>
  <c r="J312" i="50"/>
  <c r="J314" i="50"/>
  <c r="J315" i="50"/>
  <c r="J333" i="50"/>
  <c r="J331" i="50"/>
  <c r="J332" i="50"/>
  <c r="J330" i="50"/>
  <c r="K342" i="50"/>
  <c r="K340" i="50"/>
  <c r="K341" i="50"/>
  <c r="K343" i="50"/>
  <c r="W343" i="50"/>
  <c r="K324" i="50"/>
  <c r="K325" i="50"/>
  <c r="W325" i="50"/>
  <c r="K323" i="50"/>
  <c r="K322" i="50"/>
  <c r="F314" i="50"/>
  <c r="F315" i="50"/>
  <c r="F313" i="50"/>
  <c r="F312" i="50"/>
  <c r="F350" i="50"/>
  <c r="F349" i="50"/>
  <c r="F351" i="50"/>
  <c r="F348" i="50"/>
  <c r="H348" i="50"/>
  <c r="H349" i="50"/>
  <c r="H351" i="50"/>
  <c r="H350" i="50"/>
  <c r="H312" i="50"/>
  <c r="H314" i="50"/>
  <c r="H315" i="50"/>
  <c r="H313" i="50"/>
  <c r="G350" i="50"/>
  <c r="G348" i="50"/>
  <c r="G351" i="50"/>
  <c r="G349" i="50"/>
  <c r="G330" i="50"/>
  <c r="G333" i="50"/>
  <c r="G331" i="50"/>
  <c r="G332" i="50"/>
  <c r="K350" i="50"/>
  <c r="K348" i="50"/>
  <c r="K351" i="50"/>
  <c r="K349" i="50"/>
  <c r="K332" i="50"/>
  <c r="K330" i="50"/>
  <c r="K333" i="50"/>
  <c r="K331" i="50"/>
  <c r="I342" i="50"/>
  <c r="I343" i="50"/>
  <c r="I341" i="50"/>
  <c r="I340" i="50"/>
  <c r="W341" i="50"/>
  <c r="I322" i="50"/>
  <c r="I325" i="50"/>
  <c r="W323" i="50"/>
  <c r="I323" i="50"/>
  <c r="I324" i="50"/>
  <c r="J306" i="50"/>
  <c r="W306" i="50" s="1"/>
  <c r="J304" i="50"/>
  <c r="J305" i="50"/>
  <c r="J307" i="50"/>
  <c r="J325" i="50"/>
  <c r="J324" i="50"/>
  <c r="W324" i="50"/>
  <c r="J322" i="50"/>
  <c r="J323" i="50"/>
  <c r="F343" i="50"/>
  <c r="F341" i="50"/>
  <c r="F340" i="50"/>
  <c r="F342" i="50"/>
  <c r="W338" i="50" s="1"/>
  <c r="F324" i="50"/>
  <c r="W320" i="50" s="1"/>
  <c r="F323" i="50"/>
  <c r="F325" i="50"/>
  <c r="F322" i="50"/>
  <c r="G343" i="50"/>
  <c r="G341" i="50"/>
  <c r="W339" i="50"/>
  <c r="G342" i="50"/>
  <c r="G340" i="50"/>
  <c r="G324" i="50"/>
  <c r="G325" i="50"/>
  <c r="G323" i="50"/>
  <c r="G322" i="50"/>
  <c r="W321" i="50"/>
  <c r="I351" i="50"/>
  <c r="I349" i="50"/>
  <c r="I350" i="50"/>
  <c r="I348" i="50"/>
  <c r="I331" i="50"/>
  <c r="I330" i="50"/>
  <c r="I332" i="50"/>
  <c r="I333" i="50"/>
  <c r="H342" i="50"/>
  <c r="H340" i="50"/>
  <c r="H343" i="50"/>
  <c r="H341" i="50"/>
  <c r="W340" i="50"/>
  <c r="J351" i="50"/>
  <c r="J349" i="50"/>
  <c r="J350" i="50"/>
  <c r="J348" i="50"/>
  <c r="K306" i="50"/>
  <c r="W307" i="50" s="1"/>
  <c r="K304" i="50"/>
  <c r="K307" i="50"/>
  <c r="K305" i="50"/>
  <c r="F332" i="50"/>
  <c r="F331" i="50"/>
  <c r="F333" i="50"/>
  <c r="F330" i="50"/>
  <c r="H330" i="50"/>
  <c r="H333" i="50"/>
  <c r="H331" i="50"/>
  <c r="H332" i="50"/>
  <c r="G315" i="50"/>
  <c r="G312" i="50"/>
  <c r="G313" i="50"/>
  <c r="G314" i="50"/>
  <c r="K314" i="50"/>
  <c r="K312" i="50"/>
  <c r="K315" i="50"/>
  <c r="K313" i="50"/>
  <c r="I306" i="50"/>
  <c r="W305" i="50" s="1"/>
  <c r="I305" i="50"/>
  <c r="I304" i="50"/>
  <c r="I307" i="50"/>
  <c r="J341" i="50"/>
  <c r="J342" i="50"/>
  <c r="J17" i="50"/>
  <c r="J343" i="50"/>
  <c r="J340" i="50"/>
  <c r="W342" i="50"/>
  <c r="I294" i="50"/>
  <c r="I295" i="50"/>
  <c r="I297" i="50"/>
  <c r="I296" i="50"/>
  <c r="M170" i="37" l="1"/>
  <c r="N194" i="37"/>
  <c r="Q194" i="37"/>
  <c r="O194" i="37"/>
  <c r="P194" i="37"/>
  <c r="R194" i="37"/>
  <c r="S194" i="37"/>
  <c r="M172" i="37"/>
  <c r="P193" i="37"/>
  <c r="R193" i="37"/>
  <c r="S193" i="37"/>
  <c r="Q193" i="37"/>
  <c r="N193" i="37"/>
  <c r="O193" i="37"/>
  <c r="AD148" i="37"/>
  <c r="C173" i="37"/>
  <c r="M173" i="37" s="1"/>
  <c r="D173" i="37"/>
  <c r="M168" i="37"/>
  <c r="AD150" i="37"/>
  <c r="C175" i="37"/>
  <c r="M175" i="37" s="1"/>
  <c r="D175" i="37"/>
  <c r="C179" i="37"/>
  <c r="AD154" i="37"/>
  <c r="D179" i="37"/>
  <c r="R191" i="37"/>
  <c r="O191" i="37"/>
  <c r="Q191" i="37"/>
  <c r="N191" i="37"/>
  <c r="S191" i="37"/>
  <c r="P191" i="37"/>
  <c r="M169" i="37"/>
  <c r="S192" i="37"/>
  <c r="R192" i="37"/>
  <c r="N192" i="37"/>
  <c r="O192" i="37"/>
  <c r="Q192" i="37"/>
  <c r="P192" i="37"/>
  <c r="M171" i="37"/>
  <c r="O196" i="37"/>
  <c r="Q196" i="37"/>
  <c r="R196" i="37"/>
  <c r="P196" i="37"/>
  <c r="N196" i="37"/>
  <c r="S196" i="37"/>
  <c r="R190" i="37"/>
  <c r="O190" i="37"/>
  <c r="N190" i="37"/>
  <c r="S190" i="37"/>
  <c r="P190" i="37"/>
  <c r="Q190" i="37"/>
  <c r="AD151" i="37"/>
  <c r="C176" i="37"/>
  <c r="M176" i="37" s="1"/>
  <c r="D176" i="37"/>
  <c r="C178" i="37"/>
  <c r="AD153" i="37"/>
  <c r="D178" i="37"/>
  <c r="O199" i="37"/>
  <c r="P199" i="37"/>
  <c r="S199" i="37"/>
  <c r="R199" i="37"/>
  <c r="Q199" i="37"/>
  <c r="N199" i="37"/>
  <c r="M177" i="37"/>
  <c r="D165" i="37"/>
  <c r="C164" i="37"/>
  <c r="I29" i="50"/>
  <c r="K17" i="50"/>
  <c r="G23" i="50"/>
  <c r="I23" i="50"/>
  <c r="J29" i="50"/>
  <c r="I17" i="50"/>
  <c r="K29" i="50"/>
  <c r="K23" i="50"/>
  <c r="G17" i="50"/>
  <c r="H29" i="50"/>
  <c r="G29" i="50"/>
  <c r="H23" i="50"/>
  <c r="F23" i="50"/>
  <c r="J23" i="50"/>
  <c r="H17" i="50"/>
  <c r="F29" i="50"/>
  <c r="C184" i="37" l="1"/>
  <c r="E137" i="37" s="1"/>
  <c r="P198" i="37"/>
  <c r="R198" i="37"/>
  <c r="Q198" i="37"/>
  <c r="S198" i="37"/>
  <c r="N198" i="37"/>
  <c r="O198" i="37"/>
  <c r="S197" i="37"/>
  <c r="Q197" i="37"/>
  <c r="R197" i="37"/>
  <c r="P197" i="37"/>
  <c r="O197" i="37"/>
  <c r="N197" i="37"/>
  <c r="S195" i="37"/>
  <c r="N195" i="37"/>
  <c r="R195" i="37"/>
  <c r="O195" i="37"/>
  <c r="P195" i="37"/>
  <c r="Q195" i="37"/>
  <c r="Q200" i="37"/>
  <c r="P200" i="37"/>
  <c r="R200" i="37"/>
  <c r="S200" i="37"/>
  <c r="N200" i="37"/>
  <c r="O200" i="37"/>
  <c r="M178" i="37"/>
  <c r="O201" i="37"/>
  <c r="N201" i="37"/>
  <c r="R201" i="37"/>
  <c r="S201" i="37"/>
  <c r="Q201" i="37"/>
  <c r="P201" i="37"/>
  <c r="M179" i="37"/>
  <c r="G133" i="50"/>
  <c r="G134" i="50"/>
  <c r="H126" i="50" l="1"/>
  <c r="G135" i="50"/>
  <c r="G131" i="50"/>
  <c r="G127" i="50"/>
  <c r="G136" i="50"/>
  <c r="F135" i="50"/>
  <c r="F134" i="50"/>
  <c r="F131" i="50"/>
  <c r="F133" i="50"/>
  <c r="F136" i="50"/>
  <c r="I131" i="50"/>
  <c r="I136" i="50"/>
  <c r="I135" i="50"/>
  <c r="I134" i="50"/>
  <c r="I133" i="50"/>
  <c r="K134" i="50"/>
  <c r="K133" i="50"/>
  <c r="K131" i="50"/>
  <c r="K136" i="50"/>
  <c r="K135" i="50"/>
  <c r="I126" i="50"/>
  <c r="I125" i="50"/>
  <c r="I128" i="50"/>
  <c r="I127" i="50"/>
  <c r="J127" i="50"/>
  <c r="W127" i="50" s="1"/>
  <c r="J125" i="50"/>
  <c r="J123" i="50"/>
  <c r="J128" i="50"/>
  <c r="J126" i="50"/>
  <c r="K123" i="50"/>
  <c r="K125" i="50"/>
  <c r="K128" i="50"/>
  <c r="K127" i="50"/>
  <c r="W128" i="50" s="1"/>
  <c r="K126" i="50"/>
  <c r="H135" i="50"/>
  <c r="H134" i="50"/>
  <c r="H131" i="50"/>
  <c r="H133" i="50"/>
  <c r="H136" i="50"/>
  <c r="J135" i="50"/>
  <c r="J134" i="50"/>
  <c r="J131" i="50"/>
  <c r="J133" i="50"/>
  <c r="J136" i="50"/>
  <c r="H127" i="50" l="1"/>
  <c r="G123" i="50"/>
  <c r="H125" i="50"/>
  <c r="W125" i="50"/>
  <c r="H123" i="50"/>
  <c r="H128" i="50"/>
  <c r="G125" i="50"/>
  <c r="G126" i="50"/>
  <c r="G128" i="50"/>
  <c r="W124" i="50"/>
  <c r="F127" i="50"/>
  <c r="W123" i="50" s="1"/>
  <c r="F123" i="50"/>
  <c r="F128" i="50"/>
  <c r="F126" i="50"/>
  <c r="F125" i="50"/>
  <c r="I113" i="50" l="1"/>
  <c r="G115" i="50"/>
  <c r="G109" i="50"/>
  <c r="W106" i="50" s="1"/>
  <c r="I105" i="50"/>
  <c r="J108" i="50"/>
  <c r="J109" i="50"/>
  <c r="J107" i="50"/>
  <c r="J110" i="50"/>
  <c r="G110" i="50"/>
  <c r="H115" i="50"/>
  <c r="H118" i="50"/>
  <c r="H117" i="50"/>
  <c r="H116" i="50"/>
  <c r="K118" i="50"/>
  <c r="K117" i="50"/>
  <c r="K116" i="50"/>
  <c r="K115" i="50"/>
  <c r="K110" i="50"/>
  <c r="K107" i="50"/>
  <c r="K108" i="50"/>
  <c r="K109" i="50"/>
  <c r="G116" i="50"/>
  <c r="H109" i="50"/>
  <c r="H108" i="50"/>
  <c r="H107" i="50"/>
  <c r="H110" i="50"/>
  <c r="J117" i="50"/>
  <c r="J116" i="50"/>
  <c r="J115" i="50"/>
  <c r="J118" i="50"/>
  <c r="I110" i="50" l="1"/>
  <c r="G117" i="50"/>
  <c r="I108" i="50"/>
  <c r="G113" i="50"/>
  <c r="G107" i="50"/>
  <c r="I109" i="50"/>
  <c r="W108" i="50" s="1"/>
  <c r="I107" i="50"/>
  <c r="G118" i="50"/>
  <c r="G105" i="50"/>
  <c r="I116" i="50"/>
  <c r="I118" i="50"/>
  <c r="I115" i="50"/>
  <c r="I117" i="50"/>
  <c r="G108" i="50"/>
  <c r="F109" i="50"/>
  <c r="F105" i="50"/>
  <c r="W105" i="50"/>
  <c r="F108" i="50"/>
  <c r="F107" i="50"/>
  <c r="F110" i="50"/>
  <c r="F113" i="50"/>
  <c r="F115" i="50"/>
  <c r="F118" i="50"/>
  <c r="F117" i="50"/>
  <c r="F116" i="50"/>
  <c r="C285" i="45" l="1"/>
  <c r="K285" i="45" s="1"/>
  <c r="C279" i="45"/>
  <c r="K279" i="45" s="1"/>
  <c r="C281" i="45"/>
  <c r="K281" i="45" s="1"/>
  <c r="C283" i="45"/>
  <c r="K283" i="45" s="1"/>
  <c r="C290" i="45"/>
  <c r="K290" i="45" s="1"/>
  <c r="C282" i="45"/>
  <c r="K282" i="45" s="1"/>
  <c r="C275" i="45"/>
  <c r="K275" i="45" s="1"/>
  <c r="C288" i="45"/>
  <c r="K288" i="45" s="1"/>
  <c r="C289" i="45"/>
  <c r="K289" i="45" s="1"/>
  <c r="C274" i="45"/>
  <c r="K274" i="45" s="1"/>
  <c r="C277" i="45"/>
  <c r="K277" i="45" s="1"/>
  <c r="C293" i="45"/>
  <c r="K293" i="45" s="1"/>
  <c r="C284" i="45"/>
  <c r="K284" i="45" s="1"/>
  <c r="C291" i="45"/>
  <c r="K291" i="45" s="1"/>
  <c r="C278" i="45"/>
  <c r="K278" i="45" s="1"/>
  <c r="C286" i="45"/>
  <c r="K286" i="45" s="1"/>
  <c r="C280" i="45"/>
  <c r="K280" i="45" s="1"/>
  <c r="C276" i="45"/>
  <c r="K276" i="45" s="1"/>
  <c r="C292" i="45"/>
  <c r="K292" i="45" s="1"/>
  <c r="C287" i="45"/>
  <c r="K287" i="45" s="1"/>
  <c r="R280" i="45" l="1"/>
  <c r="Q280" i="45"/>
  <c r="R278" i="45"/>
  <c r="Q278" i="45"/>
  <c r="R287" i="45"/>
  <c r="Q287" i="45"/>
  <c r="R276" i="45"/>
  <c r="Q276" i="45"/>
  <c r="R286" i="45"/>
  <c r="Q286" i="45"/>
  <c r="R291" i="45"/>
  <c r="Q291" i="45"/>
  <c r="R293" i="45"/>
  <c r="Q293" i="45"/>
  <c r="R274" i="45"/>
  <c r="Q274" i="45"/>
  <c r="R288" i="45"/>
  <c r="Q288" i="45"/>
  <c r="R282" i="45"/>
  <c r="Q282" i="45"/>
  <c r="R283" i="45"/>
  <c r="Q283" i="45"/>
  <c r="R279" i="45"/>
  <c r="Q279" i="45"/>
  <c r="R292" i="45"/>
  <c r="Q292" i="45"/>
  <c r="R284" i="45"/>
  <c r="Q284" i="45"/>
  <c r="R277" i="45"/>
  <c r="Q277" i="45"/>
  <c r="R289" i="45"/>
  <c r="Q289" i="45"/>
  <c r="R275" i="45"/>
  <c r="Q275" i="45"/>
  <c r="R290" i="45"/>
  <c r="Q290" i="45"/>
  <c r="R281" i="45"/>
  <c r="Q281" i="45"/>
  <c r="R285" i="45"/>
  <c r="Q285" i="45"/>
  <c r="P292" i="45"/>
  <c r="O292" i="45"/>
  <c r="P280" i="45"/>
  <c r="O280" i="45"/>
  <c r="P278" i="45"/>
  <c r="O278" i="45"/>
  <c r="P284" i="45"/>
  <c r="O284" i="45"/>
  <c r="P277" i="45"/>
  <c r="O277" i="45"/>
  <c r="P289" i="45"/>
  <c r="O289" i="45"/>
  <c r="P275" i="45"/>
  <c r="O275" i="45"/>
  <c r="P290" i="45"/>
  <c r="O290" i="45"/>
  <c r="P281" i="45"/>
  <c r="O281" i="45"/>
  <c r="P285" i="45"/>
  <c r="O285" i="45"/>
  <c r="P287" i="45"/>
  <c r="O287" i="45"/>
  <c r="P276" i="45"/>
  <c r="O276" i="45"/>
  <c r="P286" i="45"/>
  <c r="O286" i="45"/>
  <c r="P291" i="45"/>
  <c r="O291" i="45"/>
  <c r="O293" i="45"/>
  <c r="P293" i="45"/>
  <c r="P274" i="45"/>
  <c r="O274" i="45"/>
  <c r="P288" i="45"/>
  <c r="O288" i="45"/>
  <c r="P282" i="45"/>
  <c r="O282" i="45"/>
  <c r="P283" i="45"/>
  <c r="O283" i="45"/>
  <c r="P279" i="45"/>
  <c r="O279" i="45"/>
  <c r="L16" i="38"/>
  <c r="F16" i="38"/>
  <c r="G16" i="38"/>
  <c r="E16" i="38"/>
  <c r="K16" i="38"/>
  <c r="N16" i="38"/>
  <c r="P16" i="38"/>
  <c r="O16" i="38"/>
  <c r="H16" i="38"/>
  <c r="M16" i="38"/>
  <c r="I16" i="38"/>
  <c r="D16" i="38"/>
  <c r="O25" i="38"/>
  <c r="P86" i="15" s="1"/>
  <c r="P25" i="15" s="1"/>
  <c r="H328" i="7" s="1"/>
  <c r="H330" i="7" s="1"/>
  <c r="X239" i="7" s="1"/>
  <c r="G25" i="38"/>
  <c r="H86" i="15" s="1"/>
  <c r="H25" i="15" s="1"/>
  <c r="G327" i="7" s="1"/>
  <c r="G329" i="7" s="1"/>
  <c r="Q239" i="7" s="1"/>
  <c r="N25" i="38"/>
  <c r="O86" i="15" s="1"/>
  <c r="O25" i="15" s="1"/>
  <c r="G328" i="7" s="1"/>
  <c r="G330" i="7" s="1"/>
  <c r="W239" i="7" s="1"/>
  <c r="F25" i="38"/>
  <c r="G86" i="15" s="1"/>
  <c r="G25" i="15" s="1"/>
  <c r="F327" i="7" s="1"/>
  <c r="F329" i="7" s="1"/>
  <c r="P239" i="7" s="1"/>
  <c r="I25" i="38"/>
  <c r="J86" i="15" s="1"/>
  <c r="J25" i="15" s="1"/>
  <c r="I327" i="7" s="1"/>
  <c r="I329" i="7" s="1"/>
  <c r="S239" i="7" s="1"/>
  <c r="K25" i="38"/>
  <c r="L86" i="15" s="1"/>
  <c r="L25" i="15" s="1"/>
  <c r="D328" i="7" s="1"/>
  <c r="D330" i="7" s="1"/>
  <c r="T239" i="7" s="1"/>
  <c r="D25" i="38"/>
  <c r="E86" i="15" s="1"/>
  <c r="E25" i="15" s="1"/>
  <c r="D327" i="7" s="1"/>
  <c r="D329" i="7" s="1"/>
  <c r="N239" i="7" s="1"/>
  <c r="L25" i="38"/>
  <c r="M86" i="15" s="1"/>
  <c r="M25" i="15" s="1"/>
  <c r="E328" i="7" s="1"/>
  <c r="E330" i="7" s="1"/>
  <c r="U239" i="7" s="1"/>
  <c r="E25" i="38"/>
  <c r="F86" i="15" s="1"/>
  <c r="F25" i="15" s="1"/>
  <c r="E327" i="7" s="1"/>
  <c r="E329" i="7" s="1"/>
  <c r="O239" i="7" s="1"/>
  <c r="M25" i="38"/>
  <c r="N86" i="15" s="1"/>
  <c r="N25" i="15" s="1"/>
  <c r="F328" i="7" s="1"/>
  <c r="F330" i="7" s="1"/>
  <c r="V239" i="7" s="1"/>
  <c r="H25" i="38"/>
  <c r="I86" i="15" s="1"/>
  <c r="I25" i="15" s="1"/>
  <c r="H327" i="7" s="1"/>
  <c r="H329" i="7" s="1"/>
  <c r="R239" i="7" s="1"/>
  <c r="P25" i="38"/>
  <c r="Q86" i="15" s="1"/>
  <c r="Q25" i="15" s="1"/>
  <c r="I328" i="7" s="1"/>
  <c r="I330" i="7" s="1"/>
  <c r="Y239" i="7" s="1"/>
  <c r="O20" i="38"/>
  <c r="D20" i="38"/>
  <c r="N20" i="38"/>
  <c r="E20" i="38"/>
  <c r="G20" i="38"/>
  <c r="P20" i="38"/>
  <c r="I20" i="38"/>
  <c r="F20" i="38"/>
  <c r="L20" i="38"/>
  <c r="H20" i="38"/>
  <c r="M20" i="38"/>
  <c r="K20" i="38"/>
  <c r="E33" i="38"/>
  <c r="F94" i="15" s="1"/>
  <c r="I33" i="38"/>
  <c r="J94" i="15" s="1"/>
  <c r="P33" i="38"/>
  <c r="Q94" i="15" s="1"/>
  <c r="M33" i="38"/>
  <c r="N94" i="15" s="1"/>
  <c r="L33" i="38"/>
  <c r="M94" i="15" s="1"/>
  <c r="D33" i="38"/>
  <c r="E94" i="15" s="1"/>
  <c r="F33" i="38"/>
  <c r="G94" i="15" s="1"/>
  <c r="G33" i="38"/>
  <c r="H33" i="38"/>
  <c r="I94" i="15" s="1"/>
  <c r="K33" i="38"/>
  <c r="L94" i="15" s="1"/>
  <c r="N33" i="38"/>
  <c r="O94" i="15" s="1"/>
  <c r="O33" i="38"/>
  <c r="P94" i="15" s="1"/>
  <c r="D29" i="38"/>
  <c r="E90" i="15" s="1"/>
  <c r="E29" i="15" s="1"/>
  <c r="D359" i="7" s="1"/>
  <c r="D361" i="7" s="1"/>
  <c r="N243" i="7" s="1"/>
  <c r="F29" i="38"/>
  <c r="G90" i="15" s="1"/>
  <c r="G29" i="15" s="1"/>
  <c r="F359" i="7" s="1"/>
  <c r="F361" i="7" s="1"/>
  <c r="P243" i="7" s="1"/>
  <c r="E29" i="38"/>
  <c r="F90" i="15" s="1"/>
  <c r="F29" i="15" s="1"/>
  <c r="E359" i="7" s="1"/>
  <c r="E361" i="7" s="1"/>
  <c r="O243" i="7" s="1"/>
  <c r="L29" i="38"/>
  <c r="M90" i="15" s="1"/>
  <c r="M29" i="15" s="1"/>
  <c r="E360" i="7" s="1"/>
  <c r="E362" i="7" s="1"/>
  <c r="U243" i="7" s="1"/>
  <c r="P29" i="38"/>
  <c r="Q90" i="15" s="1"/>
  <c r="Q29" i="15" s="1"/>
  <c r="I360" i="7" s="1"/>
  <c r="I362" i="7" s="1"/>
  <c r="Y243" i="7" s="1"/>
  <c r="N29" i="38"/>
  <c r="O90" i="15" s="1"/>
  <c r="O29" i="15" s="1"/>
  <c r="G360" i="7" s="1"/>
  <c r="G362" i="7" s="1"/>
  <c r="W243" i="7" s="1"/>
  <c r="M29" i="38"/>
  <c r="N90" i="15" s="1"/>
  <c r="N29" i="15" s="1"/>
  <c r="F360" i="7" s="1"/>
  <c r="F362" i="7" s="1"/>
  <c r="V243" i="7" s="1"/>
  <c r="K29" i="38"/>
  <c r="L90" i="15" s="1"/>
  <c r="L29" i="15" s="1"/>
  <c r="D360" i="7" s="1"/>
  <c r="D362" i="7" s="1"/>
  <c r="T243" i="7" s="1"/>
  <c r="O29" i="38"/>
  <c r="P90" i="15" s="1"/>
  <c r="P29" i="15" s="1"/>
  <c r="H360" i="7" s="1"/>
  <c r="H362" i="7" s="1"/>
  <c r="X243" i="7" s="1"/>
  <c r="G29" i="38"/>
  <c r="H90" i="15" s="1"/>
  <c r="H29" i="15" s="1"/>
  <c r="G359" i="7" s="1"/>
  <c r="G361" i="7" s="1"/>
  <c r="Q243" i="7" s="1"/>
  <c r="I29" i="38"/>
  <c r="J90" i="15" s="1"/>
  <c r="J29" i="15" s="1"/>
  <c r="I359" i="7" s="1"/>
  <c r="I361" i="7" s="1"/>
  <c r="S243" i="7" s="1"/>
  <c r="H29" i="38"/>
  <c r="I90" i="15" s="1"/>
  <c r="I29" i="15" s="1"/>
  <c r="H359" i="7" s="1"/>
  <c r="H361" i="7" s="1"/>
  <c r="R243" i="7" s="1"/>
  <c r="E26" i="38"/>
  <c r="F87" i="15" s="1"/>
  <c r="F26" i="15" s="1"/>
  <c r="E335" i="7" s="1"/>
  <c r="E337" i="7" s="1"/>
  <c r="O240" i="7" s="1"/>
  <c r="I26" i="38"/>
  <c r="J87" i="15" s="1"/>
  <c r="J26" i="15" s="1"/>
  <c r="I335" i="7" s="1"/>
  <c r="I337" i="7" s="1"/>
  <c r="S240" i="7" s="1"/>
  <c r="N26" i="38"/>
  <c r="O87" i="15" s="1"/>
  <c r="O26" i="15" s="1"/>
  <c r="G336" i="7" s="1"/>
  <c r="G338" i="7" s="1"/>
  <c r="W240" i="7" s="1"/>
  <c r="G26" i="38"/>
  <c r="H87" i="15" s="1"/>
  <c r="H26" i="15" s="1"/>
  <c r="G335" i="7" s="1"/>
  <c r="G337" i="7" s="1"/>
  <c r="Q240" i="7" s="1"/>
  <c r="F26" i="38"/>
  <c r="G87" i="15" s="1"/>
  <c r="G26" i="15" s="1"/>
  <c r="F335" i="7" s="1"/>
  <c r="F337" i="7" s="1"/>
  <c r="P240" i="7" s="1"/>
  <c r="M26" i="38"/>
  <c r="N87" i="15" s="1"/>
  <c r="N26" i="15" s="1"/>
  <c r="F336" i="7" s="1"/>
  <c r="F338" i="7" s="1"/>
  <c r="V240" i="7" s="1"/>
  <c r="D26" i="38"/>
  <c r="E87" i="15" s="1"/>
  <c r="E26" i="15" s="1"/>
  <c r="D335" i="7" s="1"/>
  <c r="D337" i="7" s="1"/>
  <c r="N240" i="7" s="1"/>
  <c r="O26" i="38"/>
  <c r="P87" i="15" s="1"/>
  <c r="P26" i="15" s="1"/>
  <c r="H336" i="7" s="1"/>
  <c r="H338" i="7" s="1"/>
  <c r="X240" i="7" s="1"/>
  <c r="H26" i="38"/>
  <c r="I87" i="15" s="1"/>
  <c r="I26" i="15" s="1"/>
  <c r="H335" i="7" s="1"/>
  <c r="H337" i="7" s="1"/>
  <c r="R240" i="7" s="1"/>
  <c r="K26" i="38"/>
  <c r="L87" i="15" s="1"/>
  <c r="L26" i="15" s="1"/>
  <c r="D336" i="7" s="1"/>
  <c r="D338" i="7" s="1"/>
  <c r="T240" i="7" s="1"/>
  <c r="L26" i="38"/>
  <c r="M87" i="15" s="1"/>
  <c r="M26" i="15" s="1"/>
  <c r="E336" i="7" s="1"/>
  <c r="E338" i="7" s="1"/>
  <c r="U240" i="7" s="1"/>
  <c r="P26" i="38"/>
  <c r="Q87" i="15" s="1"/>
  <c r="Q26" i="15" s="1"/>
  <c r="I336" i="7" s="1"/>
  <c r="I338" i="7" s="1"/>
  <c r="Y240" i="7" s="1"/>
  <c r="H31" i="38"/>
  <c r="I92" i="15" s="1"/>
  <c r="I31" i="15" s="1"/>
  <c r="H375" i="7" s="1"/>
  <c r="H377" i="7" s="1"/>
  <c r="R245" i="7" s="1"/>
  <c r="N31" i="38"/>
  <c r="O92" i="15" s="1"/>
  <c r="O31" i="15" s="1"/>
  <c r="G376" i="7" s="1"/>
  <c r="G378" i="7" s="1"/>
  <c r="W245" i="7" s="1"/>
  <c r="E31" i="38"/>
  <c r="F92" i="15" s="1"/>
  <c r="F31" i="15" s="1"/>
  <c r="E375" i="7" s="1"/>
  <c r="E377" i="7" s="1"/>
  <c r="O245" i="7" s="1"/>
  <c r="I31" i="38"/>
  <c r="J92" i="15" s="1"/>
  <c r="J31" i="15" s="1"/>
  <c r="I375" i="7" s="1"/>
  <c r="I377" i="7" s="1"/>
  <c r="S245" i="7" s="1"/>
  <c r="M31" i="38"/>
  <c r="N92" i="15" s="1"/>
  <c r="N31" i="15" s="1"/>
  <c r="F376" i="7" s="1"/>
  <c r="F378" i="7" s="1"/>
  <c r="V245" i="7" s="1"/>
  <c r="L31" i="38"/>
  <c r="M92" i="15" s="1"/>
  <c r="M31" i="15" s="1"/>
  <c r="E376" i="7" s="1"/>
  <c r="E378" i="7" s="1"/>
  <c r="U245" i="7" s="1"/>
  <c r="F31" i="38"/>
  <c r="G92" i="15" s="1"/>
  <c r="G31" i="15" s="1"/>
  <c r="F375" i="7" s="1"/>
  <c r="F377" i="7" s="1"/>
  <c r="P245" i="7" s="1"/>
  <c r="G31" i="38"/>
  <c r="H92" i="15" s="1"/>
  <c r="H31" i="15" s="1"/>
  <c r="G375" i="7" s="1"/>
  <c r="G377" i="7" s="1"/>
  <c r="Q245" i="7" s="1"/>
  <c r="O31" i="38"/>
  <c r="P92" i="15" s="1"/>
  <c r="P31" i="15" s="1"/>
  <c r="H376" i="7" s="1"/>
  <c r="H378" i="7" s="1"/>
  <c r="X245" i="7" s="1"/>
  <c r="K31" i="38"/>
  <c r="L92" i="15" s="1"/>
  <c r="L31" i="15" s="1"/>
  <c r="D376" i="7" s="1"/>
  <c r="D378" i="7" s="1"/>
  <c r="T245" i="7" s="1"/>
  <c r="P31" i="38"/>
  <c r="Q92" i="15" s="1"/>
  <c r="Q31" i="15" s="1"/>
  <c r="I376" i="7" s="1"/>
  <c r="I378" i="7" s="1"/>
  <c r="Y245" i="7" s="1"/>
  <c r="D31" i="38"/>
  <c r="E92" i="15" s="1"/>
  <c r="E31" i="15" s="1"/>
  <c r="D375" i="7" s="1"/>
  <c r="D377" i="7" s="1"/>
  <c r="N245" i="7" s="1"/>
  <c r="K23" i="38"/>
  <c r="L84" i="15" s="1"/>
  <c r="L23" i="15" s="1"/>
  <c r="D312" i="7" s="1"/>
  <c r="D314" i="7" s="1"/>
  <c r="T237" i="7" s="1"/>
  <c r="H23" i="38"/>
  <c r="I84" i="15" s="1"/>
  <c r="I23" i="15" s="1"/>
  <c r="H311" i="7" s="1"/>
  <c r="H313" i="7" s="1"/>
  <c r="R237" i="7" s="1"/>
  <c r="G23" i="38"/>
  <c r="H84" i="15" s="1"/>
  <c r="H23" i="15" s="1"/>
  <c r="G311" i="7" s="1"/>
  <c r="G313" i="7" s="1"/>
  <c r="Q237" i="7" s="1"/>
  <c r="M23" i="38"/>
  <c r="N84" i="15" s="1"/>
  <c r="N23" i="15" s="1"/>
  <c r="F312" i="7" s="1"/>
  <c r="F314" i="7" s="1"/>
  <c r="V237" i="7" s="1"/>
  <c r="I23" i="38"/>
  <c r="J84" i="15" s="1"/>
  <c r="J23" i="15" s="1"/>
  <c r="I311" i="7" s="1"/>
  <c r="I313" i="7" s="1"/>
  <c r="S237" i="7" s="1"/>
  <c r="E23" i="38"/>
  <c r="F84" i="15" s="1"/>
  <c r="F23" i="15" s="1"/>
  <c r="E311" i="7" s="1"/>
  <c r="E313" i="7" s="1"/>
  <c r="O237" i="7" s="1"/>
  <c r="O23" i="38"/>
  <c r="P84" i="15" s="1"/>
  <c r="P23" i="15" s="1"/>
  <c r="H312" i="7" s="1"/>
  <c r="H314" i="7" s="1"/>
  <c r="X237" i="7" s="1"/>
  <c r="L23" i="38"/>
  <c r="M84" i="15" s="1"/>
  <c r="M23" i="15" s="1"/>
  <c r="E312" i="7" s="1"/>
  <c r="E314" i="7" s="1"/>
  <c r="U237" i="7" s="1"/>
  <c r="D23" i="38"/>
  <c r="E84" i="15" s="1"/>
  <c r="E23" i="15" s="1"/>
  <c r="D311" i="7" s="1"/>
  <c r="D313" i="7" s="1"/>
  <c r="N237" i="7" s="1"/>
  <c r="F23" i="38"/>
  <c r="G84" i="15" s="1"/>
  <c r="G23" i="15" s="1"/>
  <c r="F311" i="7" s="1"/>
  <c r="F313" i="7" s="1"/>
  <c r="P237" i="7" s="1"/>
  <c r="N23" i="38"/>
  <c r="O84" i="15" s="1"/>
  <c r="O23" i="15" s="1"/>
  <c r="G312" i="7" s="1"/>
  <c r="G314" i="7" s="1"/>
  <c r="W237" i="7" s="1"/>
  <c r="P23" i="38"/>
  <c r="Q84" i="15" s="1"/>
  <c r="Q23" i="15" s="1"/>
  <c r="I312" i="7" s="1"/>
  <c r="I314" i="7" s="1"/>
  <c r="Y237" i="7" s="1"/>
  <c r="G30" i="38"/>
  <c r="H91" i="15" s="1"/>
  <c r="H30" i="15" s="1"/>
  <c r="G367" i="7" s="1"/>
  <c r="G369" i="7" s="1"/>
  <c r="Q244" i="7" s="1"/>
  <c r="L30" i="38"/>
  <c r="M91" i="15" s="1"/>
  <c r="M30" i="15" s="1"/>
  <c r="E368" i="7" s="1"/>
  <c r="E370" i="7" s="1"/>
  <c r="U244" i="7" s="1"/>
  <c r="N30" i="38"/>
  <c r="O91" i="15" s="1"/>
  <c r="O30" i="15" s="1"/>
  <c r="G368" i="7" s="1"/>
  <c r="G370" i="7" s="1"/>
  <c r="W244" i="7" s="1"/>
  <c r="D30" i="38"/>
  <c r="E91" i="15" s="1"/>
  <c r="E30" i="15" s="1"/>
  <c r="D367" i="7" s="1"/>
  <c r="D369" i="7" s="1"/>
  <c r="N244" i="7" s="1"/>
  <c r="I30" i="38"/>
  <c r="J91" i="15" s="1"/>
  <c r="J30" i="15" s="1"/>
  <c r="I367" i="7" s="1"/>
  <c r="I369" i="7" s="1"/>
  <c r="S244" i="7" s="1"/>
  <c r="O30" i="38"/>
  <c r="P91" i="15" s="1"/>
  <c r="P30" i="15" s="1"/>
  <c r="H368" i="7" s="1"/>
  <c r="H370" i="7" s="1"/>
  <c r="X244" i="7" s="1"/>
  <c r="H30" i="38"/>
  <c r="I91" i="15" s="1"/>
  <c r="I30" i="15" s="1"/>
  <c r="H367" i="7" s="1"/>
  <c r="H369" i="7" s="1"/>
  <c r="R244" i="7" s="1"/>
  <c r="M30" i="38"/>
  <c r="N91" i="15" s="1"/>
  <c r="N30" i="15" s="1"/>
  <c r="F368" i="7" s="1"/>
  <c r="F370" i="7" s="1"/>
  <c r="V244" i="7" s="1"/>
  <c r="P30" i="38"/>
  <c r="Q91" i="15" s="1"/>
  <c r="Q30" i="15" s="1"/>
  <c r="I368" i="7" s="1"/>
  <c r="I370" i="7" s="1"/>
  <c r="Y244" i="7" s="1"/>
  <c r="F30" i="38"/>
  <c r="G91" i="15" s="1"/>
  <c r="G30" i="15" s="1"/>
  <c r="F367" i="7" s="1"/>
  <c r="F369" i="7" s="1"/>
  <c r="P244" i="7" s="1"/>
  <c r="K30" i="38"/>
  <c r="L91" i="15" s="1"/>
  <c r="L30" i="15" s="1"/>
  <c r="D368" i="7" s="1"/>
  <c r="D370" i="7" s="1"/>
  <c r="T244" i="7" s="1"/>
  <c r="E30" i="38"/>
  <c r="F91" i="15" s="1"/>
  <c r="F30" i="15" s="1"/>
  <c r="E367" i="7" s="1"/>
  <c r="E369" i="7" s="1"/>
  <c r="O244" i="7" s="1"/>
  <c r="H18" i="38"/>
  <c r="P18" i="38"/>
  <c r="K18" i="38"/>
  <c r="I18" i="38"/>
  <c r="D18" i="38"/>
  <c r="E18" i="38"/>
  <c r="F18" i="38"/>
  <c r="G18" i="38"/>
  <c r="N18" i="38"/>
  <c r="M18" i="38"/>
  <c r="O18" i="38"/>
  <c r="L18" i="38"/>
  <c r="M32" i="38"/>
  <c r="N93" i="15" s="1"/>
  <c r="D32" i="38"/>
  <c r="E93" i="15" s="1"/>
  <c r="F32" i="38"/>
  <c r="G93" i="15" s="1"/>
  <c r="O32" i="38"/>
  <c r="P93" i="15" s="1"/>
  <c r="K32" i="38"/>
  <c r="L93" i="15" s="1"/>
  <c r="P32" i="38"/>
  <c r="Q93" i="15" s="1"/>
  <c r="L32" i="38"/>
  <c r="M93" i="15" s="1"/>
  <c r="I32" i="38"/>
  <c r="J93" i="15" s="1"/>
  <c r="E32" i="38"/>
  <c r="F93" i="15" s="1"/>
  <c r="G32" i="38"/>
  <c r="H93" i="15" s="1"/>
  <c r="H32" i="38"/>
  <c r="I93" i="15" s="1"/>
  <c r="N32" i="38"/>
  <c r="G19" i="38"/>
  <c r="F19" i="38"/>
  <c r="L19" i="38"/>
  <c r="M19" i="38"/>
  <c r="E19" i="38"/>
  <c r="O19" i="38"/>
  <c r="D19" i="38"/>
  <c r="P19" i="38"/>
  <c r="H19" i="38"/>
  <c r="I19" i="38"/>
  <c r="N19" i="38"/>
  <c r="K19" i="38"/>
  <c r="P21" i="38"/>
  <c r="Q82" i="15" s="1"/>
  <c r="Q21" i="15" s="1"/>
  <c r="N21" i="38"/>
  <c r="O82" i="15" s="1"/>
  <c r="O21" i="15" s="1"/>
  <c r="G21" i="38"/>
  <c r="H82" i="15" s="1"/>
  <c r="H21" i="15" s="1"/>
  <c r="M21" i="38"/>
  <c r="N82" i="15" s="1"/>
  <c r="N21" i="15" s="1"/>
  <c r="D21" i="38"/>
  <c r="E82" i="15" s="1"/>
  <c r="E21" i="15" s="1"/>
  <c r="O21" i="38"/>
  <c r="P82" i="15" s="1"/>
  <c r="P21" i="15" s="1"/>
  <c r="F21" i="38"/>
  <c r="G82" i="15" s="1"/>
  <c r="G21" i="15" s="1"/>
  <c r="E21" i="38"/>
  <c r="F82" i="15" s="1"/>
  <c r="F21" i="15" s="1"/>
  <c r="K21" i="38"/>
  <c r="L82" i="15" s="1"/>
  <c r="L21" i="15" s="1"/>
  <c r="H21" i="38"/>
  <c r="I82" i="15" s="1"/>
  <c r="I21" i="15" s="1"/>
  <c r="L21" i="38"/>
  <c r="M82" i="15" s="1"/>
  <c r="M21" i="15" s="1"/>
  <c r="I21" i="38"/>
  <c r="J82" i="15" s="1"/>
  <c r="J21" i="15" s="1"/>
  <c r="N27" i="38"/>
  <c r="O88" i="15" s="1"/>
  <c r="O27" i="15" s="1"/>
  <c r="G344" i="7" s="1"/>
  <c r="G346" i="7" s="1"/>
  <c r="W241" i="7" s="1"/>
  <c r="L27" i="38"/>
  <c r="M88" i="15" s="1"/>
  <c r="M27" i="15" s="1"/>
  <c r="E344" i="7" s="1"/>
  <c r="E346" i="7" s="1"/>
  <c r="U241" i="7" s="1"/>
  <c r="E27" i="38"/>
  <c r="F88" i="15" s="1"/>
  <c r="F27" i="15" s="1"/>
  <c r="E343" i="7" s="1"/>
  <c r="E345" i="7" s="1"/>
  <c r="O241" i="7" s="1"/>
  <c r="F27" i="38"/>
  <c r="G88" i="15" s="1"/>
  <c r="G27" i="15" s="1"/>
  <c r="F343" i="7" s="1"/>
  <c r="F345" i="7" s="1"/>
  <c r="P241" i="7" s="1"/>
  <c r="P27" i="38"/>
  <c r="Q88" i="15" s="1"/>
  <c r="Q27" i="15" s="1"/>
  <c r="I344" i="7" s="1"/>
  <c r="I346" i="7" s="1"/>
  <c r="Y241" i="7" s="1"/>
  <c r="M27" i="38"/>
  <c r="N88" i="15" s="1"/>
  <c r="N27" i="15" s="1"/>
  <c r="F344" i="7" s="1"/>
  <c r="F346" i="7" s="1"/>
  <c r="V241" i="7" s="1"/>
  <c r="O27" i="38"/>
  <c r="P88" i="15" s="1"/>
  <c r="P27" i="15" s="1"/>
  <c r="H344" i="7" s="1"/>
  <c r="H346" i="7" s="1"/>
  <c r="X241" i="7" s="1"/>
  <c r="I27" i="38"/>
  <c r="J88" i="15" s="1"/>
  <c r="J27" i="15" s="1"/>
  <c r="I343" i="7" s="1"/>
  <c r="I345" i="7" s="1"/>
  <c r="S241" i="7" s="1"/>
  <c r="G27" i="38"/>
  <c r="H88" i="15" s="1"/>
  <c r="H27" i="15" s="1"/>
  <c r="G343" i="7" s="1"/>
  <c r="G345" i="7" s="1"/>
  <c r="Q241" i="7" s="1"/>
  <c r="H27" i="38"/>
  <c r="I88" i="15" s="1"/>
  <c r="I27" i="15" s="1"/>
  <c r="H343" i="7" s="1"/>
  <c r="H345" i="7" s="1"/>
  <c r="R241" i="7" s="1"/>
  <c r="K27" i="38"/>
  <c r="L88" i="15" s="1"/>
  <c r="L27" i="15" s="1"/>
  <c r="D344" i="7" s="1"/>
  <c r="D346" i="7" s="1"/>
  <c r="T241" i="7" s="1"/>
  <c r="D27" i="38"/>
  <c r="E88" i="15" s="1"/>
  <c r="E27" i="15" s="1"/>
  <c r="D343" i="7" s="1"/>
  <c r="D345" i="7" s="1"/>
  <c r="N241" i="7" s="1"/>
  <c r="H28" i="38"/>
  <c r="I89" i="15" s="1"/>
  <c r="I28" i="15" s="1"/>
  <c r="H351" i="7" s="1"/>
  <c r="H353" i="7" s="1"/>
  <c r="R242" i="7" s="1"/>
  <c r="M28" i="38"/>
  <c r="N89" i="15" s="1"/>
  <c r="N28" i="15" s="1"/>
  <c r="F352" i="7" s="1"/>
  <c r="F354" i="7" s="1"/>
  <c r="V242" i="7" s="1"/>
  <c r="I28" i="38"/>
  <c r="J89" i="15" s="1"/>
  <c r="J28" i="15" s="1"/>
  <c r="I351" i="7" s="1"/>
  <c r="I353" i="7" s="1"/>
  <c r="S242" i="7" s="1"/>
  <c r="O28" i="38"/>
  <c r="P89" i="15" s="1"/>
  <c r="P28" i="15" s="1"/>
  <c r="H352" i="7" s="1"/>
  <c r="H354" i="7" s="1"/>
  <c r="X242" i="7" s="1"/>
  <c r="K28" i="38"/>
  <c r="L89" i="15" s="1"/>
  <c r="L28" i="15" s="1"/>
  <c r="D352" i="7" s="1"/>
  <c r="D354" i="7" s="1"/>
  <c r="T242" i="7" s="1"/>
  <c r="D28" i="38"/>
  <c r="E89" i="15" s="1"/>
  <c r="E28" i="15" s="1"/>
  <c r="D351" i="7" s="1"/>
  <c r="D353" i="7" s="1"/>
  <c r="N242" i="7" s="1"/>
  <c r="N28" i="38"/>
  <c r="O89" i="15" s="1"/>
  <c r="O28" i="15" s="1"/>
  <c r="G352" i="7" s="1"/>
  <c r="G354" i="7" s="1"/>
  <c r="W242" i="7" s="1"/>
  <c r="L28" i="38"/>
  <c r="M89" i="15" s="1"/>
  <c r="M28" i="15" s="1"/>
  <c r="E352" i="7" s="1"/>
  <c r="E354" i="7" s="1"/>
  <c r="U242" i="7" s="1"/>
  <c r="E28" i="38"/>
  <c r="F89" i="15" s="1"/>
  <c r="F28" i="15" s="1"/>
  <c r="E351" i="7" s="1"/>
  <c r="E353" i="7" s="1"/>
  <c r="O242" i="7" s="1"/>
  <c r="G28" i="38"/>
  <c r="H89" i="15" s="1"/>
  <c r="H28" i="15" s="1"/>
  <c r="G351" i="7" s="1"/>
  <c r="G353" i="7" s="1"/>
  <c r="Q242" i="7" s="1"/>
  <c r="P28" i="38"/>
  <c r="Q89" i="15" s="1"/>
  <c r="Q28" i="15" s="1"/>
  <c r="I352" i="7" s="1"/>
  <c r="I354" i="7" s="1"/>
  <c r="Y242" i="7" s="1"/>
  <c r="F28" i="38"/>
  <c r="G89" i="15" s="1"/>
  <c r="G28" i="15" s="1"/>
  <c r="F351" i="7" s="1"/>
  <c r="F353" i="7" s="1"/>
  <c r="P242" i="7" s="1"/>
  <c r="I22" i="38"/>
  <c r="E22" i="38"/>
  <c r="G22" i="38"/>
  <c r="L22" i="38"/>
  <c r="K22" i="38"/>
  <c r="M22" i="38"/>
  <c r="H22" i="38"/>
  <c r="N22" i="38"/>
  <c r="D22" i="38"/>
  <c r="P22" i="38"/>
  <c r="O22" i="38"/>
  <c r="F22" i="38"/>
  <c r="K24" i="38"/>
  <c r="L85" i="15" s="1"/>
  <c r="L24" i="15" s="1"/>
  <c r="D320" i="7" s="1"/>
  <c r="D322" i="7" s="1"/>
  <c r="T238" i="7" s="1"/>
  <c r="E24" i="38"/>
  <c r="F85" i="15" s="1"/>
  <c r="F24" i="15" s="1"/>
  <c r="E319" i="7" s="1"/>
  <c r="E321" i="7" s="1"/>
  <c r="O238" i="7" s="1"/>
  <c r="M24" i="38"/>
  <c r="N85" i="15" s="1"/>
  <c r="N24" i="15" s="1"/>
  <c r="F320" i="7" s="1"/>
  <c r="F322" i="7" s="1"/>
  <c r="V238" i="7" s="1"/>
  <c r="I24" i="38"/>
  <c r="J85" i="15" s="1"/>
  <c r="J24" i="15" s="1"/>
  <c r="I319" i="7" s="1"/>
  <c r="I321" i="7" s="1"/>
  <c r="S238" i="7" s="1"/>
  <c r="P24" i="38"/>
  <c r="Q85" i="15" s="1"/>
  <c r="Q24" i="15" s="1"/>
  <c r="I320" i="7" s="1"/>
  <c r="I322" i="7" s="1"/>
  <c r="Y238" i="7" s="1"/>
  <c r="G24" i="38"/>
  <c r="H85" i="15" s="1"/>
  <c r="H24" i="15" s="1"/>
  <c r="G319" i="7" s="1"/>
  <c r="G321" i="7" s="1"/>
  <c r="Q238" i="7" s="1"/>
  <c r="F24" i="38"/>
  <c r="G85" i="15" s="1"/>
  <c r="G24" i="15" s="1"/>
  <c r="F319" i="7" s="1"/>
  <c r="F321" i="7" s="1"/>
  <c r="P238" i="7" s="1"/>
  <c r="O24" i="38"/>
  <c r="P85" i="15" s="1"/>
  <c r="P24" i="15" s="1"/>
  <c r="H320" i="7" s="1"/>
  <c r="H322" i="7" s="1"/>
  <c r="X238" i="7" s="1"/>
  <c r="D24" i="38"/>
  <c r="E85" i="15" s="1"/>
  <c r="E24" i="15" s="1"/>
  <c r="D319" i="7" s="1"/>
  <c r="D321" i="7" s="1"/>
  <c r="N238" i="7" s="1"/>
  <c r="L24" i="38"/>
  <c r="M85" i="15" s="1"/>
  <c r="M24" i="15" s="1"/>
  <c r="E320" i="7" s="1"/>
  <c r="E322" i="7" s="1"/>
  <c r="U238" i="7" s="1"/>
  <c r="N24" i="38"/>
  <c r="O85" i="15" s="1"/>
  <c r="O24" i="15" s="1"/>
  <c r="G320" i="7" s="1"/>
  <c r="G322" i="7" s="1"/>
  <c r="W238" i="7" s="1"/>
  <c r="H24" i="38"/>
  <c r="I85" i="15" s="1"/>
  <c r="I24" i="15" s="1"/>
  <c r="H319" i="7" s="1"/>
  <c r="H321" i="7" s="1"/>
  <c r="R238" i="7" s="1"/>
  <c r="M35" i="38"/>
  <c r="N96" i="15" s="1"/>
  <c r="G35" i="38"/>
  <c r="H96" i="15" s="1"/>
  <c r="K35" i="38"/>
  <c r="L96" i="15" s="1"/>
  <c r="D35" i="38"/>
  <c r="E96" i="15" s="1"/>
  <c r="O35" i="38"/>
  <c r="P96" i="15" s="1"/>
  <c r="P35" i="38"/>
  <c r="Q96" i="15" s="1"/>
  <c r="E35" i="38"/>
  <c r="F96" i="15" s="1"/>
  <c r="L35" i="38"/>
  <c r="M96" i="15" s="1"/>
  <c r="H35" i="38"/>
  <c r="I96" i="15" s="1"/>
  <c r="I35" i="38"/>
  <c r="J96" i="15" s="1"/>
  <c r="N35" i="38"/>
  <c r="O96" i="15" s="1"/>
  <c r="F35" i="38"/>
  <c r="G96" i="15" s="1"/>
  <c r="I34" i="38"/>
  <c r="J95" i="15" s="1"/>
  <c r="H34" i="38"/>
  <c r="I95" i="15" s="1"/>
  <c r="K34" i="38"/>
  <c r="L95" i="15" s="1"/>
  <c r="O34" i="38"/>
  <c r="P95" i="15" s="1"/>
  <c r="E34" i="38"/>
  <c r="F95" i="15" s="1"/>
  <c r="P34" i="38"/>
  <c r="Q95" i="15" s="1"/>
  <c r="M34" i="38"/>
  <c r="N95" i="15" s="1"/>
  <c r="G34" i="38"/>
  <c r="H95" i="15" s="1"/>
  <c r="N34" i="38"/>
  <c r="O95" i="15" s="1"/>
  <c r="L34" i="38"/>
  <c r="M95" i="15" s="1"/>
  <c r="F34" i="38"/>
  <c r="G95" i="15" s="1"/>
  <c r="D34" i="38"/>
  <c r="E95" i="15" s="1"/>
  <c r="N17" i="38"/>
  <c r="O78" i="15" s="1"/>
  <c r="O17" i="15" s="1"/>
  <c r="L17" i="38"/>
  <c r="M78" i="15" s="1"/>
  <c r="M17" i="15" s="1"/>
  <c r="P17" i="38"/>
  <c r="O17" i="38"/>
  <c r="M17" i="38"/>
  <c r="G17" i="38"/>
  <c r="H78" i="15" s="1"/>
  <c r="H17" i="15" s="1"/>
  <c r="K17" i="38"/>
  <c r="L78" i="15" s="1"/>
  <c r="L17" i="15" s="1"/>
  <c r="E17" i="38"/>
  <c r="F17" i="38"/>
  <c r="G78" i="15" s="1"/>
  <c r="G17" i="15" s="1"/>
  <c r="H17" i="38"/>
  <c r="I78" i="15" s="1"/>
  <c r="I17" i="15" s="1"/>
  <c r="D17" i="38"/>
  <c r="I17" i="38"/>
  <c r="J78" i="15" s="1"/>
  <c r="J17" i="15" s="1"/>
  <c r="O83" i="15" l="1"/>
  <c r="O22" i="15" s="1"/>
  <c r="G304" i="7" s="1"/>
  <c r="G306" i="7" s="1"/>
  <c r="W236" i="7" s="1"/>
  <c r="F83" i="15"/>
  <c r="F22" i="15" s="1"/>
  <c r="E303" i="7" s="1"/>
  <c r="E305" i="7" s="1"/>
  <c r="O236" i="7" s="1"/>
  <c r="G384" i="7"/>
  <c r="O93" i="15"/>
  <c r="G391" i="7"/>
  <c r="H94" i="15"/>
  <c r="G83" i="15"/>
  <c r="G22" i="15" s="1"/>
  <c r="F303" i="7" s="1"/>
  <c r="F305" i="7" s="1"/>
  <c r="P236" i="7" s="1"/>
  <c r="Q83" i="15"/>
  <c r="Q22" i="15" s="1"/>
  <c r="I304" i="7" s="1"/>
  <c r="I306" i="7" s="1"/>
  <c r="Y236" i="7" s="1"/>
  <c r="N83" i="15"/>
  <c r="N22" i="15" s="1"/>
  <c r="F304" i="7" s="1"/>
  <c r="F306" i="7" s="1"/>
  <c r="V236" i="7" s="1"/>
  <c r="M83" i="15"/>
  <c r="M22" i="15" s="1"/>
  <c r="E304" i="7" s="1"/>
  <c r="E306" i="7" s="1"/>
  <c r="U236" i="7" s="1"/>
  <c r="P83" i="15"/>
  <c r="P22" i="15" s="1"/>
  <c r="H304" i="7" s="1"/>
  <c r="H306" i="7" s="1"/>
  <c r="X236" i="7" s="1"/>
  <c r="E83" i="15"/>
  <c r="E22" i="15" s="1"/>
  <c r="D303" i="7" s="1"/>
  <c r="D305" i="7" s="1"/>
  <c r="N236" i="7" s="1"/>
  <c r="I83" i="15"/>
  <c r="I22" i="15" s="1"/>
  <c r="H303" i="7" s="1"/>
  <c r="H305" i="7" s="1"/>
  <c r="R236" i="7" s="1"/>
  <c r="L83" i="15"/>
  <c r="L22" i="15" s="1"/>
  <c r="D304" i="7" s="1"/>
  <c r="D306" i="7" s="1"/>
  <c r="T236" i="7" s="1"/>
  <c r="H83" i="15"/>
  <c r="H22" i="15" s="1"/>
  <c r="G303" i="7" s="1"/>
  <c r="G305" i="7" s="1"/>
  <c r="Q236" i="7" s="1"/>
  <c r="J83" i="15"/>
  <c r="J22" i="15" s="1"/>
  <c r="I303" i="7" s="1"/>
  <c r="I305" i="7" s="1"/>
  <c r="S236" i="7" s="1"/>
  <c r="F78" i="15"/>
  <c r="P78" i="15"/>
  <c r="E78" i="15"/>
  <c r="N78" i="15"/>
  <c r="Q78" i="15"/>
  <c r="M79" i="15"/>
  <c r="N79" i="15"/>
  <c r="H79" i="15"/>
  <c r="F79" i="15"/>
  <c r="J79" i="15"/>
  <c r="Q79" i="15"/>
  <c r="P79" i="15"/>
  <c r="O79" i="15"/>
  <c r="G79" i="15"/>
  <c r="E79" i="15"/>
  <c r="L79" i="15"/>
  <c r="I79" i="15"/>
  <c r="I80" i="15"/>
  <c r="E80" i="15"/>
  <c r="F80" i="15"/>
  <c r="M80" i="15"/>
  <c r="H80" i="15"/>
  <c r="L80" i="15"/>
  <c r="J80" i="15"/>
  <c r="J19" i="15" s="1"/>
  <c r="Q80" i="15"/>
  <c r="Q19" i="15" s="1"/>
  <c r="P80" i="15"/>
  <c r="P19" i="15" s="1"/>
  <c r="N80" i="15"/>
  <c r="N19" i="15" s="1"/>
  <c r="G80" i="15"/>
  <c r="O80" i="15"/>
  <c r="L81" i="15"/>
  <c r="I81" i="15"/>
  <c r="G81" i="15"/>
  <c r="Q81" i="15"/>
  <c r="F81" i="15"/>
  <c r="E81" i="15"/>
  <c r="N81" i="15"/>
  <c r="M81" i="15"/>
  <c r="J81" i="15"/>
  <c r="H81" i="15"/>
  <c r="O81" i="15"/>
  <c r="P81" i="15"/>
  <c r="J285" i="45"/>
  <c r="L285" i="45" s="1"/>
  <c r="J281" i="45"/>
  <c r="L281" i="45" s="1"/>
  <c r="J290" i="45"/>
  <c r="I228" i="45" s="1"/>
  <c r="J275" i="45"/>
  <c r="L275" i="45" s="1"/>
  <c r="J289" i="45"/>
  <c r="L289" i="45" s="1"/>
  <c r="G212" i="45" s="1"/>
  <c r="J277" i="45"/>
  <c r="L277" i="45" s="1"/>
  <c r="J284" i="45"/>
  <c r="I156" i="45" s="1"/>
  <c r="J292" i="45"/>
  <c r="L292" i="45" s="1"/>
  <c r="J279" i="45"/>
  <c r="J283" i="45"/>
  <c r="M283" i="45" s="1"/>
  <c r="J282" i="45"/>
  <c r="L282" i="45" s="1"/>
  <c r="J288" i="45"/>
  <c r="M288" i="45" s="1"/>
  <c r="J293" i="45"/>
  <c r="I264" i="45" s="1"/>
  <c r="J291" i="45"/>
  <c r="L291" i="45" s="1"/>
  <c r="J286" i="45"/>
  <c r="M286" i="45" s="1"/>
  <c r="J276" i="45"/>
  <c r="L276" i="45" s="1"/>
  <c r="J287" i="45"/>
  <c r="E187" i="45" s="1"/>
  <c r="J278" i="45"/>
  <c r="L278" i="45" s="1"/>
  <c r="J280" i="45"/>
  <c r="M280" i="45" s="1"/>
  <c r="D120" i="45"/>
  <c r="D228" i="45"/>
  <c r="F247" i="45"/>
  <c r="Q294" i="45"/>
  <c r="J274" i="45"/>
  <c r="D36" i="38"/>
  <c r="M36" i="38"/>
  <c r="O77" i="37" s="1"/>
  <c r="O36" i="38"/>
  <c r="Q77" i="37" s="1"/>
  <c r="N36" i="38"/>
  <c r="P77" i="37" s="1"/>
  <c r="E36" i="38"/>
  <c r="F36" i="38"/>
  <c r="I36" i="38"/>
  <c r="H36" i="38"/>
  <c r="P36" i="38"/>
  <c r="R77" i="37" s="1"/>
  <c r="K36" i="38"/>
  <c r="G36" i="38"/>
  <c r="L36" i="38"/>
  <c r="N77" i="37" s="1"/>
  <c r="E296" i="7"/>
  <c r="E298" i="7" s="1"/>
  <c r="U235" i="7" s="1"/>
  <c r="L37" i="38"/>
  <c r="N78" i="37" s="1"/>
  <c r="D296" i="7"/>
  <c r="D298" i="7" s="1"/>
  <c r="T235" i="7" s="1"/>
  <c r="K37" i="38"/>
  <c r="M78" i="37" s="1"/>
  <c r="F295" i="7"/>
  <c r="F297" i="7" s="1"/>
  <c r="P235" i="7" s="1"/>
  <c r="F37" i="38"/>
  <c r="H78" i="37" s="1"/>
  <c r="D295" i="7"/>
  <c r="D297" i="7" s="1"/>
  <c r="N235" i="7" s="1"/>
  <c r="D37" i="38"/>
  <c r="G295" i="7"/>
  <c r="G297" i="7" s="1"/>
  <c r="Q235" i="7" s="1"/>
  <c r="G37" i="38"/>
  <c r="I78" i="37" s="1"/>
  <c r="I296" i="7"/>
  <c r="I298" i="7" s="1"/>
  <c r="Y235" i="7" s="1"/>
  <c r="P37" i="38"/>
  <c r="I295" i="7"/>
  <c r="I297" i="7" s="1"/>
  <c r="S235" i="7" s="1"/>
  <c r="I37" i="38"/>
  <c r="K78" i="37" s="1"/>
  <c r="H295" i="7"/>
  <c r="H297" i="7" s="1"/>
  <c r="R235" i="7" s="1"/>
  <c r="H37" i="38"/>
  <c r="J78" i="37" s="1"/>
  <c r="E295" i="7"/>
  <c r="E297" i="7" s="1"/>
  <c r="O235" i="7" s="1"/>
  <c r="E37" i="38"/>
  <c r="H296" i="7"/>
  <c r="H298" i="7" s="1"/>
  <c r="X235" i="7" s="1"/>
  <c r="O37" i="38"/>
  <c r="Q78" i="37" s="1"/>
  <c r="F296" i="7"/>
  <c r="F298" i="7" s="1"/>
  <c r="V235" i="7" s="1"/>
  <c r="M37" i="38"/>
  <c r="O78" i="37" s="1"/>
  <c r="G296" i="7"/>
  <c r="G298" i="7" s="1"/>
  <c r="W235" i="7" s="1"/>
  <c r="N37" i="38"/>
  <c r="P78" i="37" s="1"/>
  <c r="F338" i="50"/>
  <c r="F17" i="50" s="1"/>
  <c r="E77" i="15"/>
  <c r="E16" i="15" s="1"/>
  <c r="N77" i="15"/>
  <c r="N16" i="15" s="1"/>
  <c r="P77" i="15"/>
  <c r="P16" i="15" s="1"/>
  <c r="O77" i="15"/>
  <c r="O16" i="15" s="1"/>
  <c r="F77" i="15"/>
  <c r="F16" i="15" s="1"/>
  <c r="G77" i="15"/>
  <c r="J77" i="15"/>
  <c r="I77" i="15"/>
  <c r="Q77" i="15"/>
  <c r="Q16" i="15" s="1"/>
  <c r="L77" i="15"/>
  <c r="L16" i="15" s="1"/>
  <c r="M77" i="37"/>
  <c r="H77" i="15"/>
  <c r="H16" i="15" s="1"/>
  <c r="M77" i="15"/>
  <c r="M16" i="15" s="1"/>
  <c r="C274" i="44"/>
  <c r="C28" i="44"/>
  <c r="L28" i="44" s="1"/>
  <c r="C252" i="7"/>
  <c r="C28" i="45"/>
  <c r="L28" i="45" s="1"/>
  <c r="C230" i="7"/>
  <c r="D230" i="7" s="1"/>
  <c r="C260" i="7"/>
  <c r="C40" i="45"/>
  <c r="L40" i="45" s="1"/>
  <c r="C40" i="44"/>
  <c r="L40" i="44" s="1"/>
  <c r="C275" i="44"/>
  <c r="C64" i="44"/>
  <c r="L64" i="44" s="1"/>
  <c r="C64" i="45"/>
  <c r="L64" i="45" s="1"/>
  <c r="C277" i="44"/>
  <c r="C276" i="7"/>
  <c r="C292" i="7"/>
  <c r="C88" i="44"/>
  <c r="L88" i="44" s="1"/>
  <c r="C88" i="45"/>
  <c r="L88" i="45" s="1"/>
  <c r="C279" i="44"/>
  <c r="C308" i="7"/>
  <c r="C112" i="45"/>
  <c r="L112" i="45" s="1"/>
  <c r="C281" i="44"/>
  <c r="C112" i="44"/>
  <c r="L112" i="44" s="1"/>
  <c r="C136" i="45"/>
  <c r="L136" i="45" s="1"/>
  <c r="C136" i="44"/>
  <c r="L136" i="44" s="1"/>
  <c r="C283" i="44"/>
  <c r="C324" i="7"/>
  <c r="C160" i="44"/>
  <c r="L160" i="44" s="1"/>
  <c r="C285" i="44"/>
  <c r="C340" i="7"/>
  <c r="C160" i="45"/>
  <c r="L160" i="45" s="1"/>
  <c r="C356" i="7"/>
  <c r="C184" i="44"/>
  <c r="L184" i="44" s="1"/>
  <c r="C287" i="44"/>
  <c r="C184" i="45"/>
  <c r="L184" i="45" s="1"/>
  <c r="C208" i="44"/>
  <c r="L208" i="44" s="1"/>
  <c r="C372" i="7"/>
  <c r="C208" i="45"/>
  <c r="L208" i="45" s="1"/>
  <c r="C289" i="44"/>
  <c r="C388" i="7"/>
  <c r="C232" i="44"/>
  <c r="L232" i="44" s="1"/>
  <c r="C291" i="44"/>
  <c r="C232" i="45"/>
  <c r="L232" i="45" s="1"/>
  <c r="C404" i="7"/>
  <c r="C256" i="44"/>
  <c r="L256" i="44" s="1"/>
  <c r="C293" i="44"/>
  <c r="C256" i="45"/>
  <c r="L256" i="45" s="1"/>
  <c r="C52" i="44"/>
  <c r="L52" i="44" s="1"/>
  <c r="C52" i="45"/>
  <c r="L52" i="45" s="1"/>
  <c r="C276" i="44"/>
  <c r="C268" i="7"/>
  <c r="C76" i="44"/>
  <c r="L76" i="44" s="1"/>
  <c r="C284" i="7"/>
  <c r="C278" i="44"/>
  <c r="C76" i="45"/>
  <c r="L76" i="45" s="1"/>
  <c r="C100" i="44"/>
  <c r="L100" i="44" s="1"/>
  <c r="C300" i="7"/>
  <c r="C100" i="45"/>
  <c r="L100" i="45" s="1"/>
  <c r="C280" i="44"/>
  <c r="C282" i="44"/>
  <c r="C124" i="44"/>
  <c r="L124" i="44" s="1"/>
  <c r="C124" i="45"/>
  <c r="L124" i="45" s="1"/>
  <c r="C316" i="7"/>
  <c r="C148" i="44"/>
  <c r="L148" i="44" s="1"/>
  <c r="C332" i="7"/>
  <c r="C284" i="44"/>
  <c r="C148" i="45"/>
  <c r="L148" i="45" s="1"/>
  <c r="C286" i="44"/>
  <c r="C172" i="45"/>
  <c r="L172" i="45" s="1"/>
  <c r="C172" i="44"/>
  <c r="L172" i="44" s="1"/>
  <c r="C348" i="7"/>
  <c r="C364" i="7"/>
  <c r="C196" i="44"/>
  <c r="L196" i="44" s="1"/>
  <c r="C196" i="45"/>
  <c r="L196" i="45" s="1"/>
  <c r="C288" i="44"/>
  <c r="C220" i="45"/>
  <c r="L220" i="45" s="1"/>
  <c r="C380" i="7"/>
  <c r="C290" i="44"/>
  <c r="C220" i="44"/>
  <c r="L220" i="44" s="1"/>
  <c r="C292" i="44"/>
  <c r="C244" i="44"/>
  <c r="L244" i="44" s="1"/>
  <c r="C396" i="7"/>
  <c r="C244" i="45"/>
  <c r="L244" i="45" s="1"/>
  <c r="C242" i="7"/>
  <c r="D242" i="7" s="1"/>
  <c r="C235" i="7"/>
  <c r="D235" i="7" s="1"/>
  <c r="C233" i="7"/>
  <c r="D233" i="7" s="1"/>
  <c r="C245" i="7"/>
  <c r="D245" i="7" s="1"/>
  <c r="C248" i="7"/>
  <c r="D248" i="7" s="1"/>
  <c r="C249" i="7"/>
  <c r="D249" i="7" s="1"/>
  <c r="C244" i="7"/>
  <c r="D244" i="7" s="1"/>
  <c r="C239" i="7"/>
  <c r="D239" i="7" s="1"/>
  <c r="C232" i="7"/>
  <c r="D232" i="7" s="1"/>
  <c r="C247" i="7"/>
  <c r="D247" i="7" s="1"/>
  <c r="C246" i="7"/>
  <c r="D246" i="7" s="1"/>
  <c r="C231" i="7"/>
  <c r="D231" i="7" s="1"/>
  <c r="C238" i="7"/>
  <c r="D238" i="7" s="1"/>
  <c r="C240" i="7"/>
  <c r="D240" i="7" s="1"/>
  <c r="C237" i="7"/>
  <c r="D237" i="7" s="1"/>
  <c r="C234" i="7"/>
  <c r="D234" i="7" s="1"/>
  <c r="C241" i="7"/>
  <c r="D241" i="7" s="1"/>
  <c r="C236" i="7"/>
  <c r="D236" i="7" s="1"/>
  <c r="C243" i="7"/>
  <c r="D243" i="7" s="1"/>
  <c r="Q88" i="37" l="1"/>
  <c r="Q93" i="37"/>
  <c r="Q91" i="37"/>
  <c r="Q89" i="37"/>
  <c r="M88" i="37"/>
  <c r="M93" i="37"/>
  <c r="M91" i="37"/>
  <c r="M89" i="37"/>
  <c r="P98" i="37"/>
  <c r="P96" i="37"/>
  <c r="P97" i="37"/>
  <c r="P94" i="37"/>
  <c r="P90" i="37"/>
  <c r="P95" i="37"/>
  <c r="P92" i="37"/>
  <c r="O98" i="37"/>
  <c r="O97" i="37"/>
  <c r="O94" i="37"/>
  <c r="O96" i="37"/>
  <c r="O92" i="37"/>
  <c r="O90" i="37"/>
  <c r="O95" i="37"/>
  <c r="Q92" i="37"/>
  <c r="Q96" i="37"/>
  <c r="Q94" i="37"/>
  <c r="Q98" i="37"/>
  <c r="Q95" i="37"/>
  <c r="Q97" i="37"/>
  <c r="Q90" i="37"/>
  <c r="J96" i="37"/>
  <c r="J98" i="37"/>
  <c r="J95" i="37"/>
  <c r="J97" i="37"/>
  <c r="J94" i="37"/>
  <c r="J92" i="37"/>
  <c r="J90" i="37"/>
  <c r="K96" i="37"/>
  <c r="K94" i="37"/>
  <c r="K97" i="37"/>
  <c r="K98" i="37"/>
  <c r="K95" i="37"/>
  <c r="K92" i="37"/>
  <c r="K90" i="37"/>
  <c r="I97" i="37"/>
  <c r="I96" i="37"/>
  <c r="I94" i="37"/>
  <c r="I98" i="37"/>
  <c r="I95" i="37"/>
  <c r="I92" i="37"/>
  <c r="I90" i="37"/>
  <c r="H96" i="37"/>
  <c r="H95" i="37"/>
  <c r="H98" i="37"/>
  <c r="H97" i="37"/>
  <c r="H94" i="37"/>
  <c r="H92" i="37"/>
  <c r="H90" i="37"/>
  <c r="M97" i="37"/>
  <c r="M94" i="37"/>
  <c r="M92" i="37"/>
  <c r="M96" i="37"/>
  <c r="M98" i="37"/>
  <c r="M90" i="37"/>
  <c r="M95" i="37"/>
  <c r="N97" i="37"/>
  <c r="N94" i="37"/>
  <c r="N96" i="37"/>
  <c r="N98" i="37"/>
  <c r="N95" i="37"/>
  <c r="N92" i="37"/>
  <c r="N90" i="37"/>
  <c r="N88" i="37"/>
  <c r="N93" i="37"/>
  <c r="N91" i="37"/>
  <c r="N89" i="37"/>
  <c r="P88" i="37"/>
  <c r="P93" i="37"/>
  <c r="P91" i="37"/>
  <c r="P89" i="37"/>
  <c r="O88" i="37"/>
  <c r="O93" i="37"/>
  <c r="O91" i="37"/>
  <c r="O89" i="37"/>
  <c r="O292" i="44"/>
  <c r="K292" i="44" s="1"/>
  <c r="O288" i="44"/>
  <c r="K288" i="44" s="1"/>
  <c r="O280" i="44"/>
  <c r="K280" i="44" s="1"/>
  <c r="O289" i="44"/>
  <c r="K289" i="44" s="1"/>
  <c r="O285" i="44"/>
  <c r="K285" i="44" s="1"/>
  <c r="O279" i="44"/>
  <c r="K279" i="44" s="1"/>
  <c r="O275" i="44"/>
  <c r="K275" i="44" s="1"/>
  <c r="O274" i="44"/>
  <c r="K274" i="44" s="1"/>
  <c r="O290" i="44"/>
  <c r="K290" i="44" s="1"/>
  <c r="O286" i="44"/>
  <c r="K286" i="44" s="1"/>
  <c r="O284" i="44"/>
  <c r="K284" i="44" s="1"/>
  <c r="O282" i="44"/>
  <c r="K282" i="44" s="1"/>
  <c r="O278" i="44"/>
  <c r="K278" i="44" s="1"/>
  <c r="O276" i="44"/>
  <c r="K276" i="44" s="1"/>
  <c r="O293" i="44"/>
  <c r="K293" i="44" s="1"/>
  <c r="O291" i="44"/>
  <c r="K291" i="44" s="1"/>
  <c r="O287" i="44"/>
  <c r="K287" i="44" s="1"/>
  <c r="O283" i="44"/>
  <c r="K283" i="44" s="1"/>
  <c r="O281" i="44"/>
  <c r="K281" i="44" s="1"/>
  <c r="O277" i="44"/>
  <c r="K277" i="44" s="1"/>
  <c r="M167" i="37"/>
  <c r="P187" i="37"/>
  <c r="Z143" i="37"/>
  <c r="AD143" i="37"/>
  <c r="Z141" i="37"/>
  <c r="AD141" i="37"/>
  <c r="Z142" i="37"/>
  <c r="AD142" i="37"/>
  <c r="Z140" i="37"/>
  <c r="AD140" i="37"/>
  <c r="I16" i="15"/>
  <c r="H255" i="7" s="1"/>
  <c r="H257" i="7" s="1"/>
  <c r="R230" i="7" s="1"/>
  <c r="G16" i="15"/>
  <c r="F255" i="7" s="1"/>
  <c r="F257" i="7" s="1"/>
  <c r="P230" i="7" s="1"/>
  <c r="O20" i="15"/>
  <c r="G288" i="7" s="1"/>
  <c r="G290" i="7" s="1"/>
  <c r="W234" i="7" s="1"/>
  <c r="J20" i="15"/>
  <c r="I287" i="7" s="1"/>
  <c r="I289" i="7" s="1"/>
  <c r="S234" i="7" s="1"/>
  <c r="N20" i="15"/>
  <c r="F288" i="7" s="1"/>
  <c r="F290" i="7" s="1"/>
  <c r="V234" i="7" s="1"/>
  <c r="F20" i="15"/>
  <c r="E287" i="7" s="1"/>
  <c r="E289" i="7" s="1"/>
  <c r="O234" i="7" s="1"/>
  <c r="G20" i="15"/>
  <c r="F287" i="7" s="1"/>
  <c r="F289" i="7" s="1"/>
  <c r="P234" i="7" s="1"/>
  <c r="L20" i="15"/>
  <c r="D288" i="7" s="1"/>
  <c r="D290" i="7" s="1"/>
  <c r="T234" i="7" s="1"/>
  <c r="G19" i="15"/>
  <c r="F279" i="7" s="1"/>
  <c r="H19" i="15"/>
  <c r="G279" i="7" s="1"/>
  <c r="F19" i="15"/>
  <c r="E279" i="7" s="1"/>
  <c r="I19" i="15"/>
  <c r="H279" i="7" s="1"/>
  <c r="L18" i="15"/>
  <c r="D272" i="7" s="1"/>
  <c r="G18" i="15"/>
  <c r="F271" i="7" s="1"/>
  <c r="P18" i="15"/>
  <c r="H272" i="7" s="1"/>
  <c r="J18" i="15"/>
  <c r="I271" i="7" s="1"/>
  <c r="H18" i="15"/>
  <c r="G271" i="7" s="1"/>
  <c r="M18" i="15"/>
  <c r="E272" i="7" s="1"/>
  <c r="N17" i="15"/>
  <c r="F264" i="7" s="1"/>
  <c r="P17" i="15"/>
  <c r="H264" i="7" s="1"/>
  <c r="J16" i="15"/>
  <c r="I255" i="7" s="1"/>
  <c r="I257" i="7" s="1"/>
  <c r="S230" i="7" s="1"/>
  <c r="P20" i="15"/>
  <c r="H288" i="7" s="1"/>
  <c r="H290" i="7" s="1"/>
  <c r="X234" i="7" s="1"/>
  <c r="H20" i="15"/>
  <c r="G287" i="7" s="1"/>
  <c r="G289" i="7" s="1"/>
  <c r="Q234" i="7" s="1"/>
  <c r="M20" i="15"/>
  <c r="E288" i="7" s="1"/>
  <c r="E290" i="7" s="1"/>
  <c r="U234" i="7" s="1"/>
  <c r="E20" i="15"/>
  <c r="D287" i="7" s="1"/>
  <c r="D289" i="7" s="1"/>
  <c r="N234" i="7" s="1"/>
  <c r="Q20" i="15"/>
  <c r="I288" i="7" s="1"/>
  <c r="I290" i="7" s="1"/>
  <c r="Y234" i="7" s="1"/>
  <c r="I20" i="15"/>
  <c r="H287" i="7" s="1"/>
  <c r="H289" i="7" s="1"/>
  <c r="R234" i="7" s="1"/>
  <c r="O19" i="15"/>
  <c r="G280" i="7" s="1"/>
  <c r="L19" i="15"/>
  <c r="D280" i="7" s="1"/>
  <c r="M19" i="15"/>
  <c r="E280" i="7" s="1"/>
  <c r="E19" i="15"/>
  <c r="D279" i="7" s="1"/>
  <c r="I18" i="15"/>
  <c r="H271" i="7" s="1"/>
  <c r="E18" i="15"/>
  <c r="D271" i="7" s="1"/>
  <c r="O18" i="15"/>
  <c r="G272" i="7" s="1"/>
  <c r="Q18" i="15"/>
  <c r="I272" i="7" s="1"/>
  <c r="F18" i="15"/>
  <c r="E271" i="7" s="1"/>
  <c r="N18" i="15"/>
  <c r="F272" i="7" s="1"/>
  <c r="Q17" i="15"/>
  <c r="I264" i="7" s="1"/>
  <c r="E17" i="15"/>
  <c r="D263" i="7" s="1"/>
  <c r="F17" i="15"/>
  <c r="E263" i="7" s="1"/>
  <c r="M292" i="45"/>
  <c r="G253" i="45" s="1"/>
  <c r="F72" i="45"/>
  <c r="F280" i="7"/>
  <c r="I72" i="45"/>
  <c r="I280" i="7"/>
  <c r="H72" i="45"/>
  <c r="H280" i="7"/>
  <c r="I68" i="45"/>
  <c r="I67" i="45"/>
  <c r="I279" i="7"/>
  <c r="F204" i="45"/>
  <c r="D240" i="45"/>
  <c r="H144" i="45"/>
  <c r="D103" i="45"/>
  <c r="I192" i="45"/>
  <c r="H264" i="45"/>
  <c r="H132" i="45"/>
  <c r="D108" i="45"/>
  <c r="I151" i="45"/>
  <c r="F235" i="45"/>
  <c r="E199" i="45"/>
  <c r="F139" i="45"/>
  <c r="F120" i="45"/>
  <c r="E55" i="45"/>
  <c r="D235" i="45"/>
  <c r="G204" i="45"/>
  <c r="G139" i="45"/>
  <c r="I252" i="45"/>
  <c r="G247" i="45"/>
  <c r="H115" i="45"/>
  <c r="F108" i="45"/>
  <c r="I187" i="45"/>
  <c r="I180" i="45"/>
  <c r="D264" i="45"/>
  <c r="D156" i="45"/>
  <c r="D216" i="45"/>
  <c r="H223" i="45"/>
  <c r="G163" i="45"/>
  <c r="M275" i="45"/>
  <c r="I240" i="45"/>
  <c r="G235" i="45"/>
  <c r="H240" i="45"/>
  <c r="I204" i="45"/>
  <c r="D204" i="45"/>
  <c r="H204" i="45"/>
  <c r="D144" i="45"/>
  <c r="E144" i="45"/>
  <c r="I144" i="45"/>
  <c r="F252" i="45"/>
  <c r="E252" i="45"/>
  <c r="D252" i="45"/>
  <c r="E120" i="45"/>
  <c r="F115" i="45"/>
  <c r="G115" i="45"/>
  <c r="M277" i="45"/>
  <c r="F73" i="45" s="1"/>
  <c r="M281" i="45"/>
  <c r="H121" i="45" s="1"/>
  <c r="F240" i="45"/>
  <c r="E240" i="45"/>
  <c r="G240" i="45"/>
  <c r="E235" i="45"/>
  <c r="I235" i="45"/>
  <c r="H235" i="45"/>
  <c r="G199" i="45"/>
  <c r="E204" i="45"/>
  <c r="F199" i="45"/>
  <c r="D199" i="45"/>
  <c r="H199" i="45"/>
  <c r="I199" i="45"/>
  <c r="E139" i="45"/>
  <c r="F144" i="45"/>
  <c r="H139" i="45"/>
  <c r="G144" i="45"/>
  <c r="I139" i="45"/>
  <c r="D139" i="45"/>
  <c r="D247" i="45"/>
  <c r="H252" i="45"/>
  <c r="I247" i="45"/>
  <c r="E247" i="45"/>
  <c r="H247" i="45"/>
  <c r="G252" i="45"/>
  <c r="H120" i="45"/>
  <c r="G120" i="45"/>
  <c r="E115" i="45"/>
  <c r="I115" i="45"/>
  <c r="D115" i="45"/>
  <c r="I120" i="45"/>
  <c r="M284" i="45"/>
  <c r="I157" i="45" s="1"/>
  <c r="I158" i="45" s="1"/>
  <c r="M289" i="45"/>
  <c r="F217" i="45" s="1"/>
  <c r="M290" i="45"/>
  <c r="F229" i="45" s="1"/>
  <c r="M285" i="45"/>
  <c r="D169" i="45" s="1"/>
  <c r="I103" i="45"/>
  <c r="F103" i="45"/>
  <c r="H103" i="45"/>
  <c r="D192" i="45"/>
  <c r="E175" i="45"/>
  <c r="D175" i="45"/>
  <c r="E264" i="45"/>
  <c r="H127" i="45"/>
  <c r="F127" i="45"/>
  <c r="E151" i="45"/>
  <c r="D211" i="45"/>
  <c r="F216" i="45"/>
  <c r="G228" i="45"/>
  <c r="I163" i="45"/>
  <c r="D168" i="45"/>
  <c r="F192" i="45"/>
  <c r="G187" i="45"/>
  <c r="D180" i="45"/>
  <c r="G175" i="45"/>
  <c r="G180" i="45"/>
  <c r="H259" i="45"/>
  <c r="G259" i="45"/>
  <c r="F132" i="45"/>
  <c r="E127" i="45"/>
  <c r="I127" i="45"/>
  <c r="H151" i="45"/>
  <c r="F151" i="45"/>
  <c r="G216" i="45"/>
  <c r="E216" i="45"/>
  <c r="H216" i="45"/>
  <c r="F223" i="45"/>
  <c r="D223" i="45"/>
  <c r="D163" i="45"/>
  <c r="I168" i="45"/>
  <c r="E168" i="45"/>
  <c r="P97" i="15"/>
  <c r="N97" i="15"/>
  <c r="H96" i="45"/>
  <c r="G96" i="45"/>
  <c r="G91" i="45"/>
  <c r="D91" i="45"/>
  <c r="D96" i="45"/>
  <c r="F96" i="45"/>
  <c r="I181" i="45"/>
  <c r="E181" i="45"/>
  <c r="F181" i="45"/>
  <c r="G181" i="45"/>
  <c r="H181" i="45"/>
  <c r="D181" i="45"/>
  <c r="F109" i="45"/>
  <c r="E109" i="45"/>
  <c r="I109" i="45"/>
  <c r="G109" i="45"/>
  <c r="E164" i="45"/>
  <c r="G164" i="45"/>
  <c r="D164" i="45"/>
  <c r="M274" i="45"/>
  <c r="D37" i="45" s="1"/>
  <c r="L274" i="45"/>
  <c r="G32" i="45" s="1"/>
  <c r="D128" i="45"/>
  <c r="G128" i="45"/>
  <c r="E128" i="45"/>
  <c r="F128" i="45"/>
  <c r="F116" i="45"/>
  <c r="E116" i="45"/>
  <c r="G116" i="45"/>
  <c r="E212" i="45"/>
  <c r="I212" i="45"/>
  <c r="H212" i="45"/>
  <c r="F212" i="45"/>
  <c r="F164" i="45"/>
  <c r="I164" i="45"/>
  <c r="H164" i="45"/>
  <c r="D109" i="45"/>
  <c r="H109" i="45"/>
  <c r="I116" i="45"/>
  <c r="H128" i="45"/>
  <c r="H116" i="45"/>
  <c r="I128" i="45"/>
  <c r="D212" i="45"/>
  <c r="D116" i="45"/>
  <c r="L280" i="45"/>
  <c r="F104" i="45" s="1"/>
  <c r="G103" i="45"/>
  <c r="E108" i="45"/>
  <c r="I108" i="45"/>
  <c r="E103" i="45"/>
  <c r="G108" i="45"/>
  <c r="H108" i="45"/>
  <c r="L287" i="45"/>
  <c r="E188" i="45" s="1"/>
  <c r="E189" i="45" s="1"/>
  <c r="M287" i="45"/>
  <c r="H192" i="45"/>
  <c r="F187" i="45"/>
  <c r="G192" i="45"/>
  <c r="D187" i="45"/>
  <c r="H187" i="45"/>
  <c r="E192" i="45"/>
  <c r="L286" i="45"/>
  <c r="H176" i="45" s="1"/>
  <c r="H175" i="45"/>
  <c r="E180" i="45"/>
  <c r="H180" i="45"/>
  <c r="F175" i="45"/>
  <c r="F180" i="45"/>
  <c r="I175" i="45"/>
  <c r="M293" i="45"/>
  <c r="H265" i="45" s="1"/>
  <c r="L293" i="45"/>
  <c r="G260" i="45" s="1"/>
  <c r="G264" i="45"/>
  <c r="D259" i="45"/>
  <c r="F259" i="45"/>
  <c r="E259" i="45"/>
  <c r="I259" i="45"/>
  <c r="F264" i="45"/>
  <c r="M282" i="45"/>
  <c r="H133" i="45" s="1"/>
  <c r="D127" i="45"/>
  <c r="I132" i="45"/>
  <c r="E132" i="45"/>
  <c r="G127" i="45"/>
  <c r="G132" i="45"/>
  <c r="D132" i="45"/>
  <c r="M279" i="45"/>
  <c r="I97" i="45" s="1"/>
  <c r="L279" i="45"/>
  <c r="I91" i="45"/>
  <c r="E91" i="45"/>
  <c r="H91" i="45"/>
  <c r="E96" i="45"/>
  <c r="I96" i="45"/>
  <c r="F91" i="45"/>
  <c r="L284" i="45"/>
  <c r="H152" i="45" s="1"/>
  <c r="G151" i="45"/>
  <c r="F156" i="45"/>
  <c r="H156" i="45"/>
  <c r="G156" i="45"/>
  <c r="D151" i="45"/>
  <c r="E156" i="45"/>
  <c r="H211" i="45"/>
  <c r="F211" i="45"/>
  <c r="I216" i="45"/>
  <c r="E211" i="45"/>
  <c r="I211" i="45"/>
  <c r="G211" i="45"/>
  <c r="G213" i="45" s="1"/>
  <c r="I223" i="45"/>
  <c r="E228" i="45"/>
  <c r="E223" i="45"/>
  <c r="G223" i="45"/>
  <c r="F228" i="45"/>
  <c r="H228" i="45"/>
  <c r="H168" i="45"/>
  <c r="F168" i="45"/>
  <c r="G168" i="45"/>
  <c r="F163" i="45"/>
  <c r="E163" i="45"/>
  <c r="H163" i="45"/>
  <c r="L290" i="45"/>
  <c r="I152" i="45"/>
  <c r="F236" i="45"/>
  <c r="H236" i="45"/>
  <c r="E236" i="45"/>
  <c r="I236" i="45"/>
  <c r="D236" i="45"/>
  <c r="G236" i="45"/>
  <c r="I205" i="45"/>
  <c r="H205" i="45"/>
  <c r="D205" i="45"/>
  <c r="E205" i="45"/>
  <c r="F205" i="45"/>
  <c r="G205" i="45"/>
  <c r="E145" i="45"/>
  <c r="F145" i="45"/>
  <c r="I145" i="45"/>
  <c r="G145" i="45"/>
  <c r="H145" i="45"/>
  <c r="D145" i="45"/>
  <c r="G248" i="45"/>
  <c r="H248" i="45"/>
  <c r="I248" i="45"/>
  <c r="D248" i="45"/>
  <c r="E248" i="45"/>
  <c r="F248" i="45"/>
  <c r="F249" i="45" s="1"/>
  <c r="M278" i="45"/>
  <c r="M276" i="45"/>
  <c r="M291" i="45"/>
  <c r="L288" i="45"/>
  <c r="L283" i="45"/>
  <c r="J273" i="45"/>
  <c r="H273" i="45"/>
  <c r="I273" i="45"/>
  <c r="H272" i="45"/>
  <c r="Q97" i="15"/>
  <c r="E97" i="15"/>
  <c r="E86" i="37"/>
  <c r="W86" i="37" s="1"/>
  <c r="E87" i="37"/>
  <c r="W87" i="37" s="1"/>
  <c r="E85" i="37"/>
  <c r="W85" i="37" s="1"/>
  <c r="E84" i="37"/>
  <c r="W84" i="37" s="1"/>
  <c r="K165" i="37"/>
  <c r="X165" i="37" s="1"/>
  <c r="F36" i="45"/>
  <c r="D36" i="45"/>
  <c r="F97" i="15"/>
  <c r="E36" i="45"/>
  <c r="G255" i="7"/>
  <c r="G257" i="7" s="1"/>
  <c r="Q230" i="7" s="1"/>
  <c r="G31" i="45"/>
  <c r="I256" i="7"/>
  <c r="I258" i="7" s="1"/>
  <c r="G36" i="45"/>
  <c r="E256" i="7"/>
  <c r="E258" i="7" s="1"/>
  <c r="U230" i="7" s="1"/>
  <c r="D256" i="7"/>
  <c r="D258" i="7" s="1"/>
  <c r="T230" i="7" s="1"/>
  <c r="G256" i="7"/>
  <c r="G258" i="7" s="1"/>
  <c r="W230" i="7" s="1"/>
  <c r="I77" i="37"/>
  <c r="G40" i="38"/>
  <c r="J77" i="37"/>
  <c r="H40" i="38"/>
  <c r="K77" i="37"/>
  <c r="I40" i="38"/>
  <c r="H77" i="37"/>
  <c r="F40" i="38"/>
  <c r="G77" i="37"/>
  <c r="E40" i="38"/>
  <c r="F77" i="37"/>
  <c r="D40" i="38"/>
  <c r="G41" i="38"/>
  <c r="L97" i="15"/>
  <c r="M97" i="15"/>
  <c r="H97" i="15"/>
  <c r="I97" i="15"/>
  <c r="J97" i="15"/>
  <c r="O97" i="15"/>
  <c r="G97" i="15"/>
  <c r="E255" i="7"/>
  <c r="E257" i="7" s="1"/>
  <c r="E31" i="45"/>
  <c r="F41" i="38"/>
  <c r="E41" i="38"/>
  <c r="G78" i="37"/>
  <c r="I41" i="38"/>
  <c r="R78" i="37"/>
  <c r="R93" i="37" s="1"/>
  <c r="D41" i="38"/>
  <c r="F78" i="37"/>
  <c r="H41" i="38"/>
  <c r="A1" i="38" l="1"/>
  <c r="E80" i="45"/>
  <c r="G67" i="45"/>
  <c r="E68" i="45"/>
  <c r="I49" i="45"/>
  <c r="H49" i="45"/>
  <c r="H134" i="45"/>
  <c r="I253" i="45"/>
  <c r="I254" i="45" s="1"/>
  <c r="F79" i="45"/>
  <c r="G79" i="45"/>
  <c r="D79" i="45"/>
  <c r="G84" i="45"/>
  <c r="D44" i="45"/>
  <c r="R91" i="37"/>
  <c r="R89" i="37"/>
  <c r="H282" i="7"/>
  <c r="X233" i="7" s="1"/>
  <c r="I282" i="7"/>
  <c r="Y233" i="7" s="1"/>
  <c r="F282" i="7"/>
  <c r="V233" i="7" s="1"/>
  <c r="D265" i="7"/>
  <c r="N231" i="7" s="1"/>
  <c r="F274" i="7"/>
  <c r="V232" i="7" s="1"/>
  <c r="I274" i="7"/>
  <c r="Y232" i="7" s="1"/>
  <c r="D273" i="7"/>
  <c r="N232" i="7" s="1"/>
  <c r="D281" i="7"/>
  <c r="N233" i="7" s="1"/>
  <c r="D282" i="7"/>
  <c r="T233" i="7" s="1"/>
  <c r="F266" i="7"/>
  <c r="V231" i="7" s="1"/>
  <c r="G273" i="7"/>
  <c r="Q232" i="7" s="1"/>
  <c r="H274" i="7"/>
  <c r="X232" i="7" s="1"/>
  <c r="D274" i="7"/>
  <c r="T232" i="7" s="1"/>
  <c r="E281" i="7"/>
  <c r="O233" i="7" s="1"/>
  <c r="F281" i="7"/>
  <c r="P233" i="7" s="1"/>
  <c r="F96" i="37"/>
  <c r="F95" i="37"/>
  <c r="F97" i="37"/>
  <c r="F94" i="37"/>
  <c r="F98" i="37"/>
  <c r="F92" i="37"/>
  <c r="F90" i="37"/>
  <c r="R94" i="37"/>
  <c r="R96" i="37"/>
  <c r="R97" i="37"/>
  <c r="R98" i="37"/>
  <c r="R95" i="37"/>
  <c r="R92" i="37"/>
  <c r="R90" i="37"/>
  <c r="G96" i="37"/>
  <c r="G97" i="37"/>
  <c r="G94" i="37"/>
  <c r="G95" i="37"/>
  <c r="G92" i="37"/>
  <c r="G90" i="37"/>
  <c r="G98" i="37"/>
  <c r="F88" i="37"/>
  <c r="F93" i="37"/>
  <c r="F91" i="37"/>
  <c r="F89" i="37"/>
  <c r="G88" i="37"/>
  <c r="G93" i="37"/>
  <c r="G91" i="37"/>
  <c r="G89" i="37"/>
  <c r="H88" i="37"/>
  <c r="H93" i="37"/>
  <c r="H89" i="37"/>
  <c r="H91" i="37"/>
  <c r="K88" i="37"/>
  <c r="K93" i="37"/>
  <c r="K89" i="37"/>
  <c r="K91" i="37"/>
  <c r="J88" i="37"/>
  <c r="J89" i="37"/>
  <c r="J91" i="37"/>
  <c r="J93" i="37"/>
  <c r="I88" i="37"/>
  <c r="I93" i="37"/>
  <c r="I89" i="37"/>
  <c r="I91" i="37"/>
  <c r="I281" i="7"/>
  <c r="S233" i="7" s="1"/>
  <c r="E265" i="7"/>
  <c r="O231" i="7" s="1"/>
  <c r="I266" i="7"/>
  <c r="Y231" i="7" s="1"/>
  <c r="E273" i="7"/>
  <c r="O232" i="7" s="1"/>
  <c r="G274" i="7"/>
  <c r="W232" i="7" s="1"/>
  <c r="H273" i="7"/>
  <c r="R232" i="7" s="1"/>
  <c r="E282" i="7"/>
  <c r="U233" i="7" s="1"/>
  <c r="G282" i="7"/>
  <c r="W233" i="7" s="1"/>
  <c r="H266" i="7"/>
  <c r="X231" i="7" s="1"/>
  <c r="E274" i="7"/>
  <c r="U232" i="7" s="1"/>
  <c r="I273" i="7"/>
  <c r="S232" i="7" s="1"/>
  <c r="F273" i="7"/>
  <c r="P232" i="7" s="1"/>
  <c r="H281" i="7"/>
  <c r="R233" i="7" s="1"/>
  <c r="G281" i="7"/>
  <c r="Q233" i="7" s="1"/>
  <c r="R88" i="37"/>
  <c r="R277" i="44"/>
  <c r="P277" i="44"/>
  <c r="S277" i="44"/>
  <c r="Q277" i="44"/>
  <c r="S283" i="44"/>
  <c r="P283" i="44"/>
  <c r="R283" i="44"/>
  <c r="J283" i="44" s="1"/>
  <c r="Q283" i="44"/>
  <c r="R291" i="44"/>
  <c r="P291" i="44"/>
  <c r="Q291" i="44"/>
  <c r="S291" i="44"/>
  <c r="S276" i="44"/>
  <c r="P276" i="44"/>
  <c r="R276" i="44"/>
  <c r="J276" i="44" s="1"/>
  <c r="Q276" i="44"/>
  <c r="R282" i="44"/>
  <c r="P282" i="44"/>
  <c r="Q282" i="44"/>
  <c r="S282" i="44"/>
  <c r="R286" i="44"/>
  <c r="P286" i="44"/>
  <c r="Q286" i="44"/>
  <c r="S286" i="44"/>
  <c r="R274" i="44"/>
  <c r="P274" i="44"/>
  <c r="S274" i="44"/>
  <c r="Q274" i="44"/>
  <c r="R279" i="44"/>
  <c r="P279" i="44"/>
  <c r="Q279" i="44"/>
  <c r="S279" i="44"/>
  <c r="S289" i="44"/>
  <c r="P289" i="44"/>
  <c r="R289" i="44"/>
  <c r="J289" i="44" s="1"/>
  <c r="Q289" i="44"/>
  <c r="S288" i="44"/>
  <c r="P288" i="44"/>
  <c r="R288" i="44"/>
  <c r="J288" i="44" s="1"/>
  <c r="Q288" i="44"/>
  <c r="R281" i="44"/>
  <c r="P281" i="44"/>
  <c r="S281" i="44"/>
  <c r="Q281" i="44"/>
  <c r="R287" i="44"/>
  <c r="P287" i="44"/>
  <c r="S287" i="44"/>
  <c r="Q287" i="44"/>
  <c r="S293" i="44"/>
  <c r="P293" i="44"/>
  <c r="R293" i="44"/>
  <c r="Q293" i="44"/>
  <c r="R278" i="44"/>
  <c r="P278" i="44"/>
  <c r="S278" i="44"/>
  <c r="Q278" i="44"/>
  <c r="R284" i="44"/>
  <c r="P284" i="44"/>
  <c r="S284" i="44"/>
  <c r="Q284" i="44"/>
  <c r="R290" i="44"/>
  <c r="P290" i="44"/>
  <c r="Q290" i="44"/>
  <c r="S290" i="44"/>
  <c r="S275" i="44"/>
  <c r="P275" i="44"/>
  <c r="R275" i="44"/>
  <c r="J275" i="44" s="1"/>
  <c r="Q275" i="44"/>
  <c r="R285" i="44"/>
  <c r="P285" i="44"/>
  <c r="S285" i="44"/>
  <c r="Q285" i="44"/>
  <c r="S280" i="44"/>
  <c r="P280" i="44"/>
  <c r="Q280" i="44"/>
  <c r="R280" i="44"/>
  <c r="R292" i="44"/>
  <c r="P292" i="44"/>
  <c r="S292" i="44"/>
  <c r="Q292" i="44"/>
  <c r="Q187" i="37"/>
  <c r="P84" i="37" s="1"/>
  <c r="M165" i="37"/>
  <c r="R187" i="37"/>
  <c r="Q84" i="37" s="1"/>
  <c r="O187" i="37"/>
  <c r="N84" i="37" s="1"/>
  <c r="S187" i="37"/>
  <c r="N187" i="37"/>
  <c r="M84" i="37" s="1"/>
  <c r="N189" i="37"/>
  <c r="R189" i="37"/>
  <c r="S189" i="37"/>
  <c r="P189" i="37"/>
  <c r="Q189" i="37"/>
  <c r="O189" i="37"/>
  <c r="O188" i="37"/>
  <c r="Z139" i="37"/>
  <c r="AD139" i="37"/>
  <c r="H146" i="45"/>
  <c r="F206" i="45"/>
  <c r="E56" i="45"/>
  <c r="H56" i="45"/>
  <c r="F56" i="45"/>
  <c r="E60" i="45"/>
  <c r="E79" i="45"/>
  <c r="E81" i="45" s="1"/>
  <c r="G73" i="45"/>
  <c r="H67" i="45"/>
  <c r="I55" i="45"/>
  <c r="F55" i="45"/>
  <c r="F74" i="45"/>
  <c r="E44" i="45"/>
  <c r="I31" i="45"/>
  <c r="D80" i="45"/>
  <c r="F80" i="45"/>
  <c r="F81" i="45" s="1"/>
  <c r="F68" i="45"/>
  <c r="D67" i="45"/>
  <c r="D60" i="45"/>
  <c r="F60" i="45"/>
  <c r="D43" i="45"/>
  <c r="I48" i="45"/>
  <c r="H31" i="45"/>
  <c r="D56" i="45"/>
  <c r="G56" i="45"/>
  <c r="G80" i="45"/>
  <c r="H80" i="45"/>
  <c r="D72" i="45"/>
  <c r="F67" i="45"/>
  <c r="F69" i="45" s="1"/>
  <c r="G55" i="45"/>
  <c r="H79" i="45"/>
  <c r="H81" i="45" s="1"/>
  <c r="D68" i="45"/>
  <c r="E67" i="45"/>
  <c r="D55" i="45"/>
  <c r="F84" i="45"/>
  <c r="I60" i="45"/>
  <c r="H60" i="45"/>
  <c r="F48" i="45"/>
  <c r="G254" i="45"/>
  <c r="I50" i="45"/>
  <c r="F36" i="15"/>
  <c r="F31" i="45"/>
  <c r="I56" i="45"/>
  <c r="I80" i="45"/>
  <c r="D110" i="45"/>
  <c r="I84" i="45"/>
  <c r="G72" i="45"/>
  <c r="G60" i="45"/>
  <c r="I79" i="45"/>
  <c r="H84" i="45"/>
  <c r="D84" i="45"/>
  <c r="E72" i="45"/>
  <c r="H55" i="45"/>
  <c r="E43" i="45"/>
  <c r="H48" i="45"/>
  <c r="H50" i="45" s="1"/>
  <c r="G68" i="45"/>
  <c r="G69" i="45" s="1"/>
  <c r="E84" i="45"/>
  <c r="H68" i="45"/>
  <c r="E69" i="45"/>
  <c r="D253" i="45"/>
  <c r="D254" i="45" s="1"/>
  <c r="E253" i="45"/>
  <c r="E254" i="45" s="1"/>
  <c r="I121" i="45"/>
  <c r="I122" i="45" s="1"/>
  <c r="G121" i="45"/>
  <c r="G122" i="45" s="1"/>
  <c r="I217" i="45"/>
  <c r="I218" i="45" s="1"/>
  <c r="E117" i="45"/>
  <c r="H169" i="45"/>
  <c r="H170" i="45" s="1"/>
  <c r="D217" i="45"/>
  <c r="D218" i="45" s="1"/>
  <c r="E217" i="45"/>
  <c r="E218" i="45" s="1"/>
  <c r="H253" i="45"/>
  <c r="H254" i="45" s="1"/>
  <c r="F253" i="45"/>
  <c r="F254" i="45" s="1"/>
  <c r="I69" i="45"/>
  <c r="I153" i="45"/>
  <c r="F237" i="45"/>
  <c r="H266" i="45"/>
  <c r="H117" i="45"/>
  <c r="I249" i="45"/>
  <c r="F105" i="45"/>
  <c r="G206" i="45"/>
  <c r="H206" i="45"/>
  <c r="G237" i="45"/>
  <c r="E57" i="45"/>
  <c r="F169" i="45"/>
  <c r="F170" i="45" s="1"/>
  <c r="F117" i="45"/>
  <c r="G249" i="45"/>
  <c r="G146" i="45"/>
  <c r="F146" i="45"/>
  <c r="E206" i="45"/>
  <c r="H237" i="45"/>
  <c r="H97" i="45"/>
  <c r="H98" i="45" s="1"/>
  <c r="I146" i="45"/>
  <c r="D206" i="45"/>
  <c r="D237" i="45"/>
  <c r="F176" i="45"/>
  <c r="F177" i="45" s="1"/>
  <c r="F110" i="45"/>
  <c r="I182" i="45"/>
  <c r="E249" i="45"/>
  <c r="E146" i="45"/>
  <c r="I206" i="45"/>
  <c r="E237" i="45"/>
  <c r="E176" i="45"/>
  <c r="E177" i="45" s="1"/>
  <c r="G188" i="45"/>
  <c r="G189" i="45" s="1"/>
  <c r="G165" i="45"/>
  <c r="F49" i="45"/>
  <c r="D146" i="45"/>
  <c r="G261" i="45"/>
  <c r="H129" i="45"/>
  <c r="G169" i="45"/>
  <c r="G170" i="45" s="1"/>
  <c r="G217" i="45"/>
  <c r="G218" i="45" s="1"/>
  <c r="I165" i="45"/>
  <c r="G117" i="45"/>
  <c r="H217" i="45"/>
  <c r="H218" i="45" s="1"/>
  <c r="D182" i="45"/>
  <c r="G182" i="45"/>
  <c r="I265" i="45"/>
  <c r="I266" i="45" s="1"/>
  <c r="H229" i="45"/>
  <c r="H230" i="45" s="1"/>
  <c r="F260" i="45"/>
  <c r="F261" i="45" s="1"/>
  <c r="I176" i="45"/>
  <c r="I177" i="45" s="1"/>
  <c r="H188" i="45"/>
  <c r="H189" i="45" s="1"/>
  <c r="D188" i="45"/>
  <c r="D189" i="45" s="1"/>
  <c r="I117" i="45"/>
  <c r="D229" i="45"/>
  <c r="D230" i="45" s="1"/>
  <c r="E157" i="45"/>
  <c r="E158" i="45" s="1"/>
  <c r="E229" i="45"/>
  <c r="E230" i="45" s="1"/>
  <c r="F121" i="45"/>
  <c r="F122" i="45" s="1"/>
  <c r="D73" i="45"/>
  <c r="E73" i="45"/>
  <c r="H32" i="45"/>
  <c r="D249" i="45"/>
  <c r="H249" i="45"/>
  <c r="I237" i="45"/>
  <c r="D117" i="45"/>
  <c r="I129" i="45"/>
  <c r="H157" i="45"/>
  <c r="H158" i="45" s="1"/>
  <c r="D165" i="45"/>
  <c r="H73" i="45"/>
  <c r="H74" i="45" s="1"/>
  <c r="H122" i="45"/>
  <c r="I73" i="45"/>
  <c r="I74" i="45" s="1"/>
  <c r="D121" i="45"/>
  <c r="D122" i="45" s="1"/>
  <c r="E121" i="45"/>
  <c r="E122" i="45" s="1"/>
  <c r="G37" i="45"/>
  <c r="G38" i="45" s="1"/>
  <c r="E37" i="45"/>
  <c r="E38" i="45" s="1"/>
  <c r="G176" i="45"/>
  <c r="G177" i="45" s="1"/>
  <c r="D176" i="45"/>
  <c r="D177" i="45" s="1"/>
  <c r="F188" i="45"/>
  <c r="F189" i="45" s="1"/>
  <c r="I188" i="45"/>
  <c r="I189" i="45" s="1"/>
  <c r="E165" i="45"/>
  <c r="F230" i="45"/>
  <c r="F182" i="45"/>
  <c r="H182" i="45"/>
  <c r="E110" i="45"/>
  <c r="D213" i="45"/>
  <c r="G229" i="45"/>
  <c r="G230" i="45" s="1"/>
  <c r="F157" i="45"/>
  <c r="F158" i="45" s="1"/>
  <c r="F129" i="45"/>
  <c r="I229" i="45"/>
  <c r="I230" i="45" s="1"/>
  <c r="G157" i="45"/>
  <c r="G158" i="45" s="1"/>
  <c r="D170" i="45"/>
  <c r="D157" i="45"/>
  <c r="D158" i="45" s="1"/>
  <c r="I169" i="45"/>
  <c r="I170" i="45" s="1"/>
  <c r="E169" i="45"/>
  <c r="E170" i="45" s="1"/>
  <c r="F218" i="45"/>
  <c r="I32" i="45"/>
  <c r="H153" i="45"/>
  <c r="E129" i="45"/>
  <c r="D97" i="45"/>
  <c r="D98" i="45" s="1"/>
  <c r="E97" i="45"/>
  <c r="E98" i="45" s="1"/>
  <c r="E152" i="45"/>
  <c r="E153" i="45" s="1"/>
  <c r="F32" i="45"/>
  <c r="H104" i="45"/>
  <c r="H105" i="45" s="1"/>
  <c r="F165" i="45"/>
  <c r="E213" i="45"/>
  <c r="E182" i="45"/>
  <c r="I110" i="45"/>
  <c r="G152" i="45"/>
  <c r="G153" i="45" s="1"/>
  <c r="D133" i="45"/>
  <c r="D134" i="45" s="1"/>
  <c r="E265" i="45"/>
  <c r="E266" i="45" s="1"/>
  <c r="H177" i="45"/>
  <c r="I104" i="45"/>
  <c r="I105" i="45" s="1"/>
  <c r="G110" i="45"/>
  <c r="E133" i="45"/>
  <c r="E134" i="45" s="1"/>
  <c r="I133" i="45"/>
  <c r="I134" i="45" s="1"/>
  <c r="D265" i="45"/>
  <c r="D266" i="45" s="1"/>
  <c r="G104" i="45"/>
  <c r="G105" i="45" s="1"/>
  <c r="I98" i="45"/>
  <c r="F97" i="45"/>
  <c r="F98" i="45" s="1"/>
  <c r="G97" i="45"/>
  <c r="G98" i="45" s="1"/>
  <c r="F152" i="45"/>
  <c r="F153" i="45" s="1"/>
  <c r="D152" i="45"/>
  <c r="D153" i="45" s="1"/>
  <c r="F213" i="45"/>
  <c r="I224" i="45"/>
  <c r="I225" i="45" s="1"/>
  <c r="F224" i="45"/>
  <c r="F225" i="45" s="1"/>
  <c r="E224" i="45"/>
  <c r="E225" i="45" s="1"/>
  <c r="G224" i="45"/>
  <c r="G225" i="45" s="1"/>
  <c r="D224" i="45"/>
  <c r="D225" i="45" s="1"/>
  <c r="H224" i="45"/>
  <c r="H225" i="45" s="1"/>
  <c r="I92" i="45"/>
  <c r="I93" i="45" s="1"/>
  <c r="E92" i="45"/>
  <c r="E93" i="45" s="1"/>
  <c r="D92" i="45"/>
  <c r="D93" i="45" s="1"/>
  <c r="G92" i="45"/>
  <c r="G93" i="45" s="1"/>
  <c r="F92" i="45"/>
  <c r="F93" i="45" s="1"/>
  <c r="H92" i="45"/>
  <c r="H93" i="45" s="1"/>
  <c r="H193" i="45"/>
  <c r="H194" i="45" s="1"/>
  <c r="D193" i="45"/>
  <c r="D194" i="45" s="1"/>
  <c r="I193" i="45"/>
  <c r="I194" i="45" s="1"/>
  <c r="F193" i="45"/>
  <c r="F194" i="45" s="1"/>
  <c r="E193" i="45"/>
  <c r="E194" i="45" s="1"/>
  <c r="G193" i="45"/>
  <c r="G194" i="45" s="1"/>
  <c r="I213" i="45"/>
  <c r="E32" i="45"/>
  <c r="E33" i="45" s="1"/>
  <c r="F133" i="45"/>
  <c r="F134" i="45" s="1"/>
  <c r="G133" i="45"/>
  <c r="G134" i="45" s="1"/>
  <c r="F265" i="45"/>
  <c r="F266" i="45" s="1"/>
  <c r="G265" i="45"/>
  <c r="G266" i="45" s="1"/>
  <c r="E104" i="45"/>
  <c r="E105" i="45" s="1"/>
  <c r="D104" i="45"/>
  <c r="D105" i="45" s="1"/>
  <c r="D129" i="45"/>
  <c r="D260" i="45"/>
  <c r="D261" i="45" s="1"/>
  <c r="E260" i="45"/>
  <c r="E261" i="45" s="1"/>
  <c r="H260" i="45"/>
  <c r="H261" i="45" s="1"/>
  <c r="I260" i="45"/>
  <c r="I261" i="45" s="1"/>
  <c r="H110" i="45"/>
  <c r="H165" i="45"/>
  <c r="H213" i="45"/>
  <c r="G129" i="45"/>
  <c r="F200" i="45"/>
  <c r="F201" i="45" s="1"/>
  <c r="E200" i="45"/>
  <c r="E201" i="45" s="1"/>
  <c r="I200" i="45"/>
  <c r="I201" i="45" s="1"/>
  <c r="H200" i="45"/>
  <c r="H201" i="45" s="1"/>
  <c r="D200" i="45"/>
  <c r="D201" i="45" s="1"/>
  <c r="G200" i="45"/>
  <c r="G201" i="45" s="1"/>
  <c r="I61" i="45"/>
  <c r="H61" i="45"/>
  <c r="D61" i="45"/>
  <c r="E61" i="45"/>
  <c r="F61" i="45"/>
  <c r="G61" i="45"/>
  <c r="I140" i="45"/>
  <c r="I141" i="45" s="1"/>
  <c r="D140" i="45"/>
  <c r="D141" i="45" s="1"/>
  <c r="G140" i="45"/>
  <c r="G141" i="45" s="1"/>
  <c r="F140" i="45"/>
  <c r="F141" i="45" s="1"/>
  <c r="E140" i="45"/>
  <c r="E141" i="45" s="1"/>
  <c r="H140" i="45"/>
  <c r="H141" i="45" s="1"/>
  <c r="I241" i="45"/>
  <c r="I242" i="45" s="1"/>
  <c r="H241" i="45"/>
  <c r="H242" i="45" s="1"/>
  <c r="F241" i="45"/>
  <c r="F242" i="45" s="1"/>
  <c r="G241" i="45"/>
  <c r="G242" i="45" s="1"/>
  <c r="D241" i="45"/>
  <c r="D242" i="45" s="1"/>
  <c r="E241" i="45"/>
  <c r="E242" i="45" s="1"/>
  <c r="I85" i="45"/>
  <c r="F85" i="45"/>
  <c r="G85" i="45"/>
  <c r="H85" i="45"/>
  <c r="D85" i="45"/>
  <c r="E85" i="45"/>
  <c r="F37" i="45"/>
  <c r="O84" i="37"/>
  <c r="K166" i="37"/>
  <c r="X166" i="37" s="1"/>
  <c r="K167" i="37"/>
  <c r="X167" i="37" s="1"/>
  <c r="K86" i="37" s="1"/>
  <c r="K168" i="37"/>
  <c r="X168" i="37" s="1"/>
  <c r="H36" i="45"/>
  <c r="E83" i="37"/>
  <c r="W83" i="37" s="1"/>
  <c r="O35" i="37" s="1"/>
  <c r="D31" i="45"/>
  <c r="N36" i="15"/>
  <c r="F256" i="7"/>
  <c r="F258" i="7" s="1"/>
  <c r="V230" i="7" s="1"/>
  <c r="D38" i="45"/>
  <c r="G33" i="45"/>
  <c r="Q36" i="15"/>
  <c r="H256" i="7"/>
  <c r="H258" i="7" s="1"/>
  <c r="X230" i="7" s="1"/>
  <c r="I36" i="45"/>
  <c r="D255" i="7"/>
  <c r="D257" i="7" s="1"/>
  <c r="N230" i="7" s="1"/>
  <c r="P36" i="15"/>
  <c r="H37" i="45"/>
  <c r="I37" i="45"/>
  <c r="E36" i="15"/>
  <c r="D32" i="45"/>
  <c r="E20" i="1"/>
  <c r="H20" i="1" s="1"/>
  <c r="F263" i="7"/>
  <c r="F43" i="45"/>
  <c r="F44" i="45"/>
  <c r="G36" i="15"/>
  <c r="G49" i="45"/>
  <c r="G48" i="45"/>
  <c r="G264" i="7"/>
  <c r="O36" i="15"/>
  <c r="I43" i="45"/>
  <c r="I263" i="7"/>
  <c r="I44" i="45"/>
  <c r="J36" i="15"/>
  <c r="H44" i="45"/>
  <c r="H43" i="45"/>
  <c r="H263" i="7"/>
  <c r="I36" i="15"/>
  <c r="G44" i="45"/>
  <c r="G263" i="7"/>
  <c r="G43" i="45"/>
  <c r="H36" i="15"/>
  <c r="E264" i="7"/>
  <c r="E49" i="45"/>
  <c r="E48" i="45"/>
  <c r="M36" i="15"/>
  <c r="D48" i="45"/>
  <c r="D264" i="7"/>
  <c r="D49" i="45"/>
  <c r="L36" i="15"/>
  <c r="J113" i="50"/>
  <c r="H113" i="50"/>
  <c r="K113" i="50"/>
  <c r="O230" i="7"/>
  <c r="Y230" i="7"/>
  <c r="F57" i="45" l="1"/>
  <c r="J293" i="44"/>
  <c r="H264" i="44" s="1"/>
  <c r="D45" i="45"/>
  <c r="D81" i="45"/>
  <c r="G86" i="45"/>
  <c r="G81" i="45"/>
  <c r="J277" i="44"/>
  <c r="H72" i="44" s="1"/>
  <c r="E86" i="45"/>
  <c r="F86" i="45"/>
  <c r="H62" i="45"/>
  <c r="O275" i="34"/>
  <c r="K275" i="34" s="1"/>
  <c r="L293" i="44"/>
  <c r="E260" i="44" s="1"/>
  <c r="J292" i="44"/>
  <c r="F252" i="44" s="1"/>
  <c r="J284" i="44"/>
  <c r="D151" i="44" s="1"/>
  <c r="J287" i="44"/>
  <c r="M287" i="44" s="1"/>
  <c r="I193" i="44" s="1"/>
  <c r="R294" i="44"/>
  <c r="H272" i="44" s="1"/>
  <c r="M292" i="44"/>
  <c r="E253" i="44" s="1"/>
  <c r="L284" i="44"/>
  <c r="E152" i="44" s="1"/>
  <c r="M277" i="44"/>
  <c r="G73" i="44" s="1"/>
  <c r="J280" i="44"/>
  <c r="H103" i="44" s="1"/>
  <c r="L283" i="44"/>
  <c r="E140" i="44" s="1"/>
  <c r="M280" i="44"/>
  <c r="H109" i="44" s="1"/>
  <c r="J278" i="44"/>
  <c r="L278" i="44" s="1"/>
  <c r="F80" i="44" s="1"/>
  <c r="J281" i="44"/>
  <c r="M281" i="44" s="1"/>
  <c r="E121" i="44" s="1"/>
  <c r="D57" i="45"/>
  <c r="H265" i="7"/>
  <c r="R231" i="7" s="1"/>
  <c r="F265" i="7"/>
  <c r="P231" i="7" s="1"/>
  <c r="E266" i="7"/>
  <c r="U231" i="7" s="1"/>
  <c r="G266" i="7"/>
  <c r="W231" i="7" s="1"/>
  <c r="D266" i="7"/>
  <c r="T231" i="7" s="1"/>
  <c r="G265" i="7"/>
  <c r="Q231" i="7" s="1"/>
  <c r="I265" i="7"/>
  <c r="S231" i="7" s="1"/>
  <c r="N85" i="37"/>
  <c r="N18" i="37" s="1"/>
  <c r="E60" i="43" s="1"/>
  <c r="O276" i="34"/>
  <c r="K276" i="34" s="1"/>
  <c r="O281" i="34"/>
  <c r="K281" i="34" s="1"/>
  <c r="O278" i="34"/>
  <c r="K278" i="34" s="1"/>
  <c r="O279" i="34"/>
  <c r="K279" i="34" s="1"/>
  <c r="O283" i="34"/>
  <c r="K283" i="34" s="1"/>
  <c r="O282" i="34"/>
  <c r="K282" i="34" s="1"/>
  <c r="O274" i="34"/>
  <c r="K274" i="34" s="1"/>
  <c r="O277" i="34"/>
  <c r="K277" i="34" s="1"/>
  <c r="O280" i="34"/>
  <c r="K280" i="34" s="1"/>
  <c r="L275" i="44"/>
  <c r="D44" i="44" s="1"/>
  <c r="J290" i="44"/>
  <c r="L290" i="44" s="1"/>
  <c r="I224" i="44" s="1"/>
  <c r="M288" i="44"/>
  <c r="H205" i="44" s="1"/>
  <c r="L289" i="44"/>
  <c r="E212" i="44" s="1"/>
  <c r="J279" i="44"/>
  <c r="L279" i="44" s="1"/>
  <c r="G92" i="44" s="1"/>
  <c r="J285" i="44"/>
  <c r="L285" i="44" s="1"/>
  <c r="E164" i="44" s="1"/>
  <c r="J274" i="44"/>
  <c r="F36" i="44" s="1"/>
  <c r="J286" i="44"/>
  <c r="M286" i="44" s="1"/>
  <c r="F181" i="44" s="1"/>
  <c r="J282" i="44"/>
  <c r="M282" i="44" s="1"/>
  <c r="F133" i="44" s="1"/>
  <c r="M276" i="44"/>
  <c r="G61" i="44" s="1"/>
  <c r="J291" i="44"/>
  <c r="L291" i="44" s="1"/>
  <c r="F236" i="44" s="1"/>
  <c r="M164" i="37"/>
  <c r="F39" i="15"/>
  <c r="P188" i="37"/>
  <c r="H85" i="37" s="1"/>
  <c r="H18" i="37" s="1"/>
  <c r="M166" i="37"/>
  <c r="Q188" i="37"/>
  <c r="P85" i="37" s="1"/>
  <c r="P18" i="37" s="1"/>
  <c r="N188" i="37"/>
  <c r="R188" i="37"/>
  <c r="J85" i="37" s="1"/>
  <c r="S188" i="37"/>
  <c r="R85" i="37" s="1"/>
  <c r="R18" i="37" s="1"/>
  <c r="S186" i="37"/>
  <c r="Q186" i="37"/>
  <c r="R186" i="37"/>
  <c r="O186" i="37"/>
  <c r="P186" i="37"/>
  <c r="N186" i="37"/>
  <c r="Q85" i="37"/>
  <c r="Q18" i="37" s="1"/>
  <c r="H61" i="43" s="1"/>
  <c r="P86" i="37"/>
  <c r="E62" i="45"/>
  <c r="K164" i="37"/>
  <c r="X164" i="37" s="1"/>
  <c r="H33" i="45"/>
  <c r="H57" i="45"/>
  <c r="G74" i="45"/>
  <c r="H69" i="45"/>
  <c r="I57" i="45"/>
  <c r="D86" i="45"/>
  <c r="D62" i="45"/>
  <c r="F20" i="45"/>
  <c r="D15" i="45"/>
  <c r="H86" i="45"/>
  <c r="G62" i="45"/>
  <c r="F33" i="45"/>
  <c r="I33" i="45"/>
  <c r="D74" i="45"/>
  <c r="E45" i="45"/>
  <c r="E15" i="45"/>
  <c r="F50" i="45"/>
  <c r="D69" i="45"/>
  <c r="I20" i="45"/>
  <c r="H20" i="45"/>
  <c r="I86" i="45"/>
  <c r="F62" i="45"/>
  <c r="I62" i="45"/>
  <c r="E74" i="45"/>
  <c r="G57" i="45"/>
  <c r="I81" i="45"/>
  <c r="N86" i="37"/>
  <c r="G86" i="37"/>
  <c r="G16" i="45"/>
  <c r="H43" i="44"/>
  <c r="D48" i="44"/>
  <c r="E48" i="44"/>
  <c r="I16" i="45"/>
  <c r="F21" i="45"/>
  <c r="E21" i="45"/>
  <c r="G43" i="44"/>
  <c r="I43" i="44"/>
  <c r="G48" i="44"/>
  <c r="F43" i="44"/>
  <c r="D72" i="44"/>
  <c r="G35" i="37"/>
  <c r="E260" i="34" s="1"/>
  <c r="I67" i="44"/>
  <c r="L288" i="44"/>
  <c r="I200" i="44" s="1"/>
  <c r="G26" i="37"/>
  <c r="E151" i="43" s="1"/>
  <c r="I34" i="37"/>
  <c r="G247" i="43" s="1"/>
  <c r="M289" i="44"/>
  <c r="G217" i="44" s="1"/>
  <c r="E39" i="15"/>
  <c r="D24" i="1" s="1"/>
  <c r="G24" i="1" s="1"/>
  <c r="H39" i="15"/>
  <c r="F86" i="37"/>
  <c r="F35" i="37"/>
  <c r="D218" i="7" s="1"/>
  <c r="M28" i="37"/>
  <c r="D163" i="7" s="1"/>
  <c r="L276" i="44"/>
  <c r="D56" i="44" s="1"/>
  <c r="M275" i="44"/>
  <c r="E49" i="44" s="1"/>
  <c r="F24" i="37"/>
  <c r="G32" i="37"/>
  <c r="E224" i="43" s="1"/>
  <c r="O25" i="37"/>
  <c r="F145" i="43" s="1"/>
  <c r="R35" i="37"/>
  <c r="I265" i="34" s="1"/>
  <c r="L277" i="44"/>
  <c r="F68" i="44" s="1"/>
  <c r="D21" i="45"/>
  <c r="H16" i="45"/>
  <c r="G21" i="45"/>
  <c r="F16" i="45"/>
  <c r="D16" i="45"/>
  <c r="I21" i="45"/>
  <c r="H21" i="45"/>
  <c r="H84" i="37"/>
  <c r="E16" i="45"/>
  <c r="I139" i="44"/>
  <c r="F139" i="44"/>
  <c r="G139" i="44"/>
  <c r="G144" i="44"/>
  <c r="D139" i="44"/>
  <c r="E144" i="44"/>
  <c r="H139" i="44"/>
  <c r="H144" i="44"/>
  <c r="F144" i="44"/>
  <c r="I144" i="44"/>
  <c r="D144" i="44"/>
  <c r="E139" i="44"/>
  <c r="I199" i="44"/>
  <c r="H204" i="44"/>
  <c r="H199" i="44"/>
  <c r="G204" i="44"/>
  <c r="E204" i="44"/>
  <c r="I204" i="44"/>
  <c r="G199" i="44"/>
  <c r="F204" i="44"/>
  <c r="E199" i="44"/>
  <c r="D199" i="44"/>
  <c r="D204" i="44"/>
  <c r="F199" i="44"/>
  <c r="F60" i="44"/>
  <c r="G55" i="44"/>
  <c r="E55" i="44"/>
  <c r="I55" i="44"/>
  <c r="H55" i="44"/>
  <c r="E60" i="44"/>
  <c r="I60" i="44"/>
  <c r="H60" i="44"/>
  <c r="G60" i="44"/>
  <c r="F55" i="44"/>
  <c r="D55" i="44"/>
  <c r="D60" i="44"/>
  <c r="H211" i="44"/>
  <c r="F211" i="44"/>
  <c r="E211" i="44"/>
  <c r="D216" i="44"/>
  <c r="I211" i="44"/>
  <c r="G216" i="44"/>
  <c r="G211" i="44"/>
  <c r="I216" i="44"/>
  <c r="F216" i="44"/>
  <c r="H216" i="44"/>
  <c r="D211" i="44"/>
  <c r="E216" i="44"/>
  <c r="F48" i="44"/>
  <c r="I48" i="44"/>
  <c r="E43" i="44"/>
  <c r="H48" i="44"/>
  <c r="D43" i="44"/>
  <c r="M283" i="44"/>
  <c r="F38" i="45"/>
  <c r="F32" i="37"/>
  <c r="D224" i="34" s="1"/>
  <c r="G27" i="37"/>
  <c r="E164" i="34" s="1"/>
  <c r="F27" i="37"/>
  <c r="D164" i="43" s="1"/>
  <c r="H28" i="37"/>
  <c r="F176" i="34" s="1"/>
  <c r="I24" i="37"/>
  <c r="K26" i="37"/>
  <c r="I152" i="43" s="1"/>
  <c r="H35" i="37"/>
  <c r="F260" i="43" s="1"/>
  <c r="O34" i="37"/>
  <c r="F253" i="34" s="1"/>
  <c r="R33" i="37"/>
  <c r="I241" i="34" s="1"/>
  <c r="G22" i="37"/>
  <c r="F28" i="37"/>
  <c r="D175" i="34" s="1"/>
  <c r="G30" i="37"/>
  <c r="E178" i="7" s="1"/>
  <c r="G23" i="37"/>
  <c r="E122" i="7" s="1"/>
  <c r="E124" i="7" s="1"/>
  <c r="O48" i="7" s="1"/>
  <c r="F31" i="37"/>
  <c r="D212" i="43" s="1"/>
  <c r="F23" i="37"/>
  <c r="G31" i="37"/>
  <c r="E212" i="34" s="1"/>
  <c r="I22" i="37"/>
  <c r="G104" i="43" s="1"/>
  <c r="H22" i="37"/>
  <c r="I21" i="37"/>
  <c r="R23" i="37"/>
  <c r="I120" i="43" s="1"/>
  <c r="P23" i="37"/>
  <c r="O29" i="37"/>
  <c r="F171" i="7" s="1"/>
  <c r="Q30" i="37"/>
  <c r="H204" i="43" s="1"/>
  <c r="M34" i="37"/>
  <c r="D252" i="43" s="1"/>
  <c r="M33" i="37"/>
  <c r="D240" i="34" s="1"/>
  <c r="Q29" i="37"/>
  <c r="H193" i="34" s="1"/>
  <c r="G24" i="37"/>
  <c r="F34" i="37"/>
  <c r="D248" i="34" s="1"/>
  <c r="F30" i="37"/>
  <c r="D200" i="34" s="1"/>
  <c r="F26" i="37"/>
  <c r="D151" i="43" s="1"/>
  <c r="F22" i="37"/>
  <c r="G34" i="37"/>
  <c r="E247" i="43" s="1"/>
  <c r="G25" i="37"/>
  <c r="E139" i="43" s="1"/>
  <c r="G21" i="37"/>
  <c r="E91" i="43" s="1"/>
  <c r="F33" i="37"/>
  <c r="D235" i="43" s="1"/>
  <c r="F29" i="37"/>
  <c r="D188" i="34" s="1"/>
  <c r="F25" i="37"/>
  <c r="F21" i="37"/>
  <c r="D106" i="7" s="1"/>
  <c r="D108" i="7" s="1"/>
  <c r="N46" i="7" s="1"/>
  <c r="G29" i="37"/>
  <c r="E188" i="43" s="1"/>
  <c r="H24" i="37"/>
  <c r="F128" i="43" s="1"/>
  <c r="H32" i="37"/>
  <c r="F223" i="43" s="1"/>
  <c r="I26" i="37"/>
  <c r="G151" i="34" s="1"/>
  <c r="G33" i="37"/>
  <c r="E236" i="34" s="1"/>
  <c r="H30" i="37"/>
  <c r="F200" i="34" s="1"/>
  <c r="H33" i="37"/>
  <c r="F235" i="34" s="1"/>
  <c r="M23" i="37"/>
  <c r="D121" i="43" s="1"/>
  <c r="Q23" i="37"/>
  <c r="H120" i="43" s="1"/>
  <c r="R24" i="37"/>
  <c r="I132" i="43" s="1"/>
  <c r="Q24" i="37"/>
  <c r="N35" i="37"/>
  <c r="E265" i="34" s="1"/>
  <c r="J27" i="37"/>
  <c r="H164" i="34" s="1"/>
  <c r="H21" i="37"/>
  <c r="F106" i="7" s="1"/>
  <c r="F108" i="7" s="1"/>
  <c r="P46" i="7" s="1"/>
  <c r="M35" i="37"/>
  <c r="D264" i="43" s="1"/>
  <c r="Q35" i="37"/>
  <c r="H265" i="43" s="1"/>
  <c r="R22" i="37"/>
  <c r="P33" i="37"/>
  <c r="G240" i="34" s="1"/>
  <c r="N33" i="37"/>
  <c r="E240" i="34" s="1"/>
  <c r="J33" i="37"/>
  <c r="H235" i="34" s="1"/>
  <c r="I35" i="37"/>
  <c r="G260" i="34" s="1"/>
  <c r="P28" i="37"/>
  <c r="G181" i="43" s="1"/>
  <c r="P24" i="37"/>
  <c r="G131" i="7" s="1"/>
  <c r="G133" i="7" s="1"/>
  <c r="W49" i="7" s="1"/>
  <c r="I27" i="37"/>
  <c r="G163" i="43" s="1"/>
  <c r="R86" i="37"/>
  <c r="I84" i="37"/>
  <c r="H26" i="37"/>
  <c r="F151" i="34" s="1"/>
  <c r="H34" i="37"/>
  <c r="F248" i="43" s="1"/>
  <c r="H25" i="37"/>
  <c r="H23" i="37"/>
  <c r="F115" i="43" s="1"/>
  <c r="J22" i="37"/>
  <c r="N28" i="37"/>
  <c r="E181" i="43" s="1"/>
  <c r="P22" i="37"/>
  <c r="G108" i="43" s="1"/>
  <c r="K23" i="37"/>
  <c r="I116" i="43" s="1"/>
  <c r="R32" i="37"/>
  <c r="I229" i="34" s="1"/>
  <c r="K34" i="37"/>
  <c r="I247" i="43" s="1"/>
  <c r="Q32" i="37"/>
  <c r="H229" i="43" s="1"/>
  <c r="P31" i="37"/>
  <c r="O28" i="37"/>
  <c r="F181" i="34" s="1"/>
  <c r="N27" i="37"/>
  <c r="E168" i="34" s="1"/>
  <c r="J35" i="37"/>
  <c r="H259" i="43" s="1"/>
  <c r="I32" i="37"/>
  <c r="G194" i="7" s="1"/>
  <c r="J28" i="37"/>
  <c r="H175" i="34" s="1"/>
  <c r="M25" i="37"/>
  <c r="D144" i="43" s="1"/>
  <c r="K29" i="37"/>
  <c r="I188" i="43" s="1"/>
  <c r="I23" i="37"/>
  <c r="G115" i="43" s="1"/>
  <c r="J34" i="37"/>
  <c r="H247" i="34" s="1"/>
  <c r="N32" i="37"/>
  <c r="E195" i="7" s="1"/>
  <c r="P34" i="37"/>
  <c r="G253" i="43" s="1"/>
  <c r="K35" i="37"/>
  <c r="I218" i="7" s="1"/>
  <c r="R30" i="37"/>
  <c r="I204" i="34" s="1"/>
  <c r="K28" i="37"/>
  <c r="I176" i="34" s="1"/>
  <c r="Q22" i="37"/>
  <c r="H109" i="43" s="1"/>
  <c r="P25" i="37"/>
  <c r="G144" i="43" s="1"/>
  <c r="O26" i="37"/>
  <c r="F157" i="34" s="1"/>
  <c r="N25" i="37"/>
  <c r="M26" i="37"/>
  <c r="D156" i="34" s="1"/>
  <c r="J25" i="37"/>
  <c r="I25" i="37"/>
  <c r="G138" i="7" s="1"/>
  <c r="G140" i="7" s="1"/>
  <c r="Q50" i="7" s="1"/>
  <c r="J32" i="37"/>
  <c r="H223" i="43" s="1"/>
  <c r="N26" i="37"/>
  <c r="E156" i="34" s="1"/>
  <c r="K21" i="37"/>
  <c r="I92" i="43" s="1"/>
  <c r="K33" i="37"/>
  <c r="I236" i="43" s="1"/>
  <c r="R21" i="37"/>
  <c r="I97" i="43" s="1"/>
  <c r="J39" i="15"/>
  <c r="J18" i="37"/>
  <c r="H56" i="43" s="1"/>
  <c r="F85" i="37"/>
  <c r="F18" i="37" s="1"/>
  <c r="D56" i="43" s="1"/>
  <c r="K87" i="37"/>
  <c r="K20" i="37" s="1"/>
  <c r="I98" i="7" s="1"/>
  <c r="I100" i="7" s="1"/>
  <c r="S45" i="7" s="1"/>
  <c r="R87" i="37"/>
  <c r="R20" i="37" s="1"/>
  <c r="R84" i="37"/>
  <c r="K84" i="37"/>
  <c r="N34" i="37"/>
  <c r="E211" i="7" s="1"/>
  <c r="P32" i="37"/>
  <c r="G229" i="43" s="1"/>
  <c r="K25" i="37"/>
  <c r="I139" i="43" s="1"/>
  <c r="O27" i="37"/>
  <c r="F168" i="43" s="1"/>
  <c r="Q21" i="37"/>
  <c r="R29" i="37"/>
  <c r="Q25" i="37"/>
  <c r="O31" i="37"/>
  <c r="F187" i="7" s="1"/>
  <c r="N30" i="37"/>
  <c r="E179" i="7" s="1"/>
  <c r="M29" i="37"/>
  <c r="D171" i="7" s="1"/>
  <c r="J24" i="37"/>
  <c r="H130" i="7" s="1"/>
  <c r="H132" i="7" s="1"/>
  <c r="R49" i="7" s="1"/>
  <c r="G28" i="37"/>
  <c r="E176" i="34" s="1"/>
  <c r="I30" i="37"/>
  <c r="G200" i="34" s="1"/>
  <c r="J21" i="37"/>
  <c r="J29" i="37"/>
  <c r="H188" i="43" s="1"/>
  <c r="M22" i="37"/>
  <c r="D108" i="43" s="1"/>
  <c r="M30" i="37"/>
  <c r="D204" i="34" s="1"/>
  <c r="N21" i="37"/>
  <c r="N29" i="37"/>
  <c r="E193" i="43" s="1"/>
  <c r="O22" i="37"/>
  <c r="O30" i="37"/>
  <c r="P21" i="37"/>
  <c r="G97" i="43" s="1"/>
  <c r="P29" i="37"/>
  <c r="Q26" i="37"/>
  <c r="H156" i="43" s="1"/>
  <c r="Q34" i="37"/>
  <c r="H211" i="7" s="1"/>
  <c r="K24" i="37"/>
  <c r="I130" i="7" s="1"/>
  <c r="I132" i="7" s="1"/>
  <c r="S49" i="7" s="1"/>
  <c r="K32" i="37"/>
  <c r="I223" i="34" s="1"/>
  <c r="R26" i="37"/>
  <c r="I156" i="43" s="1"/>
  <c r="R34" i="37"/>
  <c r="I253" i="43" s="1"/>
  <c r="R27" i="37"/>
  <c r="I168" i="34" s="1"/>
  <c r="K27" i="37"/>
  <c r="I163" i="43" s="1"/>
  <c r="Q27" i="37"/>
  <c r="H168" i="34" s="1"/>
  <c r="P26" i="37"/>
  <c r="G147" i="7" s="1"/>
  <c r="O21" i="37"/>
  <c r="F107" i="7" s="1"/>
  <c r="F109" i="7" s="1"/>
  <c r="V46" i="7" s="1"/>
  <c r="N24" i="37"/>
  <c r="M27" i="37"/>
  <c r="D168" i="43" s="1"/>
  <c r="J26" i="37"/>
  <c r="H152" i="34" s="1"/>
  <c r="I29" i="37"/>
  <c r="H31" i="37"/>
  <c r="F211" i="34" s="1"/>
  <c r="H29" i="37"/>
  <c r="R25" i="37"/>
  <c r="Q33" i="37"/>
  <c r="H241" i="34" s="1"/>
  <c r="O23" i="37"/>
  <c r="N22" i="37"/>
  <c r="M21" i="37"/>
  <c r="D107" i="7" s="1"/>
  <c r="D109" i="7" s="1"/>
  <c r="T46" i="7" s="1"/>
  <c r="I31" i="37"/>
  <c r="G211" i="43" s="1"/>
  <c r="I28" i="37"/>
  <c r="G162" i="7" s="1"/>
  <c r="J23" i="37"/>
  <c r="H122" i="7" s="1"/>
  <c r="H124" i="7" s="1"/>
  <c r="R48" i="7" s="1"/>
  <c r="J31" i="37"/>
  <c r="H212" i="34" s="1"/>
  <c r="M24" i="37"/>
  <c r="M32" i="37"/>
  <c r="D195" i="7" s="1"/>
  <c r="N23" i="37"/>
  <c r="N31" i="37"/>
  <c r="E217" i="34" s="1"/>
  <c r="O24" i="37"/>
  <c r="O32" i="37"/>
  <c r="F228" i="34" s="1"/>
  <c r="P27" i="37"/>
  <c r="G168" i="34" s="1"/>
  <c r="P35" i="37"/>
  <c r="G264" i="34" s="1"/>
  <c r="Q28" i="37"/>
  <c r="H181" i="43" s="1"/>
  <c r="K22" i="37"/>
  <c r="I103" i="43" s="1"/>
  <c r="K30" i="37"/>
  <c r="I200" i="34" s="1"/>
  <c r="R28" i="37"/>
  <c r="I180" i="34" s="1"/>
  <c r="R31" i="37"/>
  <c r="K31" i="37"/>
  <c r="I186" i="7" s="1"/>
  <c r="Q31" i="37"/>
  <c r="P30" i="37"/>
  <c r="G204" i="43" s="1"/>
  <c r="O33" i="37"/>
  <c r="M31" i="37"/>
  <c r="D217" i="43" s="1"/>
  <c r="J30" i="37"/>
  <c r="H200" i="43" s="1"/>
  <c r="I33" i="37"/>
  <c r="G236" i="34" s="1"/>
  <c r="H27" i="37"/>
  <c r="F154" i="7" s="1"/>
  <c r="G84" i="37"/>
  <c r="F87" i="37"/>
  <c r="F20" i="37" s="1"/>
  <c r="D98" i="7" s="1"/>
  <c r="D100" i="7" s="1"/>
  <c r="N45" i="7" s="1"/>
  <c r="G87" i="37"/>
  <c r="G20" i="37" s="1"/>
  <c r="J86" i="37"/>
  <c r="J84" i="37"/>
  <c r="G85" i="37"/>
  <c r="G18" i="37" s="1"/>
  <c r="E55" i="43" s="1"/>
  <c r="F84" i="37"/>
  <c r="O85" i="37"/>
  <c r="O18" i="37" s="1"/>
  <c r="F60" i="43" s="1"/>
  <c r="M87" i="37"/>
  <c r="M20" i="37" s="1"/>
  <c r="D85" i="43" s="1"/>
  <c r="O86" i="37"/>
  <c r="J87" i="37"/>
  <c r="J20" i="37" s="1"/>
  <c r="H79" i="43" s="1"/>
  <c r="Q87" i="37"/>
  <c r="Q20" i="37" s="1"/>
  <c r="H85" i="43" s="1"/>
  <c r="O87" i="37"/>
  <c r="O20" i="37" s="1"/>
  <c r="F85" i="43" s="1"/>
  <c r="H87" i="37"/>
  <c r="H20" i="37" s="1"/>
  <c r="F98" i="7" s="1"/>
  <c r="F100" i="7" s="1"/>
  <c r="P45" i="7" s="1"/>
  <c r="N87" i="37"/>
  <c r="N20" i="37" s="1"/>
  <c r="E85" i="43" s="1"/>
  <c r="P87" i="37"/>
  <c r="P20" i="37" s="1"/>
  <c r="I87" i="37"/>
  <c r="I20" i="37" s="1"/>
  <c r="Q86" i="37"/>
  <c r="M86" i="37"/>
  <c r="M85" i="37"/>
  <c r="M18" i="37" s="1"/>
  <c r="D83" i="7" s="1"/>
  <c r="I86" i="37"/>
  <c r="H86" i="37"/>
  <c r="G39" i="15"/>
  <c r="I39" i="15"/>
  <c r="I38" i="45"/>
  <c r="H38" i="45"/>
  <c r="D33" i="45"/>
  <c r="D50" i="45"/>
  <c r="D20" i="45"/>
  <c r="E50" i="45"/>
  <c r="E20" i="45"/>
  <c r="G45" i="45"/>
  <c r="G15" i="45"/>
  <c r="H45" i="45"/>
  <c r="H15" i="45"/>
  <c r="G50" i="45"/>
  <c r="G20" i="45"/>
  <c r="F45" i="45"/>
  <c r="F15" i="45"/>
  <c r="I45" i="45"/>
  <c r="I15" i="45"/>
  <c r="F264" i="43"/>
  <c r="F264" i="34"/>
  <c r="F265" i="34"/>
  <c r="F219" i="7"/>
  <c r="F265" i="43"/>
  <c r="J105" i="50"/>
  <c r="W109" i="50"/>
  <c r="K105" i="50"/>
  <c r="W110" i="50"/>
  <c r="F72" i="44" l="1"/>
  <c r="D67" i="44"/>
  <c r="H67" i="44"/>
  <c r="G72" i="44"/>
  <c r="G74" i="44" s="1"/>
  <c r="F67" i="44"/>
  <c r="F69" i="44" s="1"/>
  <c r="G67" i="44"/>
  <c r="E72" i="44"/>
  <c r="I72" i="44"/>
  <c r="E67" i="44"/>
  <c r="I264" i="44"/>
  <c r="M293" i="44"/>
  <c r="G265" i="44" s="1"/>
  <c r="D264" i="44"/>
  <c r="G264" i="44"/>
  <c r="F264" i="44"/>
  <c r="E264" i="44"/>
  <c r="F259" i="44"/>
  <c r="D259" i="44"/>
  <c r="H259" i="44"/>
  <c r="I259" i="44"/>
  <c r="E259" i="44"/>
  <c r="E261" i="44" s="1"/>
  <c r="G259" i="44"/>
  <c r="F247" i="44"/>
  <c r="G253" i="44"/>
  <c r="H80" i="44"/>
  <c r="D193" i="44"/>
  <c r="E84" i="44"/>
  <c r="G44" i="44"/>
  <c r="G45" i="44" s="1"/>
  <c r="H235" i="44"/>
  <c r="G252" i="44"/>
  <c r="G254" i="44" s="1"/>
  <c r="I140" i="44"/>
  <c r="I141" i="44" s="1"/>
  <c r="L287" i="44"/>
  <c r="F188" i="44" s="1"/>
  <c r="G247" i="44"/>
  <c r="E192" i="44"/>
  <c r="F84" i="44"/>
  <c r="F140" i="44"/>
  <c r="F141" i="44" s="1"/>
  <c r="G36" i="44"/>
  <c r="G205" i="44"/>
  <c r="G206" i="44" s="1"/>
  <c r="H91" i="44"/>
  <c r="D127" i="44"/>
  <c r="H252" i="44"/>
  <c r="H193" i="44"/>
  <c r="D236" i="44"/>
  <c r="E193" i="44"/>
  <c r="E194" i="44" s="1"/>
  <c r="M278" i="44"/>
  <c r="I85" i="44" s="1"/>
  <c r="D252" i="44"/>
  <c r="H192" i="44"/>
  <c r="I192" i="44"/>
  <c r="I194" i="44" s="1"/>
  <c r="I187" i="44"/>
  <c r="E252" i="44"/>
  <c r="E254" i="44" s="1"/>
  <c r="D187" i="44"/>
  <c r="H187" i="44"/>
  <c r="I235" i="44"/>
  <c r="G151" i="44"/>
  <c r="G96" i="44"/>
  <c r="E36" i="44"/>
  <c r="D205" i="44"/>
  <c r="D206" i="44" s="1"/>
  <c r="L292" i="44"/>
  <c r="H248" i="44" s="1"/>
  <c r="M279" i="44"/>
  <c r="D97" i="44" s="1"/>
  <c r="F96" i="44"/>
  <c r="E235" i="44"/>
  <c r="H247" i="44"/>
  <c r="I247" i="44"/>
  <c r="D247" i="44"/>
  <c r="E73" i="44"/>
  <c r="G193" i="44"/>
  <c r="H92" i="44"/>
  <c r="H93" i="44" s="1"/>
  <c r="I133" i="44"/>
  <c r="D73" i="44"/>
  <c r="D74" i="44" s="1"/>
  <c r="F193" i="44"/>
  <c r="G91" i="44"/>
  <c r="G93" i="44" s="1"/>
  <c r="F127" i="44"/>
  <c r="I252" i="44"/>
  <c r="F187" i="44"/>
  <c r="F189" i="44" s="1"/>
  <c r="G192" i="44"/>
  <c r="G187" i="44"/>
  <c r="E187" i="44"/>
  <c r="D192" i="44"/>
  <c r="D194" i="44" s="1"/>
  <c r="E247" i="44"/>
  <c r="F192" i="44"/>
  <c r="F194" i="44" s="1"/>
  <c r="H79" i="44"/>
  <c r="H81" i="44" s="1"/>
  <c r="I103" i="44"/>
  <c r="H260" i="44"/>
  <c r="H261" i="44" s="1"/>
  <c r="I115" i="44"/>
  <c r="H151" i="44"/>
  <c r="J273" i="44"/>
  <c r="I61" i="44"/>
  <c r="I62" i="44" s="1"/>
  <c r="D224" i="44"/>
  <c r="F152" i="44"/>
  <c r="M284" i="44"/>
  <c r="D157" i="44" s="1"/>
  <c r="F121" i="44"/>
  <c r="F151" i="44"/>
  <c r="E115" i="44"/>
  <c r="E156" i="44"/>
  <c r="F260" i="44"/>
  <c r="F261" i="44" s="1"/>
  <c r="E103" i="44"/>
  <c r="F108" i="44"/>
  <c r="D260" i="44"/>
  <c r="D261" i="44" s="1"/>
  <c r="D109" i="44"/>
  <c r="H115" i="44"/>
  <c r="F156" i="44"/>
  <c r="G120" i="44"/>
  <c r="G156" i="44"/>
  <c r="D115" i="44"/>
  <c r="L280" i="44"/>
  <c r="G104" i="44" s="1"/>
  <c r="G260" i="44"/>
  <c r="G261" i="44" s="1"/>
  <c r="I273" i="44"/>
  <c r="H108" i="44"/>
  <c r="H110" i="44" s="1"/>
  <c r="E108" i="44"/>
  <c r="G103" i="44"/>
  <c r="I152" i="44"/>
  <c r="I121" i="44"/>
  <c r="G152" i="44"/>
  <c r="G164" i="44"/>
  <c r="I260" i="44"/>
  <c r="E109" i="44"/>
  <c r="G109" i="44"/>
  <c r="G121" i="44"/>
  <c r="I120" i="44"/>
  <c r="I156" i="44"/>
  <c r="I151" i="44"/>
  <c r="I153" i="44" s="1"/>
  <c r="E151" i="44"/>
  <c r="F120" i="44"/>
  <c r="F122" i="44" s="1"/>
  <c r="D156" i="44"/>
  <c r="D158" i="44" s="1"/>
  <c r="H156" i="44"/>
  <c r="E153" i="44"/>
  <c r="H273" i="44"/>
  <c r="D103" i="44"/>
  <c r="F103" i="44"/>
  <c r="I108" i="44"/>
  <c r="D108" i="44"/>
  <c r="D110" i="44" s="1"/>
  <c r="G108" i="44"/>
  <c r="D212" i="44"/>
  <c r="D213" i="44" s="1"/>
  <c r="G168" i="44"/>
  <c r="F180" i="44"/>
  <c r="F182" i="44" s="1"/>
  <c r="D152" i="44"/>
  <c r="H121" i="44"/>
  <c r="H152" i="44"/>
  <c r="F109" i="44"/>
  <c r="I109" i="44"/>
  <c r="D121" i="44"/>
  <c r="L281" i="44"/>
  <c r="G116" i="44" s="1"/>
  <c r="I180" i="44"/>
  <c r="E120" i="44"/>
  <c r="E122" i="44" s="1"/>
  <c r="D120" i="44"/>
  <c r="D122" i="44" s="1"/>
  <c r="F115" i="44"/>
  <c r="H228" i="44"/>
  <c r="G115" i="44"/>
  <c r="G117" i="44" s="1"/>
  <c r="H120" i="44"/>
  <c r="H122" i="44" s="1"/>
  <c r="L274" i="44"/>
  <c r="G32" i="44" s="1"/>
  <c r="E31" i="44"/>
  <c r="G31" i="44"/>
  <c r="H44" i="44"/>
  <c r="H45" i="44" s="1"/>
  <c r="F44" i="44"/>
  <c r="F45" i="44" s="1"/>
  <c r="E205" i="44"/>
  <c r="E206" i="44" s="1"/>
  <c r="F253" i="44"/>
  <c r="F254" i="44" s="1"/>
  <c r="H253" i="44"/>
  <c r="H254" i="44" s="1"/>
  <c r="L282" i="44"/>
  <c r="D128" i="44" s="1"/>
  <c r="D129" i="44" s="1"/>
  <c r="I96" i="44"/>
  <c r="E240" i="44"/>
  <c r="G127" i="44"/>
  <c r="I132" i="44"/>
  <c r="I134" i="44" s="1"/>
  <c r="D80" i="44"/>
  <c r="E92" i="44"/>
  <c r="I92" i="44"/>
  <c r="G236" i="44"/>
  <c r="H236" i="44"/>
  <c r="H237" i="44" s="1"/>
  <c r="D133" i="44"/>
  <c r="H140" i="44"/>
  <c r="H141" i="44" s="1"/>
  <c r="H73" i="44"/>
  <c r="H74" i="44" s="1"/>
  <c r="E80" i="44"/>
  <c r="E91" i="44"/>
  <c r="E93" i="44" s="1"/>
  <c r="H132" i="44"/>
  <c r="F235" i="44"/>
  <c r="F237" i="44" s="1"/>
  <c r="D79" i="44"/>
  <c r="D81" i="44" s="1"/>
  <c r="H84" i="44"/>
  <c r="I36" i="44"/>
  <c r="D84" i="44"/>
  <c r="D31" i="44"/>
  <c r="M274" i="44"/>
  <c r="E37" i="44" s="1"/>
  <c r="E38" i="44" s="1"/>
  <c r="H36" i="44"/>
  <c r="G140" i="44"/>
  <c r="G141" i="44" s="1"/>
  <c r="D36" i="44"/>
  <c r="I31" i="44"/>
  <c r="F31" i="44"/>
  <c r="H31" i="44"/>
  <c r="E44" i="44"/>
  <c r="E45" i="44" s="1"/>
  <c r="I44" i="44"/>
  <c r="I45" i="44" s="1"/>
  <c r="I205" i="44"/>
  <c r="I206" i="44" s="1"/>
  <c r="F205" i="44"/>
  <c r="F206" i="44" s="1"/>
  <c r="I253" i="44"/>
  <c r="I254" i="44" s="1"/>
  <c r="D253" i="44"/>
  <c r="D254" i="44" s="1"/>
  <c r="M291" i="44"/>
  <c r="D241" i="44" s="1"/>
  <c r="I91" i="44"/>
  <c r="E96" i="44"/>
  <c r="F91" i="44"/>
  <c r="G240" i="44"/>
  <c r="I240" i="44"/>
  <c r="D240" i="44"/>
  <c r="G132" i="44"/>
  <c r="I127" i="44"/>
  <c r="E132" i="44"/>
  <c r="I80" i="44"/>
  <c r="D153" i="44"/>
  <c r="I73" i="44"/>
  <c r="I74" i="44" s="1"/>
  <c r="D17" i="45"/>
  <c r="C33" i="46" s="1"/>
  <c r="G80" i="44"/>
  <c r="E133" i="44"/>
  <c r="F92" i="44"/>
  <c r="D92" i="44"/>
  <c r="E236" i="44"/>
  <c r="I236" i="44"/>
  <c r="H133" i="44"/>
  <c r="G133" i="44"/>
  <c r="D140" i="44"/>
  <c r="D141" i="44" s="1"/>
  <c r="F73" i="44"/>
  <c r="F74" i="44" s="1"/>
  <c r="D96" i="44"/>
  <c r="G235" i="44"/>
  <c r="F240" i="44"/>
  <c r="D132" i="44"/>
  <c r="D235" i="44"/>
  <c r="H240" i="44"/>
  <c r="F79" i="44"/>
  <c r="F81" i="44" s="1"/>
  <c r="I84" i="44"/>
  <c r="G79" i="44"/>
  <c r="G81" i="44" s="1"/>
  <c r="E79" i="44"/>
  <c r="G84" i="44"/>
  <c r="E127" i="44"/>
  <c r="H127" i="44"/>
  <c r="I79" i="44"/>
  <c r="G212" i="44"/>
  <c r="G213" i="44" s="1"/>
  <c r="I163" i="44"/>
  <c r="H181" i="44"/>
  <c r="H212" i="44"/>
  <c r="H213" i="44" s="1"/>
  <c r="F61" i="44"/>
  <c r="F62" i="44" s="1"/>
  <c r="E61" i="44"/>
  <c r="E62" i="44" s="1"/>
  <c r="H224" i="44"/>
  <c r="G224" i="44"/>
  <c r="M285" i="44"/>
  <c r="E169" i="44" s="1"/>
  <c r="E163" i="44"/>
  <c r="E165" i="44" s="1"/>
  <c r="H175" i="44"/>
  <c r="G175" i="44"/>
  <c r="I164" i="44"/>
  <c r="F164" i="44"/>
  <c r="D181" i="44"/>
  <c r="E175" i="44"/>
  <c r="G223" i="44"/>
  <c r="I212" i="44"/>
  <c r="I213" i="44" s="1"/>
  <c r="F212" i="44"/>
  <c r="F213" i="44" s="1"/>
  <c r="D61" i="44"/>
  <c r="D62" i="44" s="1"/>
  <c r="H61" i="44"/>
  <c r="H62" i="44" s="1"/>
  <c r="M290" i="44"/>
  <c r="F229" i="44" s="1"/>
  <c r="F224" i="44"/>
  <c r="E224" i="44"/>
  <c r="L286" i="44"/>
  <c r="D176" i="44" s="1"/>
  <c r="F163" i="44"/>
  <c r="F165" i="44" s="1"/>
  <c r="H168" i="44"/>
  <c r="F168" i="44"/>
  <c r="G180" i="44"/>
  <c r="I175" i="44"/>
  <c r="F175" i="44"/>
  <c r="I181" i="44"/>
  <c r="D164" i="44"/>
  <c r="H164" i="44"/>
  <c r="E181" i="44"/>
  <c r="I168" i="44"/>
  <c r="D180" i="44"/>
  <c r="D182" i="44" s="1"/>
  <c r="F228" i="44"/>
  <c r="E228" i="44"/>
  <c r="H163" i="44"/>
  <c r="H180" i="44"/>
  <c r="H182" i="44" s="1"/>
  <c r="G163" i="44"/>
  <c r="R282" i="34"/>
  <c r="S282" i="34"/>
  <c r="Q282" i="34"/>
  <c r="P282" i="34"/>
  <c r="Q279" i="34"/>
  <c r="P279" i="34"/>
  <c r="S279" i="34"/>
  <c r="R279" i="34"/>
  <c r="R281" i="34"/>
  <c r="S281" i="34"/>
  <c r="P281" i="34"/>
  <c r="Q281" i="34"/>
  <c r="R280" i="34"/>
  <c r="S280" i="34"/>
  <c r="Q280" i="34"/>
  <c r="P280" i="34"/>
  <c r="Q283" i="34"/>
  <c r="P283" i="34"/>
  <c r="R283" i="34"/>
  <c r="S283" i="34"/>
  <c r="H96" i="44"/>
  <c r="D91" i="44"/>
  <c r="G228" i="44"/>
  <c r="H223" i="44"/>
  <c r="D228" i="44"/>
  <c r="F223" i="44"/>
  <c r="E168" i="44"/>
  <c r="E180" i="44"/>
  <c r="D168" i="44"/>
  <c r="G181" i="44"/>
  <c r="I228" i="44"/>
  <c r="D223" i="44"/>
  <c r="D163" i="44"/>
  <c r="D175" i="44"/>
  <c r="E223" i="44"/>
  <c r="I223" i="44"/>
  <c r="I225" i="44" s="1"/>
  <c r="F132" i="44"/>
  <c r="F134" i="44" s="1"/>
  <c r="R83" i="37"/>
  <c r="R19" i="37" s="1"/>
  <c r="I91" i="7" s="1"/>
  <c r="I93" i="7" s="1"/>
  <c r="Y44" i="7" s="1"/>
  <c r="P83" i="37"/>
  <c r="P17" i="37" s="1"/>
  <c r="G75" i="7" s="1"/>
  <c r="G77" i="7" s="1"/>
  <c r="W42" i="7" s="1"/>
  <c r="K85" i="37"/>
  <c r="K18" i="37" s="1"/>
  <c r="I56" i="43" s="1"/>
  <c r="I85" i="37"/>
  <c r="I18" i="37" s="1"/>
  <c r="G82" i="7" s="1"/>
  <c r="G84" i="7" s="1"/>
  <c r="Q43" i="7" s="1"/>
  <c r="O83" i="37"/>
  <c r="O17" i="37" s="1"/>
  <c r="F75" i="7" s="1"/>
  <c r="F77" i="7" s="1"/>
  <c r="V42" i="7" s="1"/>
  <c r="M83" i="37"/>
  <c r="M17" i="37" s="1"/>
  <c r="D75" i="7" s="1"/>
  <c r="D77" i="7" s="1"/>
  <c r="T42" i="7" s="1"/>
  <c r="E218" i="7"/>
  <c r="D259" i="34"/>
  <c r="D223" i="43"/>
  <c r="G115" i="7"/>
  <c r="G117" i="7" s="1"/>
  <c r="W47" i="7" s="1"/>
  <c r="E260" i="43"/>
  <c r="D127" i="43"/>
  <c r="F193" i="34"/>
  <c r="F200" i="43"/>
  <c r="E259" i="34"/>
  <c r="E261" i="34" s="1"/>
  <c r="D128" i="43"/>
  <c r="E146" i="7"/>
  <c r="F139" i="7"/>
  <c r="F141" i="7" s="1"/>
  <c r="V50" i="7" s="1"/>
  <c r="F144" i="43"/>
  <c r="F146" i="43" s="1"/>
  <c r="G210" i="7"/>
  <c r="D181" i="34"/>
  <c r="G130" i="7"/>
  <c r="G132" i="7" s="1"/>
  <c r="Q49" i="7" s="1"/>
  <c r="I241" i="43"/>
  <c r="G248" i="43"/>
  <c r="G249" i="43" s="1"/>
  <c r="D181" i="43"/>
  <c r="E223" i="34"/>
  <c r="H202" i="7"/>
  <c r="F91" i="43"/>
  <c r="D203" i="7"/>
  <c r="F252" i="43"/>
  <c r="E259" i="43"/>
  <c r="D260" i="34"/>
  <c r="D260" i="43"/>
  <c r="F176" i="43"/>
  <c r="D130" i="7"/>
  <c r="D132" i="7" s="1"/>
  <c r="N49" i="7" s="1"/>
  <c r="E152" i="43"/>
  <c r="E153" i="43" s="1"/>
  <c r="G164" i="34"/>
  <c r="H192" i="43"/>
  <c r="G163" i="7"/>
  <c r="G248" i="34"/>
  <c r="G247" i="34"/>
  <c r="F259" i="34"/>
  <c r="D180" i="34"/>
  <c r="D182" i="34" s="1"/>
  <c r="D180" i="43"/>
  <c r="I131" i="7"/>
  <c r="I133" i="7" s="1"/>
  <c r="Y49" i="7" s="1"/>
  <c r="D154" i="7"/>
  <c r="I265" i="43"/>
  <c r="H259" i="34"/>
  <c r="G127" i="43"/>
  <c r="F22" i="45"/>
  <c r="E39" i="46" s="1"/>
  <c r="I162" i="7"/>
  <c r="E229" i="34"/>
  <c r="E203" i="7"/>
  <c r="F224" i="34"/>
  <c r="D139" i="43"/>
  <c r="E17" i="45"/>
  <c r="D33" i="46" s="1"/>
  <c r="H22" i="45"/>
  <c r="G39" i="46" s="1"/>
  <c r="I187" i="34"/>
  <c r="I22" i="45"/>
  <c r="H39" i="46" s="1"/>
  <c r="H223" i="34"/>
  <c r="F103" i="43"/>
  <c r="H154" i="7"/>
  <c r="I17" i="45"/>
  <c r="H33" i="46" s="1"/>
  <c r="G17" i="45"/>
  <c r="F33" i="46" s="1"/>
  <c r="G203" i="7"/>
  <c r="E219" i="7"/>
  <c r="H200" i="44"/>
  <c r="H201" i="44" s="1"/>
  <c r="D179" i="7"/>
  <c r="E193" i="34"/>
  <c r="H248" i="34"/>
  <c r="H249" i="34" s="1"/>
  <c r="I240" i="43"/>
  <c r="D241" i="34"/>
  <c r="D242" i="34" s="1"/>
  <c r="G260" i="43"/>
  <c r="D109" i="43"/>
  <c r="D110" i="43" s="1"/>
  <c r="E97" i="43"/>
  <c r="H204" i="34"/>
  <c r="D265" i="34"/>
  <c r="F259" i="43"/>
  <c r="F261" i="43" s="1"/>
  <c r="E155" i="7"/>
  <c r="E170" i="7"/>
  <c r="D163" i="43"/>
  <c r="D165" i="43" s="1"/>
  <c r="D212" i="34"/>
  <c r="D259" i="43"/>
  <c r="I219" i="7"/>
  <c r="D145" i="43"/>
  <c r="D146" i="43" s="1"/>
  <c r="G128" i="43"/>
  <c r="E202" i="7"/>
  <c r="E224" i="34"/>
  <c r="E223" i="43"/>
  <c r="E225" i="43" s="1"/>
  <c r="D202" i="7"/>
  <c r="D224" i="43"/>
  <c r="E152" i="34"/>
  <c r="E151" i="34"/>
  <c r="F56" i="44"/>
  <c r="F57" i="44" s="1"/>
  <c r="I217" i="44"/>
  <c r="I218" i="44" s="1"/>
  <c r="D57" i="44"/>
  <c r="F17" i="45"/>
  <c r="E33" i="46" s="1"/>
  <c r="H17" i="45"/>
  <c r="G33" i="46" s="1"/>
  <c r="H56" i="44"/>
  <c r="H57" i="44" s="1"/>
  <c r="E50" i="44"/>
  <c r="H68" i="44"/>
  <c r="H69" i="44" s="1"/>
  <c r="D200" i="44"/>
  <c r="D201" i="44" s="1"/>
  <c r="G22" i="45"/>
  <c r="F39" i="46" s="1"/>
  <c r="E22" i="45"/>
  <c r="D22" i="45"/>
  <c r="C39" i="46" s="1"/>
  <c r="E141" i="44"/>
  <c r="F49" i="44"/>
  <c r="F50" i="44" s="1"/>
  <c r="F120" i="43"/>
  <c r="E157" i="43"/>
  <c r="F156" i="43"/>
  <c r="D217" i="34"/>
  <c r="D68" i="44"/>
  <c r="D69" i="44" s="1"/>
  <c r="G49" i="44"/>
  <c r="G50" i="44" s="1"/>
  <c r="H107" i="7"/>
  <c r="H109" i="7" s="1"/>
  <c r="X46" i="7" s="1"/>
  <c r="I163" i="34"/>
  <c r="E200" i="44"/>
  <c r="E201" i="44" s="1"/>
  <c r="F200" i="44"/>
  <c r="F201" i="44" s="1"/>
  <c r="G200" i="44"/>
  <c r="G201" i="44" s="1"/>
  <c r="F217" i="44"/>
  <c r="F218" i="44" s="1"/>
  <c r="D217" i="44"/>
  <c r="D218" i="44" s="1"/>
  <c r="H217" i="44"/>
  <c r="H218" i="44" s="1"/>
  <c r="E217" i="44"/>
  <c r="E218" i="44" s="1"/>
  <c r="I211" i="7"/>
  <c r="G157" i="43"/>
  <c r="I202" i="7"/>
  <c r="G140" i="43"/>
  <c r="F156" i="34"/>
  <c r="F158" i="34" s="1"/>
  <c r="H210" i="7"/>
  <c r="I170" i="7"/>
  <c r="I228" i="34"/>
  <c r="I230" i="34" s="1"/>
  <c r="F163" i="7"/>
  <c r="I49" i="44"/>
  <c r="I50" i="44" s="1"/>
  <c r="H49" i="44"/>
  <c r="H50" i="44" s="1"/>
  <c r="D49" i="44"/>
  <c r="D50" i="44" s="1"/>
  <c r="E56" i="44"/>
  <c r="E57" i="44" s="1"/>
  <c r="G56" i="44"/>
  <c r="G57" i="44" s="1"/>
  <c r="I56" i="44"/>
  <c r="I57" i="44" s="1"/>
  <c r="G163" i="34"/>
  <c r="F168" i="34"/>
  <c r="I235" i="43"/>
  <c r="I237" i="43" s="1"/>
  <c r="I240" i="34"/>
  <c r="I242" i="34" s="1"/>
  <c r="I203" i="7"/>
  <c r="G181" i="34"/>
  <c r="G180" i="43"/>
  <c r="G182" i="43" s="1"/>
  <c r="E157" i="34"/>
  <c r="E158" i="34" s="1"/>
  <c r="D240" i="43"/>
  <c r="G139" i="43"/>
  <c r="H236" i="43"/>
  <c r="H235" i="43"/>
  <c r="D205" i="34"/>
  <c r="D206" i="34" s="1"/>
  <c r="E192" i="43"/>
  <c r="E194" i="43" s="1"/>
  <c r="F157" i="43"/>
  <c r="G241" i="43"/>
  <c r="H108" i="43"/>
  <c r="H110" i="43" s="1"/>
  <c r="H205" i="43"/>
  <c r="H206" i="43" s="1"/>
  <c r="I147" i="7"/>
  <c r="I155" i="7"/>
  <c r="H155" i="7"/>
  <c r="H248" i="43"/>
  <c r="F260" i="34"/>
  <c r="F218" i="7"/>
  <c r="F92" i="43"/>
  <c r="I187" i="43"/>
  <c r="I189" i="43" s="1"/>
  <c r="E265" i="43"/>
  <c r="I195" i="7"/>
  <c r="I121" i="43"/>
  <c r="I122" i="43" s="1"/>
  <c r="I123" i="7"/>
  <c r="I125" i="7" s="1"/>
  <c r="Y48" i="7" s="1"/>
  <c r="G235" i="34"/>
  <c r="G237" i="34" s="1"/>
  <c r="F199" i="43"/>
  <c r="F114" i="7"/>
  <c r="F116" i="7" s="1"/>
  <c r="P47" i="7" s="1"/>
  <c r="F127" i="43"/>
  <c r="F129" i="43" s="1"/>
  <c r="D163" i="34"/>
  <c r="D164" i="34"/>
  <c r="D186" i="7"/>
  <c r="I264" i="43"/>
  <c r="I264" i="34"/>
  <c r="I266" i="34" s="1"/>
  <c r="E194" i="7"/>
  <c r="D194" i="7"/>
  <c r="D223" i="34"/>
  <c r="D225" i="34" s="1"/>
  <c r="E68" i="44"/>
  <c r="I68" i="44"/>
  <c r="I69" i="44" s="1"/>
  <c r="G68" i="44"/>
  <c r="H192" i="34"/>
  <c r="H194" i="34" s="1"/>
  <c r="I96" i="43"/>
  <c r="I98" i="43" s="1"/>
  <c r="H224" i="34"/>
  <c r="G218" i="7"/>
  <c r="E96" i="43"/>
  <c r="F253" i="43"/>
  <c r="I175" i="34"/>
  <c r="I177" i="34" s="1"/>
  <c r="I252" i="43"/>
  <c r="I254" i="43" s="1"/>
  <c r="F192" i="34"/>
  <c r="F192" i="43"/>
  <c r="D264" i="34"/>
  <c r="D219" i="7"/>
  <c r="H55" i="43"/>
  <c r="H57" i="43" s="1"/>
  <c r="G224" i="34"/>
  <c r="H186" i="7"/>
  <c r="H84" i="43"/>
  <c r="H86" i="43" s="1"/>
  <c r="I224" i="34"/>
  <c r="I225" i="34" s="1"/>
  <c r="I259" i="34"/>
  <c r="H146" i="7"/>
  <c r="F248" i="34"/>
  <c r="G218" i="44"/>
  <c r="E213" i="44"/>
  <c r="G62" i="44"/>
  <c r="F265" i="44"/>
  <c r="G145" i="44"/>
  <c r="G146" i="44" s="1"/>
  <c r="F145" i="44"/>
  <c r="F146" i="44" s="1"/>
  <c r="I145" i="44"/>
  <c r="I146" i="44" s="1"/>
  <c r="E145" i="44"/>
  <c r="E146" i="44" s="1"/>
  <c r="H145" i="44"/>
  <c r="H146" i="44" s="1"/>
  <c r="D145" i="44"/>
  <c r="D146" i="44" s="1"/>
  <c r="I201" i="44"/>
  <c r="D45" i="44"/>
  <c r="H206" i="44"/>
  <c r="S274" i="34"/>
  <c r="R274" i="34"/>
  <c r="R278" i="34"/>
  <c r="S278" i="34"/>
  <c r="R275" i="34"/>
  <c r="S275" i="34"/>
  <c r="R277" i="34"/>
  <c r="S277" i="34"/>
  <c r="R276" i="34"/>
  <c r="S276" i="34"/>
  <c r="F83" i="37"/>
  <c r="F19" i="37" s="1"/>
  <c r="H211" i="34"/>
  <c r="H213" i="34" s="1"/>
  <c r="F131" i="7"/>
  <c r="F133" i="7" s="1"/>
  <c r="V49" i="7" s="1"/>
  <c r="G265" i="34"/>
  <c r="G266" i="34" s="1"/>
  <c r="E115" i="7"/>
  <c r="E117" i="7" s="1"/>
  <c r="U47" i="7" s="1"/>
  <c r="D84" i="43"/>
  <c r="D86" i="43" s="1"/>
  <c r="H180" i="43"/>
  <c r="H182" i="43" s="1"/>
  <c r="D216" i="34"/>
  <c r="G236" i="43"/>
  <c r="G212" i="43"/>
  <c r="G213" i="43" s="1"/>
  <c r="F195" i="7"/>
  <c r="F228" i="43"/>
  <c r="G187" i="7"/>
  <c r="G217" i="34"/>
  <c r="G132" i="43"/>
  <c r="G133" i="43"/>
  <c r="E241" i="43"/>
  <c r="E241" i="34"/>
  <c r="E242" i="34" s="1"/>
  <c r="I109" i="43"/>
  <c r="I115" i="7"/>
  <c r="I117" i="7" s="1"/>
  <c r="Y47" i="7" s="1"/>
  <c r="H164" i="43"/>
  <c r="H163" i="34"/>
  <c r="H165" i="34" s="1"/>
  <c r="H132" i="43"/>
  <c r="H133" i="43"/>
  <c r="H131" i="7"/>
  <c r="H133" i="7" s="1"/>
  <c r="X49" i="7" s="1"/>
  <c r="H123" i="7"/>
  <c r="H125" i="7" s="1"/>
  <c r="X48" i="7" s="1"/>
  <c r="H121" i="43"/>
  <c r="H122" i="43" s="1"/>
  <c r="F236" i="43"/>
  <c r="F235" i="43"/>
  <c r="E235" i="43"/>
  <c r="E236" i="43"/>
  <c r="F194" i="7"/>
  <c r="F223" i="34"/>
  <c r="E187" i="43"/>
  <c r="E189" i="43" s="1"/>
  <c r="E187" i="34"/>
  <c r="D140" i="43"/>
  <c r="D138" i="7"/>
  <c r="D140" i="7" s="1"/>
  <c r="N50" i="7" s="1"/>
  <c r="D236" i="34"/>
  <c r="D235" i="34"/>
  <c r="E138" i="7"/>
  <c r="E140" i="7" s="1"/>
  <c r="O50" i="7" s="1"/>
  <c r="D103" i="43"/>
  <c r="D178" i="7"/>
  <c r="D200" i="43"/>
  <c r="E130" i="7"/>
  <c r="E132" i="7" s="1"/>
  <c r="O49" i="7" s="1"/>
  <c r="E128" i="43"/>
  <c r="D211" i="7"/>
  <c r="D253" i="43"/>
  <c r="D254" i="43" s="1"/>
  <c r="D252" i="34"/>
  <c r="G123" i="7"/>
  <c r="G125" i="7" s="1"/>
  <c r="W48" i="7" s="1"/>
  <c r="G121" i="43"/>
  <c r="G91" i="43"/>
  <c r="G92" i="43"/>
  <c r="G114" i="7"/>
  <c r="G116" i="7" s="1"/>
  <c r="Q47" i="7" s="1"/>
  <c r="G103" i="43"/>
  <c r="G105" i="43" s="1"/>
  <c r="D122" i="7"/>
  <c r="D124" i="7" s="1"/>
  <c r="N48" i="7" s="1"/>
  <c r="D115" i="43"/>
  <c r="E115" i="43"/>
  <c r="D175" i="43"/>
  <c r="D162" i="7"/>
  <c r="D176" i="34"/>
  <c r="D177" i="34" s="1"/>
  <c r="I152" i="34"/>
  <c r="I146" i="7"/>
  <c r="I151" i="43"/>
  <c r="I153" i="43" s="1"/>
  <c r="F175" i="34"/>
  <c r="F177" i="34" s="1"/>
  <c r="F162" i="7"/>
  <c r="E154" i="7"/>
  <c r="E164" i="43"/>
  <c r="H193" i="43"/>
  <c r="H171" i="7"/>
  <c r="I107" i="7"/>
  <c r="I109" i="7" s="1"/>
  <c r="Y46" i="7" s="1"/>
  <c r="I106" i="7"/>
  <c r="I108" i="7" s="1"/>
  <c r="S46" i="7" s="1"/>
  <c r="H224" i="43"/>
  <c r="H225" i="43" s="1"/>
  <c r="G259" i="34"/>
  <c r="G261" i="34" s="1"/>
  <c r="G259" i="43"/>
  <c r="H140" i="43"/>
  <c r="H139" i="43"/>
  <c r="F83" i="7"/>
  <c r="F85" i="7" s="1"/>
  <c r="V43" i="7" s="1"/>
  <c r="F211" i="7"/>
  <c r="F252" i="34"/>
  <c r="F254" i="34" s="1"/>
  <c r="G145" i="43"/>
  <c r="G146" i="43" s="1"/>
  <c r="I79" i="43"/>
  <c r="I175" i="43"/>
  <c r="I253" i="34"/>
  <c r="I154" i="7"/>
  <c r="G156" i="43"/>
  <c r="G157" i="34"/>
  <c r="F193" i="43"/>
  <c r="E228" i="34"/>
  <c r="E229" i="43"/>
  <c r="D265" i="43"/>
  <c r="D266" i="43" s="1"/>
  <c r="G116" i="43"/>
  <c r="G117" i="43" s="1"/>
  <c r="F123" i="7"/>
  <c r="F125" i="7" s="1"/>
  <c r="V48" i="7" s="1"/>
  <c r="G224" i="43"/>
  <c r="H211" i="43"/>
  <c r="E168" i="43"/>
  <c r="E169" i="34"/>
  <c r="E170" i="34" s="1"/>
  <c r="G120" i="43"/>
  <c r="G216" i="43"/>
  <c r="I151" i="34"/>
  <c r="I248" i="43"/>
  <c r="I249" i="43" s="1"/>
  <c r="F236" i="34"/>
  <c r="F237" i="34" s="1"/>
  <c r="F202" i="7"/>
  <c r="F224" i="43"/>
  <c r="F225" i="43" s="1"/>
  <c r="E188" i="34"/>
  <c r="D116" i="43"/>
  <c r="E140" i="43"/>
  <c r="E141" i="43" s="1"/>
  <c r="D104" i="43"/>
  <c r="D114" i="7"/>
  <c r="D116" i="7" s="1"/>
  <c r="N47" i="7" s="1"/>
  <c r="D199" i="34"/>
  <c r="D201" i="34" s="1"/>
  <c r="D199" i="43"/>
  <c r="E127" i="43"/>
  <c r="D253" i="34"/>
  <c r="E144" i="43"/>
  <c r="E240" i="43"/>
  <c r="I108" i="43"/>
  <c r="G175" i="43"/>
  <c r="H163" i="43"/>
  <c r="E216" i="43"/>
  <c r="G106" i="7"/>
  <c r="G108" i="7" s="1"/>
  <c r="Q46" i="7" s="1"/>
  <c r="E235" i="34"/>
  <c r="E237" i="34" s="1"/>
  <c r="F175" i="43"/>
  <c r="D236" i="43"/>
  <c r="D237" i="43" s="1"/>
  <c r="E116" i="43"/>
  <c r="E163" i="34"/>
  <c r="E165" i="34" s="1"/>
  <c r="E163" i="43"/>
  <c r="D176" i="43"/>
  <c r="I83" i="37"/>
  <c r="I19" i="37" s="1"/>
  <c r="H83" i="37"/>
  <c r="H103" i="37" s="1"/>
  <c r="F203" i="7"/>
  <c r="F240" i="43"/>
  <c r="H187" i="7"/>
  <c r="H216" i="43"/>
  <c r="I217" i="34"/>
  <c r="I217" i="43"/>
  <c r="D132" i="43"/>
  <c r="D131" i="7"/>
  <c r="D133" i="7" s="1"/>
  <c r="T49" i="7" s="1"/>
  <c r="F188" i="43"/>
  <c r="F187" i="43"/>
  <c r="G187" i="43"/>
  <c r="G188" i="34"/>
  <c r="D155" i="7"/>
  <c r="D169" i="43"/>
  <c r="D170" i="43" s="1"/>
  <c r="F97" i="43"/>
  <c r="I128" i="43"/>
  <c r="H157" i="43"/>
  <c r="H158" i="43" s="1"/>
  <c r="H147" i="7"/>
  <c r="G171" i="7"/>
  <c r="G192" i="34"/>
  <c r="F205" i="43"/>
  <c r="F205" i="34"/>
  <c r="H187" i="43"/>
  <c r="H189" i="43" s="1"/>
  <c r="H187" i="34"/>
  <c r="G200" i="43"/>
  <c r="G199" i="34"/>
  <c r="G201" i="34" s="1"/>
  <c r="H128" i="43"/>
  <c r="E204" i="34"/>
  <c r="E204" i="43"/>
  <c r="H144" i="43"/>
  <c r="I192" i="34"/>
  <c r="I192" i="43"/>
  <c r="G228" i="34"/>
  <c r="G229" i="34"/>
  <c r="D157" i="34"/>
  <c r="D158" i="34" s="1"/>
  <c r="D156" i="43"/>
  <c r="D147" i="7"/>
  <c r="I204" i="43"/>
  <c r="I205" i="43"/>
  <c r="I205" i="34"/>
  <c r="I206" i="34" s="1"/>
  <c r="G211" i="7"/>
  <c r="G252" i="43"/>
  <c r="G254" i="43" s="1"/>
  <c r="H176" i="34"/>
  <c r="H177" i="34" s="1"/>
  <c r="H175" i="43"/>
  <c r="H176" i="43"/>
  <c r="H260" i="43"/>
  <c r="H261" i="43" s="1"/>
  <c r="H218" i="7"/>
  <c r="F180" i="34"/>
  <c r="F182" i="34" s="1"/>
  <c r="F180" i="43"/>
  <c r="H229" i="34"/>
  <c r="H195" i="7"/>
  <c r="H104" i="43"/>
  <c r="F138" i="7"/>
  <c r="F140" i="7" s="1"/>
  <c r="P50" i="7" s="1"/>
  <c r="F139" i="43"/>
  <c r="F152" i="34"/>
  <c r="F153" i="34" s="1"/>
  <c r="F151" i="43"/>
  <c r="F152" i="43"/>
  <c r="H264" i="34"/>
  <c r="H265" i="34"/>
  <c r="H219" i="7"/>
  <c r="D123" i="7"/>
  <c r="D125" i="7" s="1"/>
  <c r="T48" i="7" s="1"/>
  <c r="G146" i="7"/>
  <c r="G151" i="43"/>
  <c r="G152" i="34"/>
  <c r="G153" i="34" s="1"/>
  <c r="D91" i="43"/>
  <c r="D92" i="43"/>
  <c r="D187" i="43"/>
  <c r="D170" i="7"/>
  <c r="D187" i="34"/>
  <c r="D189" i="34" s="1"/>
  <c r="E106" i="7"/>
  <c r="E108" i="7" s="1"/>
  <c r="O46" i="7" s="1"/>
  <c r="E248" i="34"/>
  <c r="E247" i="34"/>
  <c r="D152" i="43"/>
  <c r="D153" i="43" s="1"/>
  <c r="D151" i="34"/>
  <c r="D146" i="7"/>
  <c r="D247" i="34"/>
  <c r="D249" i="34" s="1"/>
  <c r="D210" i="7"/>
  <c r="D248" i="43"/>
  <c r="E212" i="43"/>
  <c r="E211" i="34"/>
  <c r="E213" i="34" s="1"/>
  <c r="E186" i="7"/>
  <c r="E200" i="43"/>
  <c r="E199" i="34"/>
  <c r="E200" i="34"/>
  <c r="E104" i="43"/>
  <c r="E103" i="43"/>
  <c r="G164" i="43"/>
  <c r="G165" i="43" s="1"/>
  <c r="G154" i="7"/>
  <c r="F169" i="34"/>
  <c r="I235" i="34"/>
  <c r="I236" i="34"/>
  <c r="G180" i="34"/>
  <c r="E156" i="43"/>
  <c r="E147" i="7"/>
  <c r="D241" i="43"/>
  <c r="H236" i="34"/>
  <c r="H237" i="34" s="1"/>
  <c r="D204" i="43"/>
  <c r="E192" i="34"/>
  <c r="F147" i="7"/>
  <c r="G241" i="34"/>
  <c r="G242" i="34" s="1"/>
  <c r="G240" i="43"/>
  <c r="H115" i="7"/>
  <c r="H117" i="7" s="1"/>
  <c r="X47" i="7" s="1"/>
  <c r="H205" i="34"/>
  <c r="H179" i="7"/>
  <c r="I157" i="43"/>
  <c r="I158" i="43" s="1"/>
  <c r="I169" i="43"/>
  <c r="H168" i="43"/>
  <c r="H247" i="43"/>
  <c r="I188" i="34"/>
  <c r="E108" i="43"/>
  <c r="E264" i="43"/>
  <c r="E264" i="34"/>
  <c r="E266" i="34" s="1"/>
  <c r="F133" i="43"/>
  <c r="H180" i="34"/>
  <c r="H163" i="7"/>
  <c r="I133" i="43"/>
  <c r="I134" i="43" s="1"/>
  <c r="I228" i="43"/>
  <c r="I229" i="43"/>
  <c r="G109" i="43"/>
  <c r="G110" i="43" s="1"/>
  <c r="D187" i="7"/>
  <c r="G235" i="43"/>
  <c r="F199" i="34"/>
  <c r="F201" i="34" s="1"/>
  <c r="F178" i="7"/>
  <c r="F104" i="43"/>
  <c r="F130" i="7"/>
  <c r="F132" i="7" s="1"/>
  <c r="P49" i="7" s="1"/>
  <c r="D211" i="43"/>
  <c r="D213" i="43" s="1"/>
  <c r="D211" i="34"/>
  <c r="E92" i="43"/>
  <c r="E93" i="43" s="1"/>
  <c r="E210" i="7"/>
  <c r="E248" i="43"/>
  <c r="E249" i="43" s="1"/>
  <c r="D152" i="34"/>
  <c r="D247" i="43"/>
  <c r="G228" i="43"/>
  <c r="G230" i="43" s="1"/>
  <c r="I193" i="43"/>
  <c r="H145" i="43"/>
  <c r="E205" i="34"/>
  <c r="H127" i="43"/>
  <c r="D157" i="43"/>
  <c r="F179" i="7"/>
  <c r="G192" i="43"/>
  <c r="H156" i="34"/>
  <c r="I179" i="7"/>
  <c r="H264" i="43"/>
  <c r="H266" i="43" s="1"/>
  <c r="G252" i="34"/>
  <c r="G253" i="34"/>
  <c r="G170" i="7"/>
  <c r="F187" i="34"/>
  <c r="H240" i="34"/>
  <c r="H242" i="34" s="1"/>
  <c r="H162" i="7"/>
  <c r="H260" i="34"/>
  <c r="F181" i="43"/>
  <c r="G168" i="43"/>
  <c r="H228" i="34"/>
  <c r="H228" i="43"/>
  <c r="H230" i="43" s="1"/>
  <c r="I199" i="43"/>
  <c r="I216" i="43"/>
  <c r="H217" i="34"/>
  <c r="F240" i="34"/>
  <c r="D120" i="43"/>
  <c r="D122" i="43" s="1"/>
  <c r="H114" i="7"/>
  <c r="H116" i="7" s="1"/>
  <c r="R47" i="7" s="1"/>
  <c r="H103" i="43"/>
  <c r="F140" i="43"/>
  <c r="F146" i="7"/>
  <c r="G152" i="43"/>
  <c r="E211" i="43"/>
  <c r="D188" i="43"/>
  <c r="E199" i="43"/>
  <c r="E114" i="7"/>
  <c r="E116" i="7" s="1"/>
  <c r="O47" i="7" s="1"/>
  <c r="G83" i="37"/>
  <c r="G19" i="37" s="1"/>
  <c r="N83" i="37"/>
  <c r="Q83" i="37"/>
  <c r="Q16" i="37" s="1"/>
  <c r="J83" i="37"/>
  <c r="J19" i="37" s="1"/>
  <c r="E83" i="7"/>
  <c r="E85" i="7" s="1"/>
  <c r="U43" i="7" s="1"/>
  <c r="D216" i="43"/>
  <c r="D218" i="43" s="1"/>
  <c r="G202" i="7"/>
  <c r="G80" i="43"/>
  <c r="E61" i="43"/>
  <c r="E62" i="43" s="1"/>
  <c r="H241" i="43"/>
  <c r="G211" i="34"/>
  <c r="D133" i="43"/>
  <c r="E123" i="7"/>
  <c r="E125" i="7" s="1"/>
  <c r="U48" i="7" s="1"/>
  <c r="G169" i="43"/>
  <c r="G169" i="34"/>
  <c r="G170" i="34" s="1"/>
  <c r="I200" i="43"/>
  <c r="I216" i="34"/>
  <c r="H216" i="34"/>
  <c r="F241" i="43"/>
  <c r="G84" i="43"/>
  <c r="G85" i="43"/>
  <c r="G83" i="7"/>
  <c r="G85" i="7" s="1"/>
  <c r="W43" i="7" s="1"/>
  <c r="G61" i="43"/>
  <c r="E80" i="43"/>
  <c r="E79" i="43"/>
  <c r="F164" i="43"/>
  <c r="F163" i="34"/>
  <c r="F164" i="34"/>
  <c r="H199" i="43"/>
  <c r="H201" i="43" s="1"/>
  <c r="H178" i="7"/>
  <c r="H199" i="34"/>
  <c r="G179" i="7"/>
  <c r="G205" i="43"/>
  <c r="G206" i="43" s="1"/>
  <c r="I211" i="34"/>
  <c r="I212" i="34"/>
  <c r="I163" i="7"/>
  <c r="I181" i="34"/>
  <c r="I182" i="34" s="1"/>
  <c r="I104" i="43"/>
  <c r="I105" i="43" s="1"/>
  <c r="G265" i="43"/>
  <c r="G219" i="7"/>
  <c r="E216" i="34"/>
  <c r="E218" i="34" s="1"/>
  <c r="E217" i="43"/>
  <c r="D229" i="34"/>
  <c r="D228" i="43"/>
  <c r="D228" i="34"/>
  <c r="G175" i="34"/>
  <c r="G176" i="43"/>
  <c r="I145" i="43"/>
  <c r="I139" i="7"/>
  <c r="I141" i="7" s="1"/>
  <c r="Y50" i="7" s="1"/>
  <c r="F186" i="7"/>
  <c r="F212" i="43"/>
  <c r="F212" i="34"/>
  <c r="F213" i="34" s="1"/>
  <c r="H151" i="34"/>
  <c r="H153" i="34" s="1"/>
  <c r="H152" i="43"/>
  <c r="E133" i="43"/>
  <c r="E131" i="7"/>
  <c r="E133" i="7" s="1"/>
  <c r="U49" i="7" s="1"/>
  <c r="E132" i="43"/>
  <c r="I224" i="43"/>
  <c r="I223" i="43"/>
  <c r="H252" i="43"/>
  <c r="H253" i="43"/>
  <c r="H253" i="34"/>
  <c r="H60" i="43"/>
  <c r="H62" i="43" s="1"/>
  <c r="G96" i="43"/>
  <c r="G98" i="43" s="1"/>
  <c r="G107" i="7"/>
  <c r="G109" i="7" s="1"/>
  <c r="W46" i="7" s="1"/>
  <c r="F109" i="43"/>
  <c r="F108" i="43"/>
  <c r="H91" i="43"/>
  <c r="H92" i="43"/>
  <c r="H106" i="7"/>
  <c r="H108" i="7" s="1"/>
  <c r="R46" i="7" s="1"/>
  <c r="E175" i="43"/>
  <c r="E176" i="43"/>
  <c r="D192" i="34"/>
  <c r="D193" i="34"/>
  <c r="F217" i="43"/>
  <c r="F216" i="34"/>
  <c r="I140" i="43"/>
  <c r="I141" i="43" s="1"/>
  <c r="E253" i="34"/>
  <c r="E252" i="34"/>
  <c r="E253" i="43"/>
  <c r="D82" i="7"/>
  <c r="D84" i="7" s="1"/>
  <c r="N43" i="7" s="1"/>
  <c r="E145" i="43"/>
  <c r="I260" i="34"/>
  <c r="I260" i="43"/>
  <c r="I247" i="34"/>
  <c r="I248" i="34"/>
  <c r="I115" i="43"/>
  <c r="I117" i="43" s="1"/>
  <c r="I122" i="7"/>
  <c r="I124" i="7" s="1"/>
  <c r="S48" i="7" s="1"/>
  <c r="E181" i="34"/>
  <c r="E163" i="7"/>
  <c r="E180" i="34"/>
  <c r="F116" i="43"/>
  <c r="F117" i="43" s="1"/>
  <c r="F247" i="43"/>
  <c r="F249" i="43" s="1"/>
  <c r="F210" i="7"/>
  <c r="H97" i="43"/>
  <c r="H96" i="43"/>
  <c r="I91" i="43"/>
  <c r="I93" i="43" s="1"/>
  <c r="H194" i="7"/>
  <c r="H138" i="7"/>
  <c r="H140" i="7" s="1"/>
  <c r="R50" i="7" s="1"/>
  <c r="D115" i="7"/>
  <c r="D117" i="7" s="1"/>
  <c r="T47" i="7" s="1"/>
  <c r="E107" i="7"/>
  <c r="E109" i="7" s="1"/>
  <c r="U46" i="7" s="1"/>
  <c r="F61" i="43"/>
  <c r="F62" i="43" s="1"/>
  <c r="G139" i="7"/>
  <c r="G141" i="7" s="1"/>
  <c r="W50" i="7" s="1"/>
  <c r="I80" i="43"/>
  <c r="I176" i="43"/>
  <c r="I60" i="43"/>
  <c r="I252" i="34"/>
  <c r="I164" i="34"/>
  <c r="I164" i="43"/>
  <c r="I165" i="43" s="1"/>
  <c r="G156" i="34"/>
  <c r="E228" i="43"/>
  <c r="H82" i="7"/>
  <c r="H84" i="7" s="1"/>
  <c r="R43" i="7" s="1"/>
  <c r="G122" i="7"/>
  <c r="G124" i="7" s="1"/>
  <c r="Q48" i="7" s="1"/>
  <c r="F121" i="43"/>
  <c r="D97" i="43"/>
  <c r="D96" i="43"/>
  <c r="G223" i="43"/>
  <c r="G223" i="34"/>
  <c r="H212" i="43"/>
  <c r="E169" i="43"/>
  <c r="F229" i="34"/>
  <c r="F230" i="34" s="1"/>
  <c r="F229" i="43"/>
  <c r="G217" i="43"/>
  <c r="G216" i="34"/>
  <c r="H99" i="7"/>
  <c r="H101" i="7" s="1"/>
  <c r="X45" i="7" s="1"/>
  <c r="I210" i="7"/>
  <c r="E180" i="43"/>
  <c r="E182" i="43" s="1"/>
  <c r="D55" i="43"/>
  <c r="D57" i="43" s="1"/>
  <c r="E252" i="43"/>
  <c r="I138" i="7"/>
  <c r="I140" i="7" s="1"/>
  <c r="S50" i="7" s="1"/>
  <c r="F217" i="34"/>
  <c r="F216" i="43"/>
  <c r="D193" i="43"/>
  <c r="D192" i="43"/>
  <c r="E162" i="7"/>
  <c r="E175" i="34"/>
  <c r="E177" i="34" s="1"/>
  <c r="E139" i="7"/>
  <c r="E141" i="7" s="1"/>
  <c r="U50" i="7" s="1"/>
  <c r="F115" i="7"/>
  <c r="F117" i="7" s="1"/>
  <c r="V47" i="7" s="1"/>
  <c r="H83" i="7"/>
  <c r="H85" i="7" s="1"/>
  <c r="X43" i="7" s="1"/>
  <c r="H252" i="34"/>
  <c r="I194" i="7"/>
  <c r="I259" i="43"/>
  <c r="I261" i="43" s="1"/>
  <c r="G60" i="43"/>
  <c r="H151" i="43"/>
  <c r="F211" i="43"/>
  <c r="I144" i="43"/>
  <c r="D139" i="7"/>
  <c r="D141" i="7" s="1"/>
  <c r="T50" i="7" s="1"/>
  <c r="G176" i="34"/>
  <c r="G177" i="34" s="1"/>
  <c r="D229" i="43"/>
  <c r="E187" i="7"/>
  <c r="G264" i="43"/>
  <c r="I114" i="7"/>
  <c r="I116" i="7" s="1"/>
  <c r="S47" i="7" s="1"/>
  <c r="I180" i="43"/>
  <c r="I211" i="43"/>
  <c r="G204" i="34"/>
  <c r="F122" i="7"/>
  <c r="F124" i="7" s="1"/>
  <c r="P48" i="7" s="1"/>
  <c r="F247" i="34"/>
  <c r="D61" i="43"/>
  <c r="D79" i="43"/>
  <c r="I187" i="7"/>
  <c r="H217" i="43"/>
  <c r="F241" i="34"/>
  <c r="D80" i="43"/>
  <c r="E56" i="43"/>
  <c r="E57" i="43" s="1"/>
  <c r="I84" i="43"/>
  <c r="I99" i="7"/>
  <c r="I101" i="7" s="1"/>
  <c r="Y45" i="7" s="1"/>
  <c r="I85" i="43"/>
  <c r="K83" i="37"/>
  <c r="K19" i="37" s="1"/>
  <c r="F169" i="43"/>
  <c r="F170" i="43" s="1"/>
  <c r="F155" i="7"/>
  <c r="D205" i="43"/>
  <c r="E171" i="7"/>
  <c r="I156" i="34"/>
  <c r="I157" i="34"/>
  <c r="I169" i="34"/>
  <c r="I170" i="34" s="1"/>
  <c r="I168" i="43"/>
  <c r="H169" i="43"/>
  <c r="H169" i="34"/>
  <c r="H170" i="34" s="1"/>
  <c r="E109" i="43"/>
  <c r="H98" i="7"/>
  <c r="H100" i="7" s="1"/>
  <c r="R45" i="7" s="1"/>
  <c r="H115" i="43"/>
  <c r="H116" i="43"/>
  <c r="D99" i="7"/>
  <c r="D101" i="7" s="1"/>
  <c r="T45" i="7" s="1"/>
  <c r="F132" i="43"/>
  <c r="H181" i="34"/>
  <c r="H200" i="34"/>
  <c r="F163" i="43"/>
  <c r="G98" i="7"/>
  <c r="G100" i="7" s="1"/>
  <c r="Q45" i="7" s="1"/>
  <c r="E98" i="7"/>
  <c r="E100" i="7" s="1"/>
  <c r="O45" i="7" s="1"/>
  <c r="G195" i="7"/>
  <c r="I193" i="34"/>
  <c r="I171" i="7"/>
  <c r="H139" i="7"/>
  <c r="H141" i="7" s="1"/>
  <c r="X50" i="7" s="1"/>
  <c r="E205" i="43"/>
  <c r="G199" i="43"/>
  <c r="G178" i="7"/>
  <c r="H188" i="34"/>
  <c r="H170" i="7"/>
  <c r="D60" i="43"/>
  <c r="F204" i="34"/>
  <c r="F204" i="43"/>
  <c r="G193" i="34"/>
  <c r="G193" i="43"/>
  <c r="H157" i="34"/>
  <c r="I127" i="43"/>
  <c r="F96" i="43"/>
  <c r="D169" i="34"/>
  <c r="D168" i="34"/>
  <c r="G187" i="34"/>
  <c r="G188" i="43"/>
  <c r="F188" i="34"/>
  <c r="F170" i="7"/>
  <c r="H240" i="43"/>
  <c r="H203" i="7"/>
  <c r="G212" i="34"/>
  <c r="G186" i="7"/>
  <c r="E120" i="43"/>
  <c r="E121" i="43"/>
  <c r="F84" i="43"/>
  <c r="F86" i="43" s="1"/>
  <c r="G155" i="7"/>
  <c r="I178" i="7"/>
  <c r="I199" i="34"/>
  <c r="I201" i="34" s="1"/>
  <c r="I181" i="43"/>
  <c r="I212" i="43"/>
  <c r="G205" i="34"/>
  <c r="E99" i="7"/>
  <c r="E101" i="7" s="1"/>
  <c r="U45" i="7" s="1"/>
  <c r="F55" i="43"/>
  <c r="F56" i="43"/>
  <c r="F82" i="7"/>
  <c r="F84" i="7" s="1"/>
  <c r="P43" i="7" s="1"/>
  <c r="F80" i="43"/>
  <c r="E82" i="7"/>
  <c r="E84" i="7" s="1"/>
  <c r="O43" i="7" s="1"/>
  <c r="I61" i="43"/>
  <c r="I83" i="7"/>
  <c r="I85" i="7" s="1"/>
  <c r="Y43" i="7" s="1"/>
  <c r="G99" i="7"/>
  <c r="G101" i="7" s="1"/>
  <c r="W45" i="7" s="1"/>
  <c r="F79" i="43"/>
  <c r="H80" i="43"/>
  <c r="H81" i="43" s="1"/>
  <c r="G79" i="43"/>
  <c r="F99" i="7"/>
  <c r="F101" i="7" s="1"/>
  <c r="V45" i="7" s="1"/>
  <c r="E84" i="43"/>
  <c r="E86" i="43" s="1"/>
  <c r="Q274" i="34"/>
  <c r="P274" i="34"/>
  <c r="Q278" i="34"/>
  <c r="P278" i="34"/>
  <c r="P275" i="34"/>
  <c r="Q275" i="34"/>
  <c r="Q277" i="34"/>
  <c r="P277" i="34"/>
  <c r="Q276" i="34"/>
  <c r="P276" i="34"/>
  <c r="R16" i="37"/>
  <c r="A1" i="15"/>
  <c r="E24" i="1" s="1"/>
  <c r="H24" i="1" s="1"/>
  <c r="D85" i="7"/>
  <c r="T43" i="7" s="1"/>
  <c r="F266" i="43"/>
  <c r="H16" i="37"/>
  <c r="M19" i="37"/>
  <c r="M16" i="37"/>
  <c r="F266" i="34"/>
  <c r="I123" i="50"/>
  <c r="W126" i="50"/>
  <c r="O19" i="37"/>
  <c r="O16" i="37"/>
  <c r="P19" i="37"/>
  <c r="P16" i="37"/>
  <c r="H105" i="50"/>
  <c r="W107" i="50"/>
  <c r="D265" i="44" l="1"/>
  <c r="H265" i="44"/>
  <c r="H266" i="44" s="1"/>
  <c r="G69" i="44"/>
  <c r="G266" i="44"/>
  <c r="E265" i="44"/>
  <c r="E266" i="44" s="1"/>
  <c r="I265" i="44"/>
  <c r="E69" i="44"/>
  <c r="E74" i="44"/>
  <c r="D266" i="44"/>
  <c r="I266" i="44"/>
  <c r="F266" i="44"/>
  <c r="I261" i="44"/>
  <c r="D188" i="44"/>
  <c r="G188" i="44"/>
  <c r="E248" i="44"/>
  <c r="E249" i="44" s="1"/>
  <c r="H188" i="44"/>
  <c r="H189" i="44" s="1"/>
  <c r="E188" i="44"/>
  <c r="E189" i="44" s="1"/>
  <c r="I188" i="44"/>
  <c r="I189" i="44" s="1"/>
  <c r="E85" i="44"/>
  <c r="E86" i="44" s="1"/>
  <c r="G97" i="44"/>
  <c r="G98" i="44" s="1"/>
  <c r="D85" i="44"/>
  <c r="D86" i="44" s="1"/>
  <c r="I81" i="44"/>
  <c r="E81" i="44"/>
  <c r="I86" i="44"/>
  <c r="I237" i="44"/>
  <c r="H194" i="44"/>
  <c r="I97" i="44"/>
  <c r="I98" i="44" s="1"/>
  <c r="E97" i="44"/>
  <c r="E98" i="44" s="1"/>
  <c r="D189" i="44"/>
  <c r="G85" i="44"/>
  <c r="G86" i="44" s="1"/>
  <c r="F85" i="44"/>
  <c r="F86" i="44" s="1"/>
  <c r="D237" i="44"/>
  <c r="H85" i="44"/>
  <c r="H86" i="44" s="1"/>
  <c r="G248" i="44"/>
  <c r="G249" i="44" s="1"/>
  <c r="H169" i="44"/>
  <c r="H170" i="44" s="1"/>
  <c r="H176" i="44"/>
  <c r="H177" i="44" s="1"/>
  <c r="D248" i="44"/>
  <c r="D249" i="44" s="1"/>
  <c r="G189" i="44"/>
  <c r="G153" i="44"/>
  <c r="I104" i="44"/>
  <c r="I105" i="44" s="1"/>
  <c r="E241" i="44"/>
  <c r="E242" i="44" s="1"/>
  <c r="H97" i="44"/>
  <c r="H98" i="44" s="1"/>
  <c r="F97" i="44"/>
  <c r="F98" i="44" s="1"/>
  <c r="E237" i="44"/>
  <c r="G194" i="44"/>
  <c r="H249" i="44"/>
  <c r="I248" i="44"/>
  <c r="I249" i="44" s="1"/>
  <c r="F248" i="44"/>
  <c r="F249" i="44" s="1"/>
  <c r="F104" i="44"/>
  <c r="F105" i="44" s="1"/>
  <c r="E229" i="44"/>
  <c r="E230" i="44" s="1"/>
  <c r="F241" i="44"/>
  <c r="F242" i="44" s="1"/>
  <c r="I37" i="44"/>
  <c r="I38" i="44" s="1"/>
  <c r="H225" i="34"/>
  <c r="F157" i="44"/>
  <c r="F158" i="44" s="1"/>
  <c r="D104" i="44"/>
  <c r="D105" i="44" s="1"/>
  <c r="I241" i="44"/>
  <c r="I242" i="44" s="1"/>
  <c r="F93" i="44"/>
  <c r="H153" i="44"/>
  <c r="G122" i="44"/>
  <c r="H32" i="44"/>
  <c r="H33" i="44" s="1"/>
  <c r="I169" i="44"/>
  <c r="I170" i="44" s="1"/>
  <c r="I176" i="44"/>
  <c r="I177" i="44" s="1"/>
  <c r="I157" i="44"/>
  <c r="I158" i="44" s="1"/>
  <c r="D165" i="44"/>
  <c r="H134" i="44"/>
  <c r="G15" i="44"/>
  <c r="D32" i="44"/>
  <c r="D33" i="44" s="1"/>
  <c r="I128" i="44"/>
  <c r="I129" i="44" s="1"/>
  <c r="D169" i="44"/>
  <c r="D170" i="44" s="1"/>
  <c r="F176" i="44"/>
  <c r="F177" i="44" s="1"/>
  <c r="H157" i="44"/>
  <c r="H158" i="44" s="1"/>
  <c r="E157" i="44"/>
  <c r="E158" i="44" s="1"/>
  <c r="G157" i="44"/>
  <c r="G158" i="44" s="1"/>
  <c r="D225" i="44"/>
  <c r="G165" i="44"/>
  <c r="G237" i="44"/>
  <c r="I122" i="44"/>
  <c r="D242" i="44"/>
  <c r="F110" i="44"/>
  <c r="F153" i="44"/>
  <c r="E104" i="44"/>
  <c r="E105" i="44" s="1"/>
  <c r="H104" i="44"/>
  <c r="H105" i="44" s="1"/>
  <c r="F169" i="44"/>
  <c r="F170" i="44" s="1"/>
  <c r="G169" i="44"/>
  <c r="G170" i="44" s="1"/>
  <c r="G176" i="44"/>
  <c r="G177" i="44" s="1"/>
  <c r="E176" i="44"/>
  <c r="E177" i="44" s="1"/>
  <c r="G241" i="44"/>
  <c r="G242" i="44" s="1"/>
  <c r="H241" i="44"/>
  <c r="H242" i="44" s="1"/>
  <c r="I182" i="44"/>
  <c r="G110" i="44"/>
  <c r="E110" i="44"/>
  <c r="G225" i="44"/>
  <c r="D134" i="44"/>
  <c r="I32" i="44"/>
  <c r="I33" i="44" s="1"/>
  <c r="G105" i="44"/>
  <c r="H37" i="44"/>
  <c r="H38" i="44" s="1"/>
  <c r="D37" i="44"/>
  <c r="D38" i="44" s="1"/>
  <c r="G229" i="44"/>
  <c r="G230" i="44" s="1"/>
  <c r="E128" i="44"/>
  <c r="E129" i="44" s="1"/>
  <c r="H128" i="44"/>
  <c r="H129" i="44" s="1"/>
  <c r="D98" i="44"/>
  <c r="E116" i="44"/>
  <c r="E117" i="44" s="1"/>
  <c r="I93" i="44"/>
  <c r="H225" i="44"/>
  <c r="E134" i="44"/>
  <c r="G134" i="44"/>
  <c r="I110" i="44"/>
  <c r="F32" i="44"/>
  <c r="F33" i="44" s="1"/>
  <c r="E32" i="44"/>
  <c r="E33" i="44" s="1"/>
  <c r="G37" i="44"/>
  <c r="G38" i="44" s="1"/>
  <c r="F37" i="44"/>
  <c r="F38" i="44" s="1"/>
  <c r="H229" i="44"/>
  <c r="H230" i="44" s="1"/>
  <c r="G128" i="44"/>
  <c r="G129" i="44" s="1"/>
  <c r="F128" i="44"/>
  <c r="F129" i="44" s="1"/>
  <c r="D177" i="44"/>
  <c r="F116" i="44"/>
  <c r="F117" i="44" s="1"/>
  <c r="D116" i="44"/>
  <c r="D117" i="44" s="1"/>
  <c r="I116" i="44"/>
  <c r="I117" i="44" s="1"/>
  <c r="H116" i="44"/>
  <c r="H117" i="44" s="1"/>
  <c r="E225" i="44"/>
  <c r="D20" i="44"/>
  <c r="G20" i="44"/>
  <c r="H20" i="44"/>
  <c r="F225" i="44"/>
  <c r="D93" i="44"/>
  <c r="H15" i="44"/>
  <c r="I165" i="44"/>
  <c r="E170" i="44"/>
  <c r="G182" i="44"/>
  <c r="E182" i="44"/>
  <c r="F230" i="44"/>
  <c r="I15" i="44"/>
  <c r="D229" i="44"/>
  <c r="D230" i="44" s="1"/>
  <c r="I229" i="44"/>
  <c r="I230" i="44" s="1"/>
  <c r="F15" i="44"/>
  <c r="E15" i="44"/>
  <c r="I20" i="44"/>
  <c r="H165" i="44"/>
  <c r="E20" i="44"/>
  <c r="G93" i="43"/>
  <c r="J283" i="34"/>
  <c r="D139" i="34" s="1"/>
  <c r="J280" i="34"/>
  <c r="I108" i="34" s="1"/>
  <c r="J279" i="34"/>
  <c r="L279" i="34" s="1"/>
  <c r="J281" i="34"/>
  <c r="J282" i="34"/>
  <c r="F20" i="44"/>
  <c r="D15" i="44"/>
  <c r="G141" i="43"/>
  <c r="I72" i="43"/>
  <c r="I73" i="43"/>
  <c r="H194" i="43"/>
  <c r="P103" i="37"/>
  <c r="M103" i="37"/>
  <c r="I55" i="43"/>
  <c r="I57" i="43" s="1"/>
  <c r="G56" i="43"/>
  <c r="G49" i="43"/>
  <c r="G48" i="43"/>
  <c r="G55" i="43"/>
  <c r="R103" i="37"/>
  <c r="G218" i="43"/>
  <c r="H213" i="43"/>
  <c r="I82" i="7"/>
  <c r="I84" i="7" s="1"/>
  <c r="S43" i="7" s="1"/>
  <c r="R17" i="37"/>
  <c r="I75" i="7" s="1"/>
  <c r="I77" i="7" s="1"/>
  <c r="Y42" i="7" s="1"/>
  <c r="O103" i="37"/>
  <c r="H254" i="34"/>
  <c r="I16" i="37"/>
  <c r="G31" i="43" s="1"/>
  <c r="G16" i="37"/>
  <c r="E32" i="43" s="1"/>
  <c r="I110" i="43"/>
  <c r="G261" i="43"/>
  <c r="F194" i="34"/>
  <c r="D225" i="43"/>
  <c r="D261" i="34"/>
  <c r="F16" i="37"/>
  <c r="D32" i="43" s="1"/>
  <c r="E261" i="43"/>
  <c r="I218" i="34"/>
  <c r="Q19" i="37"/>
  <c r="H73" i="43" s="1"/>
  <c r="Q17" i="37"/>
  <c r="K17" i="37"/>
  <c r="I44" i="43" s="1"/>
  <c r="H17" i="37"/>
  <c r="F74" i="7" s="1"/>
  <c r="F76" i="7" s="1"/>
  <c r="P42" i="7" s="1"/>
  <c r="I17" i="37"/>
  <c r="G43" i="43" s="1"/>
  <c r="F17" i="37"/>
  <c r="D43" i="43" s="1"/>
  <c r="N19" i="37"/>
  <c r="E72" i="43" s="1"/>
  <c r="N17" i="37"/>
  <c r="G17" i="37"/>
  <c r="E43" i="43" s="1"/>
  <c r="J17" i="37"/>
  <c r="D129" i="43"/>
  <c r="I170" i="43"/>
  <c r="F201" i="43"/>
  <c r="I129" i="43"/>
  <c r="H189" i="34"/>
  <c r="H105" i="43"/>
  <c r="H230" i="34"/>
  <c r="G177" i="43"/>
  <c r="F49" i="43"/>
  <c r="D261" i="43"/>
  <c r="I182" i="43"/>
  <c r="G62" i="43"/>
  <c r="E170" i="43"/>
  <c r="I177" i="43"/>
  <c r="E146" i="43"/>
  <c r="H249" i="43"/>
  <c r="D49" i="43"/>
  <c r="I189" i="34"/>
  <c r="F177" i="43"/>
  <c r="E230" i="34"/>
  <c r="D48" i="43"/>
  <c r="H201" i="34"/>
  <c r="F165" i="43"/>
  <c r="D218" i="34"/>
  <c r="F48" i="43"/>
  <c r="F93" i="43"/>
  <c r="E225" i="34"/>
  <c r="I242" i="43"/>
  <c r="D182" i="43"/>
  <c r="F254" i="43"/>
  <c r="N16" i="37"/>
  <c r="J16" i="37"/>
  <c r="H31" i="43" s="1"/>
  <c r="K16" i="37"/>
  <c r="G165" i="34"/>
  <c r="H206" i="34"/>
  <c r="D141" i="43"/>
  <c r="I266" i="43"/>
  <c r="D165" i="34"/>
  <c r="F261" i="34"/>
  <c r="G129" i="43"/>
  <c r="G249" i="34"/>
  <c r="H19" i="37"/>
  <c r="F90" i="7" s="1"/>
  <c r="H261" i="34"/>
  <c r="I24" i="45"/>
  <c r="E266" i="43"/>
  <c r="D242" i="43"/>
  <c r="E158" i="43"/>
  <c r="D177" i="43"/>
  <c r="F122" i="43"/>
  <c r="I165" i="34"/>
  <c r="D213" i="34"/>
  <c r="F105" i="43"/>
  <c r="E194" i="34"/>
  <c r="F225" i="34"/>
  <c r="E24" i="45"/>
  <c r="I103" i="37"/>
  <c r="H24" i="45"/>
  <c r="G158" i="43"/>
  <c r="D266" i="34"/>
  <c r="G24" i="45"/>
  <c r="E182" i="34"/>
  <c r="E134" i="43"/>
  <c r="D230" i="34"/>
  <c r="E98" i="43"/>
  <c r="G103" i="37"/>
  <c r="D39" i="46"/>
  <c r="E242" i="43"/>
  <c r="G225" i="34"/>
  <c r="F158" i="43"/>
  <c r="E153" i="34"/>
  <c r="F24" i="45"/>
  <c r="G242" i="43"/>
  <c r="F170" i="34"/>
  <c r="D24" i="45"/>
  <c r="H177" i="43"/>
  <c r="G230" i="34"/>
  <c r="G170" i="43"/>
  <c r="G153" i="43"/>
  <c r="E206" i="34"/>
  <c r="G134" i="43"/>
  <c r="F103" i="37"/>
  <c r="F110" i="43"/>
  <c r="H237" i="43"/>
  <c r="D230" i="43"/>
  <c r="Q103" i="37"/>
  <c r="D134" i="43"/>
  <c r="E213" i="43"/>
  <c r="E110" i="43"/>
  <c r="I194" i="43"/>
  <c r="F189" i="43"/>
  <c r="E117" i="43"/>
  <c r="D105" i="43"/>
  <c r="F194" i="43"/>
  <c r="N103" i="37"/>
  <c r="H242" i="43"/>
  <c r="G189" i="34"/>
  <c r="F98" i="43"/>
  <c r="F134" i="43"/>
  <c r="F249" i="34"/>
  <c r="G225" i="43"/>
  <c r="G158" i="34"/>
  <c r="I213" i="34"/>
  <c r="F242" i="43"/>
  <c r="D249" i="43"/>
  <c r="G182" i="34"/>
  <c r="D93" i="43"/>
  <c r="H266" i="34"/>
  <c r="F153" i="43"/>
  <c r="E165" i="43"/>
  <c r="H165" i="43"/>
  <c r="D254" i="34"/>
  <c r="F141" i="43"/>
  <c r="H146" i="43"/>
  <c r="H129" i="43"/>
  <c r="I62" i="43"/>
  <c r="G189" i="43"/>
  <c r="G194" i="43"/>
  <c r="F206" i="43"/>
  <c r="G201" i="43"/>
  <c r="I194" i="34"/>
  <c r="F242" i="34"/>
  <c r="G218" i="34"/>
  <c r="F230" i="43"/>
  <c r="E230" i="43"/>
  <c r="I254" i="34"/>
  <c r="I261" i="34"/>
  <c r="G237" i="43"/>
  <c r="R294" i="34"/>
  <c r="G33" i="44"/>
  <c r="D194" i="43"/>
  <c r="K103" i="37"/>
  <c r="I146" i="43"/>
  <c r="H153" i="43"/>
  <c r="G122" i="43"/>
  <c r="J276" i="34"/>
  <c r="J277" i="34"/>
  <c r="I72" i="34" s="1"/>
  <c r="J275" i="34"/>
  <c r="J278" i="34"/>
  <c r="L278" i="34" s="1"/>
  <c r="E80" i="34" s="1"/>
  <c r="J274" i="34"/>
  <c r="M404" i="41" s="1"/>
  <c r="M16" i="41" s="1"/>
  <c r="H182" i="34"/>
  <c r="H218" i="34"/>
  <c r="G206" i="34"/>
  <c r="F182" i="43"/>
  <c r="I153" i="34"/>
  <c r="I230" i="43"/>
  <c r="I237" i="34"/>
  <c r="E201" i="34"/>
  <c r="E249" i="34"/>
  <c r="D237" i="34"/>
  <c r="I201" i="43"/>
  <c r="E201" i="43"/>
  <c r="D153" i="34"/>
  <c r="D189" i="43"/>
  <c r="D158" i="43"/>
  <c r="I218" i="43"/>
  <c r="E218" i="43"/>
  <c r="I81" i="43"/>
  <c r="D117" i="43"/>
  <c r="E129" i="43"/>
  <c r="D201" i="43"/>
  <c r="E189" i="34"/>
  <c r="E237" i="43"/>
  <c r="F237" i="43"/>
  <c r="H134" i="43"/>
  <c r="H98" i="43"/>
  <c r="F218" i="43"/>
  <c r="F213" i="43"/>
  <c r="G266" i="43"/>
  <c r="G213" i="34"/>
  <c r="F189" i="34"/>
  <c r="G81" i="43"/>
  <c r="D170" i="34"/>
  <c r="H158" i="34"/>
  <c r="G194" i="34"/>
  <c r="F206" i="34"/>
  <c r="E206" i="43"/>
  <c r="H170" i="43"/>
  <c r="D206" i="43"/>
  <c r="H218" i="43"/>
  <c r="D62" i="43"/>
  <c r="H141" i="43"/>
  <c r="J103" i="37"/>
  <c r="E254" i="34"/>
  <c r="F218" i="34"/>
  <c r="E254" i="43"/>
  <c r="G254" i="34"/>
  <c r="I206" i="43"/>
  <c r="E105" i="43"/>
  <c r="I158" i="34"/>
  <c r="I86" i="43"/>
  <c r="D81" i="43"/>
  <c r="D98" i="43"/>
  <c r="I249" i="34"/>
  <c r="D194" i="34"/>
  <c r="H93" i="43"/>
  <c r="H254" i="43"/>
  <c r="I225" i="43"/>
  <c r="E81" i="43"/>
  <c r="H117" i="43"/>
  <c r="F57" i="43"/>
  <c r="I213" i="43"/>
  <c r="F165" i="34"/>
  <c r="G86" i="43"/>
  <c r="E177" i="43"/>
  <c r="E122" i="43"/>
  <c r="F81" i="43"/>
  <c r="I37" i="43"/>
  <c r="I36" i="43"/>
  <c r="I67" i="7"/>
  <c r="I69" i="7" s="1"/>
  <c r="Y41" i="7" s="1"/>
  <c r="G36" i="43"/>
  <c r="P36" i="37"/>
  <c r="I96" i="50" s="1"/>
  <c r="G37" i="43"/>
  <c r="G67" i="7"/>
  <c r="H37" i="43"/>
  <c r="H67" i="7"/>
  <c r="H36" i="43"/>
  <c r="F67" i="7"/>
  <c r="F37" i="43"/>
  <c r="O36" i="37"/>
  <c r="H96" i="50" s="1"/>
  <c r="F36" i="43"/>
  <c r="D72" i="43"/>
  <c r="D91" i="7"/>
  <c r="D73" i="43"/>
  <c r="G90" i="7"/>
  <c r="G67" i="43"/>
  <c r="G68" i="43"/>
  <c r="H68" i="43"/>
  <c r="H67" i="43"/>
  <c r="H90" i="7"/>
  <c r="E67" i="43"/>
  <c r="E90" i="7"/>
  <c r="E68" i="43"/>
  <c r="G72" i="43"/>
  <c r="G91" i="7"/>
  <c r="G73" i="43"/>
  <c r="F73" i="43"/>
  <c r="F91" i="7"/>
  <c r="F72" i="43"/>
  <c r="D67" i="7"/>
  <c r="D37" i="43"/>
  <c r="M36" i="37"/>
  <c r="F96" i="50" s="1"/>
  <c r="D36" i="43"/>
  <c r="I68" i="43"/>
  <c r="I67" i="43"/>
  <c r="I90" i="7"/>
  <c r="F32" i="43"/>
  <c r="F66" i="7"/>
  <c r="F68" i="7" s="1"/>
  <c r="F31" i="43"/>
  <c r="D90" i="7"/>
  <c r="D68" i="43"/>
  <c r="D67" i="43"/>
  <c r="F21" i="44" l="1"/>
  <c r="G16" i="44"/>
  <c r="G17" i="44" s="1"/>
  <c r="F16" i="46" s="1"/>
  <c r="H16" i="44"/>
  <c r="H17" i="44" s="1"/>
  <c r="G16" i="46" s="1"/>
  <c r="I16" i="44"/>
  <c r="I17" i="44" s="1"/>
  <c r="H16" i="46" s="1"/>
  <c r="I21" i="44"/>
  <c r="I22" i="44" s="1"/>
  <c r="H21" i="44"/>
  <c r="H22" i="44" s="1"/>
  <c r="G21" i="46" s="1"/>
  <c r="E21" i="44"/>
  <c r="E22" i="44" s="1"/>
  <c r="D21" i="46" s="1"/>
  <c r="E16" i="44"/>
  <c r="G21" i="44"/>
  <c r="G22" i="44" s="1"/>
  <c r="F21" i="46" s="1"/>
  <c r="D21" i="44"/>
  <c r="D22" i="44" s="1"/>
  <c r="C21" i="46" s="1"/>
  <c r="D16" i="44"/>
  <c r="D17" i="44" s="1"/>
  <c r="F16" i="44"/>
  <c r="F17" i="44" s="1"/>
  <c r="E16" i="46" s="1"/>
  <c r="F22" i="44"/>
  <c r="E21" i="46" s="1"/>
  <c r="E17" i="44"/>
  <c r="D16" i="46" s="1"/>
  <c r="M279" i="34"/>
  <c r="I97" i="34" s="1"/>
  <c r="H139" i="34"/>
  <c r="L283" i="34"/>
  <c r="H140" i="34" s="1"/>
  <c r="M283" i="34"/>
  <c r="I145" i="34" s="1"/>
  <c r="L280" i="34"/>
  <c r="F104" i="34" s="1"/>
  <c r="F108" i="34"/>
  <c r="H103" i="34"/>
  <c r="F103" i="34"/>
  <c r="D103" i="34"/>
  <c r="M280" i="34"/>
  <c r="G109" i="34" s="1"/>
  <c r="E108" i="34"/>
  <c r="D108" i="34"/>
  <c r="G108" i="34"/>
  <c r="I103" i="34"/>
  <c r="H108" i="34"/>
  <c r="G103" i="34"/>
  <c r="E103" i="34"/>
  <c r="G91" i="34"/>
  <c r="I96" i="34"/>
  <c r="D96" i="34"/>
  <c r="F96" i="34"/>
  <c r="I91" i="34"/>
  <c r="H96" i="34"/>
  <c r="E96" i="34"/>
  <c r="D91" i="34"/>
  <c r="E91" i="34"/>
  <c r="F91" i="34"/>
  <c r="G96" i="34"/>
  <c r="H91" i="34"/>
  <c r="E144" i="34"/>
  <c r="F139" i="34"/>
  <c r="D144" i="34"/>
  <c r="I144" i="34"/>
  <c r="F144" i="34"/>
  <c r="G144" i="34"/>
  <c r="E139" i="34"/>
  <c r="H144" i="34"/>
  <c r="G139" i="34"/>
  <c r="I139" i="34"/>
  <c r="H92" i="34"/>
  <c r="G92" i="34"/>
  <c r="F92" i="34"/>
  <c r="E92" i="34"/>
  <c r="I92" i="34"/>
  <c r="D92" i="34"/>
  <c r="D93" i="34" s="1"/>
  <c r="H145" i="34"/>
  <c r="L282" i="34"/>
  <c r="M282" i="34"/>
  <c r="D127" i="34"/>
  <c r="H132" i="34"/>
  <c r="I132" i="34"/>
  <c r="G132" i="34"/>
  <c r="I127" i="34"/>
  <c r="D132" i="34"/>
  <c r="E132" i="34"/>
  <c r="E127" i="34"/>
  <c r="G127" i="34"/>
  <c r="F127" i="34"/>
  <c r="F132" i="34"/>
  <c r="H127" i="34"/>
  <c r="F97" i="34"/>
  <c r="M281" i="34"/>
  <c r="L281" i="34"/>
  <c r="H115" i="34"/>
  <c r="G120" i="34"/>
  <c r="G115" i="34"/>
  <c r="H120" i="34"/>
  <c r="D115" i="34"/>
  <c r="D120" i="34"/>
  <c r="F115" i="34"/>
  <c r="F120" i="34"/>
  <c r="E115" i="34"/>
  <c r="E120" i="34"/>
  <c r="I120" i="34"/>
  <c r="I115" i="34"/>
  <c r="I74" i="43"/>
  <c r="D66" i="7"/>
  <c r="D68" i="7" s="1"/>
  <c r="N41" i="7" s="1"/>
  <c r="D24" i="7" s="1"/>
  <c r="R36" i="37"/>
  <c r="K78" i="50" s="1"/>
  <c r="I49" i="43"/>
  <c r="I21" i="43" s="1"/>
  <c r="G50" i="43"/>
  <c r="G57" i="43"/>
  <c r="I48" i="43"/>
  <c r="E66" i="7"/>
  <c r="E68" i="7" s="1"/>
  <c r="O41" i="7" s="1"/>
  <c r="G66" i="7"/>
  <c r="G68" i="7" s="1"/>
  <c r="Q41" i="7" s="1"/>
  <c r="G24" i="7" s="1"/>
  <c r="E31" i="43"/>
  <c r="E33" i="43" s="1"/>
  <c r="G32" i="43"/>
  <c r="G33" i="43" s="1"/>
  <c r="H72" i="43"/>
  <c r="H74" i="43" s="1"/>
  <c r="E73" i="43"/>
  <c r="E74" i="43" s="1"/>
  <c r="F36" i="37"/>
  <c r="F88" i="50" s="1"/>
  <c r="F87" i="50" s="1"/>
  <c r="G36" i="37"/>
  <c r="G88" i="50" s="1"/>
  <c r="G87" i="50" s="1"/>
  <c r="D31" i="43"/>
  <c r="D15" i="43" s="1"/>
  <c r="E91" i="7"/>
  <c r="E93" i="7" s="1"/>
  <c r="U44" i="7" s="1"/>
  <c r="Q36" i="37"/>
  <c r="J96" i="50" s="1"/>
  <c r="J95" i="50" s="1"/>
  <c r="I36" i="37"/>
  <c r="I88" i="50" s="1"/>
  <c r="I87" i="50" s="1"/>
  <c r="H91" i="7"/>
  <c r="H93" i="7" s="1"/>
  <c r="X44" i="7" s="1"/>
  <c r="K36" i="37"/>
  <c r="K39" i="37" s="1"/>
  <c r="D50" i="43"/>
  <c r="I43" i="43"/>
  <c r="I45" i="43" s="1"/>
  <c r="I74" i="7"/>
  <c r="I76" i="7" s="1"/>
  <c r="S42" i="7" s="1"/>
  <c r="E74" i="7"/>
  <c r="E76" i="7" s="1"/>
  <c r="O42" i="7" s="1"/>
  <c r="N36" i="37"/>
  <c r="G96" i="50" s="1"/>
  <c r="G95" i="50" s="1"/>
  <c r="E44" i="43"/>
  <c r="E45" i="43" s="1"/>
  <c r="H44" i="43"/>
  <c r="H43" i="43"/>
  <c r="H15" i="43" s="1"/>
  <c r="H74" i="7"/>
  <c r="H76" i="7" s="1"/>
  <c r="R42" i="7" s="1"/>
  <c r="E48" i="43"/>
  <c r="E75" i="7"/>
  <c r="E77" i="7" s="1"/>
  <c r="U42" i="7" s="1"/>
  <c r="E49" i="43"/>
  <c r="D74" i="7"/>
  <c r="D44" i="43"/>
  <c r="D45" i="43" s="1"/>
  <c r="F44" i="43"/>
  <c r="F43" i="43"/>
  <c r="H48" i="43"/>
  <c r="H20" i="43" s="1"/>
  <c r="H49" i="43"/>
  <c r="H21" i="43" s="1"/>
  <c r="H75" i="7"/>
  <c r="G74" i="7"/>
  <c r="G76" i="7" s="1"/>
  <c r="Q42" i="7" s="1"/>
  <c r="G44" i="43"/>
  <c r="G45" i="43" s="1"/>
  <c r="D31" i="34"/>
  <c r="F36" i="34"/>
  <c r="F50" i="43"/>
  <c r="E36" i="43"/>
  <c r="J36" i="37"/>
  <c r="J88" i="50" s="1"/>
  <c r="J87" i="50" s="1"/>
  <c r="H32" i="43"/>
  <c r="H66" i="7"/>
  <c r="H68" i="7" s="1"/>
  <c r="R41" i="7" s="1"/>
  <c r="E37" i="43"/>
  <c r="E38" i="43" s="1"/>
  <c r="I32" i="43"/>
  <c r="I16" i="43" s="1"/>
  <c r="E67" i="7"/>
  <c r="E69" i="7" s="1"/>
  <c r="U41" i="7" s="1"/>
  <c r="F67" i="43"/>
  <c r="I66" i="7"/>
  <c r="I68" i="7" s="1"/>
  <c r="S41" i="7" s="1"/>
  <c r="I24" i="7" s="1"/>
  <c r="I31" i="34"/>
  <c r="I31" i="43"/>
  <c r="H36" i="37"/>
  <c r="H88" i="50" s="1"/>
  <c r="H91" i="50" s="1"/>
  <c r="W89" i="50" s="1"/>
  <c r="F68" i="43"/>
  <c r="H31" i="34"/>
  <c r="E31" i="34"/>
  <c r="D36" i="34"/>
  <c r="H72" i="34"/>
  <c r="G72" i="34"/>
  <c r="A1" i="45"/>
  <c r="E26" i="1" s="1"/>
  <c r="H26" i="1" s="1"/>
  <c r="F31" i="34"/>
  <c r="G31" i="34"/>
  <c r="E36" i="34"/>
  <c r="D67" i="34"/>
  <c r="I67" i="34"/>
  <c r="E72" i="34"/>
  <c r="F80" i="34"/>
  <c r="F72" i="34"/>
  <c r="E67" i="34"/>
  <c r="F67" i="34"/>
  <c r="H67" i="34"/>
  <c r="G67" i="34"/>
  <c r="D72" i="34"/>
  <c r="D80" i="34"/>
  <c r="I36" i="34"/>
  <c r="G80" i="34"/>
  <c r="I80" i="34"/>
  <c r="H80" i="34"/>
  <c r="H36" i="34"/>
  <c r="G36" i="34"/>
  <c r="I273" i="34"/>
  <c r="J273" i="34"/>
  <c r="H273" i="34"/>
  <c r="H272" i="34"/>
  <c r="I79" i="34"/>
  <c r="E79" i="34"/>
  <c r="E81" i="34" s="1"/>
  <c r="F84" i="34"/>
  <c r="D79" i="34"/>
  <c r="G79" i="34"/>
  <c r="H79" i="34"/>
  <c r="D84" i="34"/>
  <c r="E84" i="34"/>
  <c r="I84" i="34"/>
  <c r="G84" i="34"/>
  <c r="H84" i="34"/>
  <c r="F79" i="34"/>
  <c r="M278" i="34"/>
  <c r="M277" i="34"/>
  <c r="L274" i="34"/>
  <c r="L277" i="34"/>
  <c r="E48" i="34"/>
  <c r="H48" i="34"/>
  <c r="D48" i="34"/>
  <c r="G48" i="34"/>
  <c r="E43" i="34"/>
  <c r="F43" i="34"/>
  <c r="H43" i="34"/>
  <c r="I43" i="34"/>
  <c r="F48" i="34"/>
  <c r="G43" i="34"/>
  <c r="I48" i="34"/>
  <c r="D43" i="34"/>
  <c r="I55" i="34"/>
  <c r="H60" i="34"/>
  <c r="I60" i="34"/>
  <c r="H55" i="34"/>
  <c r="E60" i="34"/>
  <c r="D55" i="34"/>
  <c r="G60" i="34"/>
  <c r="G55" i="34"/>
  <c r="F60" i="34"/>
  <c r="E55" i="34"/>
  <c r="F55" i="34"/>
  <c r="D60" i="34"/>
  <c r="M274" i="34"/>
  <c r="L275" i="34"/>
  <c r="M276" i="34"/>
  <c r="M275" i="34"/>
  <c r="L276" i="34"/>
  <c r="G90" i="50"/>
  <c r="G92" i="50"/>
  <c r="G91" i="50"/>
  <c r="G89" i="50"/>
  <c r="J90" i="50"/>
  <c r="J89" i="50"/>
  <c r="J91" i="50"/>
  <c r="J92" i="50"/>
  <c r="F98" i="50"/>
  <c r="F99" i="50"/>
  <c r="F95" i="50"/>
  <c r="F100" i="50"/>
  <c r="F97" i="50"/>
  <c r="I97" i="50"/>
  <c r="I99" i="50"/>
  <c r="I95" i="50"/>
  <c r="I98" i="50"/>
  <c r="I100" i="50"/>
  <c r="H78" i="50"/>
  <c r="G78" i="50"/>
  <c r="I89" i="50"/>
  <c r="I91" i="50"/>
  <c r="I90" i="50"/>
  <c r="I92" i="50"/>
  <c r="G97" i="50"/>
  <c r="G99" i="50"/>
  <c r="G100" i="50"/>
  <c r="G98" i="50"/>
  <c r="F89" i="50"/>
  <c r="F92" i="50"/>
  <c r="F91" i="50"/>
  <c r="F90" i="50"/>
  <c r="K88" i="50"/>
  <c r="H95" i="50"/>
  <c r="H98" i="50"/>
  <c r="H100" i="50"/>
  <c r="H99" i="50"/>
  <c r="H97" i="50"/>
  <c r="J100" i="50"/>
  <c r="J98" i="50"/>
  <c r="J99" i="50"/>
  <c r="J97" i="50"/>
  <c r="K96" i="50"/>
  <c r="J78" i="50"/>
  <c r="F78" i="50"/>
  <c r="I78" i="50"/>
  <c r="I15" i="7"/>
  <c r="I38" i="43"/>
  <c r="I92" i="7"/>
  <c r="S44" i="7" s="1"/>
  <c r="G93" i="7"/>
  <c r="W44" i="7" s="1"/>
  <c r="E92" i="7"/>
  <c r="O44" i="7" s="1"/>
  <c r="F92" i="7"/>
  <c r="P44" i="7" s="1"/>
  <c r="H92" i="7"/>
  <c r="R44" i="7" s="1"/>
  <c r="D92" i="7"/>
  <c r="N44" i="7" s="1"/>
  <c r="F93" i="7"/>
  <c r="V44" i="7" s="1"/>
  <c r="G92" i="7"/>
  <c r="Q44" i="7" s="1"/>
  <c r="D93" i="7"/>
  <c r="T44" i="7" s="1"/>
  <c r="H69" i="7"/>
  <c r="X41" i="7" s="1"/>
  <c r="G69" i="7"/>
  <c r="W41" i="7" s="1"/>
  <c r="G31" i="7" s="1"/>
  <c r="F69" i="7"/>
  <c r="V41" i="7" s="1"/>
  <c r="F31" i="7" s="1"/>
  <c r="D69" i="7"/>
  <c r="T41" i="7" s="1"/>
  <c r="D31" i="7" s="1"/>
  <c r="H31" i="7"/>
  <c r="I31" i="7"/>
  <c r="I33" i="7"/>
  <c r="F32" i="7"/>
  <c r="I32" i="7"/>
  <c r="I30" i="7"/>
  <c r="G25" i="7"/>
  <c r="D32" i="7"/>
  <c r="I25" i="7"/>
  <c r="H32" i="7"/>
  <c r="G32" i="7"/>
  <c r="F74" i="43"/>
  <c r="F14" i="7"/>
  <c r="P41" i="7"/>
  <c r="D69" i="43"/>
  <c r="D21" i="43"/>
  <c r="I69" i="43"/>
  <c r="D15" i="7"/>
  <c r="F33" i="43"/>
  <c r="D20" i="43"/>
  <c r="D38" i="43"/>
  <c r="E69" i="43"/>
  <c r="G69" i="43"/>
  <c r="D74" i="43"/>
  <c r="F20" i="43"/>
  <c r="F38" i="43"/>
  <c r="F21" i="43"/>
  <c r="G15" i="7"/>
  <c r="G15" i="43"/>
  <c r="G74" i="43"/>
  <c r="H69" i="43"/>
  <c r="F15" i="7"/>
  <c r="H38" i="43"/>
  <c r="G21" i="43"/>
  <c r="G38" i="43"/>
  <c r="G20" i="43"/>
  <c r="F70" i="50" l="1"/>
  <c r="F69" i="50" s="1"/>
  <c r="F16" i="50" s="1"/>
  <c r="F18" i="50" s="1"/>
  <c r="G70" i="50"/>
  <c r="G69" i="50" s="1"/>
  <c r="G16" i="50" s="1"/>
  <c r="G18" i="50" s="1"/>
  <c r="K70" i="50"/>
  <c r="K69" i="50" s="1"/>
  <c r="I70" i="50"/>
  <c r="I69" i="50" s="1"/>
  <c r="I16" i="50" s="1"/>
  <c r="I18" i="50" s="1"/>
  <c r="G24" i="44"/>
  <c r="C16" i="46"/>
  <c r="D25" i="1"/>
  <c r="G25" i="1" s="1"/>
  <c r="H21" i="46"/>
  <c r="I24" i="44"/>
  <c r="F24" i="44"/>
  <c r="D24" i="44"/>
  <c r="E24" i="44"/>
  <c r="H24" i="44"/>
  <c r="I109" i="34"/>
  <c r="I110" i="34" s="1"/>
  <c r="G145" i="34"/>
  <c r="F145" i="34"/>
  <c r="H109" i="34"/>
  <c r="H110" i="34" s="1"/>
  <c r="D145" i="34"/>
  <c r="D146" i="34" s="1"/>
  <c r="E145" i="34"/>
  <c r="E146" i="34" s="1"/>
  <c r="E140" i="34"/>
  <c r="E141" i="34" s="1"/>
  <c r="E97" i="34"/>
  <c r="E98" i="34" s="1"/>
  <c r="G97" i="34"/>
  <c r="G98" i="34" s="1"/>
  <c r="I140" i="34"/>
  <c r="I141" i="34" s="1"/>
  <c r="F140" i="34"/>
  <c r="F141" i="34" s="1"/>
  <c r="D97" i="34"/>
  <c r="D98" i="34" s="1"/>
  <c r="H97" i="34"/>
  <c r="H98" i="34" s="1"/>
  <c r="H141" i="34"/>
  <c r="G140" i="34"/>
  <c r="G141" i="34" s="1"/>
  <c r="D140" i="34"/>
  <c r="D141" i="34" s="1"/>
  <c r="I104" i="34"/>
  <c r="I105" i="34" s="1"/>
  <c r="I93" i="34"/>
  <c r="F146" i="34"/>
  <c r="F98" i="34"/>
  <c r="G104" i="34"/>
  <c r="G105" i="34" s="1"/>
  <c r="D104" i="34"/>
  <c r="D105" i="34" s="1"/>
  <c r="I146" i="34"/>
  <c r="F105" i="34"/>
  <c r="I98" i="34"/>
  <c r="G146" i="34"/>
  <c r="H146" i="34"/>
  <c r="E104" i="34"/>
  <c r="E105" i="34" s="1"/>
  <c r="H104" i="34"/>
  <c r="H105" i="34" s="1"/>
  <c r="F93" i="34"/>
  <c r="G110" i="34"/>
  <c r="D109" i="34"/>
  <c r="D110" i="34" s="1"/>
  <c r="E50" i="43"/>
  <c r="E15" i="43"/>
  <c r="D33" i="43"/>
  <c r="E109" i="34"/>
  <c r="E110" i="34" s="1"/>
  <c r="F109" i="34"/>
  <c r="F110" i="34" s="1"/>
  <c r="E93" i="34"/>
  <c r="G93" i="34"/>
  <c r="H93" i="34"/>
  <c r="D116" i="34"/>
  <c r="D117" i="34" s="1"/>
  <c r="G116" i="34"/>
  <c r="G117" i="34" s="1"/>
  <c r="E116" i="34"/>
  <c r="E117" i="34" s="1"/>
  <c r="H116" i="34"/>
  <c r="H117" i="34" s="1"/>
  <c r="I116" i="34"/>
  <c r="I117" i="34" s="1"/>
  <c r="F116" i="34"/>
  <c r="F117" i="34" s="1"/>
  <c r="F133" i="34"/>
  <c r="F134" i="34" s="1"/>
  <c r="I133" i="34"/>
  <c r="I134" i="34" s="1"/>
  <c r="H133" i="34"/>
  <c r="H134" i="34" s="1"/>
  <c r="E133" i="34"/>
  <c r="E134" i="34" s="1"/>
  <c r="G133" i="34"/>
  <c r="G134" i="34" s="1"/>
  <c r="D133" i="34"/>
  <c r="D134" i="34" s="1"/>
  <c r="G121" i="34"/>
  <c r="G122" i="34" s="1"/>
  <c r="H121" i="34"/>
  <c r="H122" i="34" s="1"/>
  <c r="E121" i="34"/>
  <c r="E122" i="34" s="1"/>
  <c r="I121" i="34"/>
  <c r="I122" i="34" s="1"/>
  <c r="D121" i="34"/>
  <c r="D122" i="34" s="1"/>
  <c r="F121" i="34"/>
  <c r="F122" i="34" s="1"/>
  <c r="G128" i="34"/>
  <c r="G129" i="34" s="1"/>
  <c r="E128" i="34"/>
  <c r="E129" i="34" s="1"/>
  <c r="I128" i="34"/>
  <c r="I129" i="34" s="1"/>
  <c r="F128" i="34"/>
  <c r="F129" i="34" s="1"/>
  <c r="D128" i="34"/>
  <c r="D129" i="34" s="1"/>
  <c r="H128" i="34"/>
  <c r="H129" i="34" s="1"/>
  <c r="H15" i="7"/>
  <c r="H77" i="7"/>
  <c r="X42" i="7" s="1"/>
  <c r="H30" i="7" s="1"/>
  <c r="H34" i="7" s="1"/>
  <c r="D14" i="7"/>
  <c r="D16" i="7" s="1"/>
  <c r="D76" i="7"/>
  <c r="N42" i="7" s="1"/>
  <c r="D23" i="7" s="1"/>
  <c r="I50" i="43"/>
  <c r="W88" i="50"/>
  <c r="I20" i="43"/>
  <c r="I22" i="43" s="1"/>
  <c r="H38" i="46" s="1"/>
  <c r="H40" i="46" s="1"/>
  <c r="F39" i="37"/>
  <c r="E14" i="7"/>
  <c r="I39" i="37"/>
  <c r="G14" i="7"/>
  <c r="G16" i="7" s="1"/>
  <c r="D16" i="43"/>
  <c r="D17" i="43" s="1"/>
  <c r="C32" i="46" s="1"/>
  <c r="C34" i="46" s="1"/>
  <c r="G39" i="37"/>
  <c r="W90" i="50"/>
  <c r="W87" i="50"/>
  <c r="F16" i="43"/>
  <c r="F15" i="43"/>
  <c r="I14" i="7"/>
  <c r="I16" i="7" s="1"/>
  <c r="H16" i="43"/>
  <c r="H17" i="43" s="1"/>
  <c r="G32" i="46" s="1"/>
  <c r="G34" i="46" s="1"/>
  <c r="W91" i="50"/>
  <c r="G16" i="43"/>
  <c r="G17" i="43" s="1"/>
  <c r="F32" i="46" s="1"/>
  <c r="F34" i="46" s="1"/>
  <c r="E16" i="43"/>
  <c r="I15" i="43"/>
  <c r="I17" i="43" s="1"/>
  <c r="I24" i="43" s="1"/>
  <c r="E20" i="43"/>
  <c r="H50" i="43"/>
  <c r="F45" i="43"/>
  <c r="H45" i="43"/>
  <c r="A1" i="37"/>
  <c r="E21" i="1" s="1"/>
  <c r="H21" i="1" s="1"/>
  <c r="H70" i="50"/>
  <c r="H74" i="50" s="1"/>
  <c r="K1" i="45"/>
  <c r="F69" i="43"/>
  <c r="J39" i="37"/>
  <c r="H33" i="43"/>
  <c r="E21" i="43"/>
  <c r="E22" i="43" s="1"/>
  <c r="E15" i="7"/>
  <c r="E16" i="7" s="1"/>
  <c r="J70" i="50"/>
  <c r="J71" i="50" s="1"/>
  <c r="H39" i="37"/>
  <c r="H14" i="7"/>
  <c r="I33" i="43"/>
  <c r="H89" i="50"/>
  <c r="H90" i="50"/>
  <c r="H87" i="50"/>
  <c r="H92" i="50"/>
  <c r="I81" i="34"/>
  <c r="F81" i="34"/>
  <c r="H81" i="34"/>
  <c r="D20" i="34"/>
  <c r="D15" i="34"/>
  <c r="E20" i="34"/>
  <c r="G20" i="34"/>
  <c r="H15" i="34"/>
  <c r="F20" i="34"/>
  <c r="H20" i="34"/>
  <c r="E15" i="34"/>
  <c r="I15" i="34"/>
  <c r="F15" i="34"/>
  <c r="G15" i="34"/>
  <c r="D81" i="34"/>
  <c r="G81" i="34"/>
  <c r="I20" i="34"/>
  <c r="E56" i="34"/>
  <c r="E57" i="34" s="1"/>
  <c r="D56" i="34"/>
  <c r="D57" i="34" s="1"/>
  <c r="F56" i="34"/>
  <c r="F57" i="34" s="1"/>
  <c r="G56" i="34"/>
  <c r="G57" i="34" s="1"/>
  <c r="I56" i="34"/>
  <c r="I57" i="34" s="1"/>
  <c r="H56" i="34"/>
  <c r="H57" i="34" s="1"/>
  <c r="H61" i="34"/>
  <c r="H62" i="34" s="1"/>
  <c r="E61" i="34"/>
  <c r="E62" i="34" s="1"/>
  <c r="F61" i="34"/>
  <c r="F62" i="34" s="1"/>
  <c r="D61" i="34"/>
  <c r="D62" i="34" s="1"/>
  <c r="G61" i="34"/>
  <c r="G62" i="34" s="1"/>
  <c r="I61" i="34"/>
  <c r="I62" i="34" s="1"/>
  <c r="G37" i="34"/>
  <c r="I37" i="34"/>
  <c r="H37" i="34"/>
  <c r="F37" i="34"/>
  <c r="D37" i="34"/>
  <c r="E37" i="34"/>
  <c r="G68" i="34"/>
  <c r="G69" i="34" s="1"/>
  <c r="H68" i="34"/>
  <c r="H69" i="34" s="1"/>
  <c r="F68" i="34"/>
  <c r="F69" i="34" s="1"/>
  <c r="D68" i="34"/>
  <c r="D69" i="34" s="1"/>
  <c r="E68" i="34"/>
  <c r="E69" i="34" s="1"/>
  <c r="I68" i="34"/>
  <c r="I69" i="34" s="1"/>
  <c r="I73" i="34"/>
  <c r="I74" i="34" s="1"/>
  <c r="E73" i="34"/>
  <c r="E74" i="34" s="1"/>
  <c r="D73" i="34"/>
  <c r="D74" i="34" s="1"/>
  <c r="H73" i="34"/>
  <c r="H74" i="34" s="1"/>
  <c r="G73" i="34"/>
  <c r="G74" i="34" s="1"/>
  <c r="F73" i="34"/>
  <c r="F74" i="34" s="1"/>
  <c r="G49" i="34"/>
  <c r="G50" i="34" s="1"/>
  <c r="F49" i="34"/>
  <c r="F50" i="34" s="1"/>
  <c r="I49" i="34"/>
  <c r="I50" i="34" s="1"/>
  <c r="H49" i="34"/>
  <c r="H50" i="34" s="1"/>
  <c r="D49" i="34"/>
  <c r="D50" i="34" s="1"/>
  <c r="E49" i="34"/>
  <c r="E50" i="34" s="1"/>
  <c r="E44" i="34"/>
  <c r="E45" i="34" s="1"/>
  <c r="D44" i="34"/>
  <c r="D45" i="34" s="1"/>
  <c r="I44" i="34"/>
  <c r="I45" i="34" s="1"/>
  <c r="H44" i="34"/>
  <c r="H45" i="34" s="1"/>
  <c r="F44" i="34"/>
  <c r="F45" i="34" s="1"/>
  <c r="G44" i="34"/>
  <c r="G45" i="34" s="1"/>
  <c r="D32" i="34"/>
  <c r="F32" i="34"/>
  <c r="E32" i="34"/>
  <c r="G32" i="34"/>
  <c r="I32" i="34"/>
  <c r="H32" i="34"/>
  <c r="E85" i="34"/>
  <c r="E86" i="34" s="1"/>
  <c r="G85" i="34"/>
  <c r="G86" i="34" s="1"/>
  <c r="I85" i="34"/>
  <c r="I86" i="34" s="1"/>
  <c r="F85" i="34"/>
  <c r="F86" i="34" s="1"/>
  <c r="H85" i="34"/>
  <c r="H86" i="34" s="1"/>
  <c r="D85" i="34"/>
  <c r="D86" i="34" s="1"/>
  <c r="F77" i="50"/>
  <c r="F22" i="50" s="1"/>
  <c r="F24" i="50" s="1"/>
  <c r="F80" i="50"/>
  <c r="F81" i="50"/>
  <c r="F82" i="50"/>
  <c r="F79" i="50"/>
  <c r="G74" i="50"/>
  <c r="G71" i="50"/>
  <c r="G73" i="50"/>
  <c r="W70" i="50" s="1"/>
  <c r="G72" i="50"/>
  <c r="K71" i="50"/>
  <c r="K74" i="50"/>
  <c r="K100" i="50"/>
  <c r="K95" i="50"/>
  <c r="K98" i="50"/>
  <c r="K99" i="50"/>
  <c r="K97" i="50"/>
  <c r="G77" i="50"/>
  <c r="G22" i="50" s="1"/>
  <c r="G24" i="50" s="1"/>
  <c r="G79" i="50"/>
  <c r="G81" i="50"/>
  <c r="G80" i="50"/>
  <c r="G82" i="50"/>
  <c r="H79" i="50"/>
  <c r="H80" i="50"/>
  <c r="H77" i="50"/>
  <c r="H22" i="50" s="1"/>
  <c r="H24" i="50" s="1"/>
  <c r="H82" i="50"/>
  <c r="H81" i="50"/>
  <c r="I80" i="50"/>
  <c r="I82" i="50"/>
  <c r="I77" i="50"/>
  <c r="I22" i="50" s="1"/>
  <c r="I24" i="50" s="1"/>
  <c r="I81" i="50"/>
  <c r="I79" i="50"/>
  <c r="J77" i="50"/>
  <c r="J22" i="50" s="1"/>
  <c r="J24" i="50" s="1"/>
  <c r="J80" i="50"/>
  <c r="J82" i="50"/>
  <c r="J79" i="50"/>
  <c r="J81" i="50"/>
  <c r="K80" i="50"/>
  <c r="K81" i="50"/>
  <c r="K77" i="50"/>
  <c r="K79" i="50"/>
  <c r="K82" i="50"/>
  <c r="K91" i="50"/>
  <c r="W92" i="50" s="1"/>
  <c r="K87" i="50"/>
  <c r="K90" i="50"/>
  <c r="K92" i="50"/>
  <c r="K89" i="50"/>
  <c r="I74" i="50"/>
  <c r="I73" i="50"/>
  <c r="W72" i="50" s="1"/>
  <c r="I71" i="50"/>
  <c r="I72" i="50"/>
  <c r="F71" i="50"/>
  <c r="F72" i="50"/>
  <c r="F74" i="50"/>
  <c r="F73" i="50"/>
  <c r="I34" i="7"/>
  <c r="F33" i="7"/>
  <c r="F30" i="7"/>
  <c r="F34" i="7" s="1"/>
  <c r="D33" i="7"/>
  <c r="D30" i="7"/>
  <c r="D34" i="7" s="1"/>
  <c r="G33" i="7"/>
  <c r="G30" i="7"/>
  <c r="G34" i="7" s="1"/>
  <c r="H33" i="7"/>
  <c r="I26" i="7"/>
  <c r="I23" i="7"/>
  <c r="I27" i="7" s="1"/>
  <c r="G26" i="7"/>
  <c r="G23" i="7"/>
  <c r="G27" i="7" s="1"/>
  <c r="D26" i="7"/>
  <c r="D25" i="7"/>
  <c r="H24" i="7"/>
  <c r="H26" i="7"/>
  <c r="F24" i="7"/>
  <c r="F26" i="7"/>
  <c r="E31" i="7"/>
  <c r="E33" i="7"/>
  <c r="E24" i="7"/>
  <c r="E26" i="7"/>
  <c r="F25" i="7"/>
  <c r="F23" i="7"/>
  <c r="E32" i="7"/>
  <c r="E30" i="7"/>
  <c r="E25" i="7"/>
  <c r="E23" i="7"/>
  <c r="H25" i="7"/>
  <c r="H23" i="7"/>
  <c r="F16" i="7"/>
  <c r="D22" i="43"/>
  <c r="F22" i="43"/>
  <c r="G22" i="43"/>
  <c r="H22" i="43"/>
  <c r="L27" i="7" l="1"/>
  <c r="L34" i="7"/>
  <c r="W69" i="50"/>
  <c r="K72" i="50"/>
  <c r="K73" i="50"/>
  <c r="W74" i="50" s="1"/>
  <c r="H72" i="50"/>
  <c r="G28" i="50"/>
  <c r="G30" i="50" s="1"/>
  <c r="A1" i="44"/>
  <c r="K1" i="44" s="1"/>
  <c r="F28" i="50"/>
  <c r="F30" i="50" s="1"/>
  <c r="H73" i="50"/>
  <c r="W71" i="50" s="1"/>
  <c r="H28" i="50" s="1"/>
  <c r="H30" i="50" s="1"/>
  <c r="K22" i="50"/>
  <c r="K24" i="50" s="1"/>
  <c r="J69" i="50"/>
  <c r="J16" i="50" s="1"/>
  <c r="J18" i="50" s="1"/>
  <c r="H69" i="50"/>
  <c r="H16" i="50" s="1"/>
  <c r="H18" i="50" s="1"/>
  <c r="H71" i="50"/>
  <c r="E17" i="43"/>
  <c r="D32" i="46" s="1"/>
  <c r="D34" i="46" s="1"/>
  <c r="H16" i="7"/>
  <c r="I28" i="50"/>
  <c r="I30" i="50" s="1"/>
  <c r="F17" i="43"/>
  <c r="E32" i="46" s="1"/>
  <c r="E34" i="46" s="1"/>
  <c r="J73" i="50"/>
  <c r="W73" i="50" s="1"/>
  <c r="J28" i="50" s="1"/>
  <c r="J30" i="50" s="1"/>
  <c r="J72" i="50"/>
  <c r="J74" i="50"/>
  <c r="E25" i="1"/>
  <c r="H25" i="1" s="1"/>
  <c r="H33" i="34"/>
  <c r="H16" i="34"/>
  <c r="H17" i="34" s="1"/>
  <c r="G15" i="46" s="1"/>
  <c r="G17" i="46" s="1"/>
  <c r="G35" i="46" s="1"/>
  <c r="G16" i="34"/>
  <c r="G17" i="34" s="1"/>
  <c r="F15" i="46" s="1"/>
  <c r="F17" i="46" s="1"/>
  <c r="F35" i="46" s="1"/>
  <c r="G33" i="34"/>
  <c r="F16" i="34"/>
  <c r="F17" i="34" s="1"/>
  <c r="E15" i="46" s="1"/>
  <c r="E17" i="46" s="1"/>
  <c r="E35" i="46" s="1"/>
  <c r="F33" i="34"/>
  <c r="E21" i="34"/>
  <c r="E22" i="34" s="1"/>
  <c r="D20" i="46" s="1"/>
  <c r="D22" i="46" s="1"/>
  <c r="D41" i="46" s="1"/>
  <c r="E38" i="34"/>
  <c r="F21" i="34"/>
  <c r="F22" i="34" s="1"/>
  <c r="F38" i="34"/>
  <c r="I38" i="34"/>
  <c r="I21" i="34"/>
  <c r="I22" i="34" s="1"/>
  <c r="H20" i="46" s="1"/>
  <c r="H22" i="46" s="1"/>
  <c r="H41" i="46" s="1"/>
  <c r="I33" i="34"/>
  <c r="I16" i="34"/>
  <c r="I17" i="34" s="1"/>
  <c r="E16" i="34"/>
  <c r="E17" i="34" s="1"/>
  <c r="D15" i="46" s="1"/>
  <c r="D17" i="46" s="1"/>
  <c r="D35" i="46" s="1"/>
  <c r="E33" i="34"/>
  <c r="D16" i="34"/>
  <c r="D17" i="34" s="1"/>
  <c r="C15" i="46" s="1"/>
  <c r="C17" i="46" s="1"/>
  <c r="D33" i="34"/>
  <c r="D21" i="34"/>
  <c r="D22" i="34" s="1"/>
  <c r="D38" i="34"/>
  <c r="H21" i="34"/>
  <c r="H22" i="34" s="1"/>
  <c r="H38" i="34"/>
  <c r="G21" i="34"/>
  <c r="G22" i="34" s="1"/>
  <c r="G38" i="34"/>
  <c r="K28" i="50"/>
  <c r="K30" i="50" s="1"/>
  <c r="K16" i="50"/>
  <c r="K18" i="50" s="1"/>
  <c r="V24" i="50"/>
  <c r="D27" i="7"/>
  <c r="H27" i="7"/>
  <c r="E27" i="7"/>
  <c r="E34" i="7"/>
  <c r="F27" i="7"/>
  <c r="G38" i="46"/>
  <c r="G40" i="46" s="1"/>
  <c r="G43" i="46" s="1"/>
  <c r="H24" i="43"/>
  <c r="C38" i="46"/>
  <c r="C40" i="46" s="1"/>
  <c r="C43" i="46" s="1"/>
  <c r="D24" i="43"/>
  <c r="F38" i="46"/>
  <c r="F40" i="46" s="1"/>
  <c r="F43" i="46" s="1"/>
  <c r="G24" i="43"/>
  <c r="E38" i="46"/>
  <c r="E40" i="46" s="1"/>
  <c r="F24" i="43"/>
  <c r="D38" i="46"/>
  <c r="D40" i="46" s="1"/>
  <c r="D43" i="46" s="1"/>
  <c r="H32" i="46"/>
  <c r="H34" i="46" s="1"/>
  <c r="H43" i="46" s="1"/>
  <c r="L35" i="7" l="1"/>
  <c r="F24" i="34"/>
  <c r="V19" i="50"/>
  <c r="V26" i="50" s="1"/>
  <c r="Q1" i="50" s="1"/>
  <c r="I20" i="41" s="1"/>
  <c r="J20" i="41" s="1"/>
  <c r="E39" i="41" s="1"/>
  <c r="A1" i="50"/>
  <c r="E29" i="1" s="1"/>
  <c r="H29" i="1" s="1"/>
  <c r="E24" i="43"/>
  <c r="A1" i="43" s="1"/>
  <c r="E23" i="1" s="1"/>
  <c r="H23" i="1" s="1"/>
  <c r="E43" i="46"/>
  <c r="E20" i="46"/>
  <c r="E22" i="46" s="1"/>
  <c r="E41" i="46" s="1"/>
  <c r="E24" i="34"/>
  <c r="I24" i="34"/>
  <c r="G24" i="34"/>
  <c r="D24" i="34"/>
  <c r="H15" i="46"/>
  <c r="H17" i="46" s="1"/>
  <c r="H24" i="46" s="1"/>
  <c r="H24" i="34"/>
  <c r="F20" i="46"/>
  <c r="F22" i="46" s="1"/>
  <c r="F41" i="46" s="1"/>
  <c r="C20" i="46"/>
  <c r="C22" i="46" s="1"/>
  <c r="C41" i="46" s="1"/>
  <c r="G20" i="46"/>
  <c r="G22" i="46" s="1"/>
  <c r="G41" i="46" s="1"/>
  <c r="D24" i="46"/>
  <c r="A1" i="7"/>
  <c r="E28" i="1" s="1"/>
  <c r="H28" i="1" s="1"/>
  <c r="C35" i="46"/>
  <c r="E24" i="46" l="1"/>
  <c r="A1" i="34"/>
  <c r="E22" i="1" s="1"/>
  <c r="H22" i="1" s="1"/>
  <c r="H35" i="46"/>
  <c r="F24" i="46"/>
  <c r="C24" i="46"/>
  <c r="K22" i="46"/>
  <c r="M2" i="46" s="1"/>
  <c r="I17" i="41" s="1"/>
  <c r="J17" i="41" s="1"/>
  <c r="E38" i="41" s="1"/>
  <c r="A1" i="46"/>
  <c r="G24" i="46"/>
  <c r="AA1" i="7"/>
  <c r="I21" i="41" s="1"/>
  <c r="J21" i="41" s="1"/>
  <c r="E40" i="41" s="1"/>
  <c r="K19" i="46"/>
  <c r="K17" i="46"/>
  <c r="K1" i="34" l="1"/>
  <c r="M1" i="46"/>
  <c r="I16" i="41" s="1"/>
  <c r="J16" i="41" s="1"/>
  <c r="E37" i="41" s="1"/>
  <c r="E36" i="41" l="1"/>
  <c r="E29" i="41" s="1"/>
</calcChain>
</file>

<file path=xl/comments1.xml><?xml version="1.0" encoding="utf-8"?>
<comments xmlns="http://schemas.openxmlformats.org/spreadsheetml/2006/main">
  <authors>
    <author>Author</author>
  </authors>
  <commentList>
    <comment ref="M16" authorId="0">
      <text>
        <r>
          <rPr>
            <b/>
            <sz val="8"/>
            <color indexed="81"/>
            <rFont val="Tahoma"/>
            <family val="2"/>
          </rPr>
          <t>Note:</t>
        </r>
        <r>
          <rPr>
            <sz val="8"/>
            <color indexed="81"/>
            <rFont val="Tahoma"/>
            <family val="2"/>
          </rPr>
          <t xml:space="preserve">
This is what the cost to the patient (at the PUBLISHED price) would be for a standard course of treatment (episodic treatments or chemotherapy course) or a year of therapy (chronic diseases) if the medicine was not subsidised on the PBS.</t>
        </r>
      </text>
    </comment>
    <comment ref="M17" authorId="0">
      <text>
        <r>
          <rPr>
            <b/>
            <sz val="8"/>
            <color indexed="81"/>
            <rFont val="Tahoma"/>
            <family val="2"/>
          </rPr>
          <t>Note:</t>
        </r>
        <r>
          <rPr>
            <sz val="8"/>
            <color indexed="81"/>
            <rFont val="Tahoma"/>
            <family val="2"/>
          </rPr>
          <t xml:space="preserve">
This is what the cost to the patient (at the EFFECTIVE price) would be for a standard course of treatment (episodic treatments or chemotherapy course) or a year of therapy (chronic diseases) if the medicine was not subsidised on the PBS.</t>
        </r>
      </text>
    </comment>
    <comment ref="H18" authorId="0">
      <text>
        <r>
          <rPr>
            <b/>
            <sz val="8"/>
            <color indexed="81"/>
            <rFont val="Tahoma"/>
            <family val="2"/>
          </rPr>
          <t>Note:</t>
        </r>
        <r>
          <rPr>
            <sz val="8"/>
            <color indexed="81"/>
            <rFont val="Tahoma"/>
            <family val="2"/>
          </rPr>
          <t xml:space="preserve">
If the DVA population is not explicitly projected in the model then the declining population </t>
        </r>
        <r>
          <rPr>
            <b/>
            <sz val="8"/>
            <color indexed="81"/>
            <rFont val="Tahoma"/>
            <family val="2"/>
          </rPr>
          <t>SHOULD</t>
        </r>
        <r>
          <rPr>
            <sz val="8"/>
            <color indexed="81"/>
            <rFont val="Tahoma"/>
            <family val="2"/>
          </rPr>
          <t xml:space="preserve"> be used.
If the DVA population is explicitly projected in the model then the declining population </t>
        </r>
        <r>
          <rPr>
            <b/>
            <sz val="8"/>
            <color indexed="81"/>
            <rFont val="Tahoma"/>
            <family val="2"/>
          </rPr>
          <t>SHOULD NOT</t>
        </r>
        <r>
          <rPr>
            <sz val="8"/>
            <color indexed="81"/>
            <rFont val="Tahoma"/>
            <family val="2"/>
          </rPr>
          <t xml:space="preserve"> be used.</t>
        </r>
      </text>
    </comment>
    <comment ref="E404" authorId="0">
      <text>
        <r>
          <rPr>
            <b/>
            <sz val="8"/>
            <color indexed="81"/>
            <rFont val="Tahoma"/>
            <family val="2"/>
          </rPr>
          <t>Note:</t>
        </r>
        <r>
          <rPr>
            <sz val="8"/>
            <color indexed="81"/>
            <rFont val="Tahoma"/>
            <family val="2"/>
          </rPr>
          <t xml:space="preserve">
Source of data e.g. Patients and Costs worksheet - row 44.</t>
        </r>
      </text>
    </comment>
    <comment ref="I404" authorId="0">
      <text>
        <r>
          <rPr>
            <b/>
            <sz val="8"/>
            <color indexed="81"/>
            <rFont val="Tahoma"/>
            <family val="2"/>
          </rPr>
          <t>Note:</t>
        </r>
        <r>
          <rPr>
            <sz val="8"/>
            <color indexed="81"/>
            <rFont val="Tahoma"/>
            <family val="2"/>
          </rPr>
          <t xml:space="preserve">
This is the cost to the patient for a standard course of treatment (episodic treatments or chemotherapy course) or a year of therapy (chronic diseases).</t>
        </r>
      </text>
    </comment>
    <comment ref="E406" authorId="0">
      <text>
        <r>
          <rPr>
            <b/>
            <sz val="8"/>
            <color indexed="81"/>
            <rFont val="Tahoma"/>
            <family val="2"/>
          </rPr>
          <t>Note:</t>
        </r>
        <r>
          <rPr>
            <sz val="8"/>
            <color indexed="81"/>
            <rFont val="Tahoma"/>
            <family val="2"/>
          </rPr>
          <t xml:space="preserve">
Explanation of the method of calculating the cost to a patient per year or course of treatment e.g. 365.25 / 28 x DPMQ.</t>
        </r>
      </text>
    </comment>
  </commentList>
</comments>
</file>

<file path=xl/sharedStrings.xml><?xml version="1.0" encoding="utf-8"?>
<sst xmlns="http://schemas.openxmlformats.org/spreadsheetml/2006/main" count="3767" uniqueCount="1027">
  <si>
    <t>PBS</t>
  </si>
  <si>
    <t>RPBS</t>
  </si>
  <si>
    <t>Introduction</t>
  </si>
  <si>
    <t>Guidance</t>
  </si>
  <si>
    <t>Cells</t>
  </si>
  <si>
    <t>Data</t>
  </si>
  <si>
    <t>Extra sheets added</t>
  </si>
  <si>
    <t>Major</t>
  </si>
  <si>
    <t>Minor</t>
  </si>
  <si>
    <t>Yes</t>
  </si>
  <si>
    <t>No</t>
  </si>
  <si>
    <t>Number of patients</t>
  </si>
  <si>
    <t>Output cells</t>
  </si>
  <si>
    <t>Table of contents</t>
  </si>
  <si>
    <t>Data source</t>
  </si>
  <si>
    <t>Relevance to Australian setting</t>
  </si>
  <si>
    <t>Category of data</t>
  </si>
  <si>
    <t>Link to worksheet</t>
  </si>
  <si>
    <t>Data summary #1</t>
  </si>
  <si>
    <t>Data summary #2</t>
  </si>
  <si>
    <t>Data summary #3</t>
  </si>
  <si>
    <t>Data summary #4</t>
  </si>
  <si>
    <t>Data summary #5</t>
  </si>
  <si>
    <t>Data summary #6</t>
  </si>
  <si>
    <t>Please outline all data used and calculations in the space below.</t>
  </si>
  <si>
    <t>Please outline all methods and assumptions used to estimate the net changes in the space below.</t>
  </si>
  <si>
    <t>Copies of data</t>
  </si>
  <si>
    <t>Estimated annual rate of growth</t>
  </si>
  <si>
    <t>3. Methods and assumptions</t>
  </si>
  <si>
    <t>The following table summarises the results of your estimate.</t>
  </si>
  <si>
    <t>Make sure to include all calculations performed, including methods and assumptions used, in the space provided in each spreadsheet.</t>
  </si>
  <si>
    <t>When entering prices, use constant values, do not use a discount rate and assume a zero inflation rate.</t>
  </si>
  <si>
    <t>Description and purpose of data</t>
  </si>
  <si>
    <t>Utilisation and Cost Model Workbook</t>
  </si>
  <si>
    <t>Proportion applicable to indication</t>
  </si>
  <si>
    <t>Proportion of public hospital use</t>
  </si>
  <si>
    <t>ATC code - Level 1</t>
  </si>
  <si>
    <t>ATC code - Level 2</t>
  </si>
  <si>
    <t>ATC code - Level 3</t>
  </si>
  <si>
    <t>ATC code - Level 4</t>
  </si>
  <si>
    <t>ATC code - Level 5</t>
  </si>
  <si>
    <t>Unrestricted</t>
  </si>
  <si>
    <t>Restricted</t>
  </si>
  <si>
    <t>AR - Streamlined</t>
  </si>
  <si>
    <t>AR - Telephone</t>
  </si>
  <si>
    <t>Financial Impact</t>
  </si>
  <si>
    <t>PBS impact:</t>
  </si>
  <si>
    <t>Nil</t>
  </si>
  <si>
    <t>RPBS impact:</t>
  </si>
  <si>
    <t>Programme</t>
  </si>
  <si>
    <t>Submission</t>
  </si>
  <si>
    <t>Switch</t>
  </si>
  <si>
    <t>Population</t>
  </si>
  <si>
    <t>Epidemiology</t>
  </si>
  <si>
    <t>Market share</t>
  </si>
  <si>
    <t>Other</t>
  </si>
  <si>
    <t>Mixed model</t>
  </si>
  <si>
    <t>Treatment phase</t>
  </si>
  <si>
    <t>Listing</t>
  </si>
  <si>
    <t>Calculation</t>
  </si>
  <si>
    <t>Initial</t>
  </si>
  <si>
    <t>New</t>
  </si>
  <si>
    <t>Annual</t>
  </si>
  <si>
    <t>Continuing</t>
  </si>
  <si>
    <t>Amended</t>
  </si>
  <si>
    <t>Course of treatment</t>
  </si>
  <si>
    <t>Extended</t>
  </si>
  <si>
    <t>Analysis</t>
  </si>
  <si>
    <t>High cost</t>
  </si>
  <si>
    <t>Cost</t>
  </si>
  <si>
    <t>Cost-effectiveness</t>
  </si>
  <si>
    <t>Minor cost</t>
  </si>
  <si>
    <t>Save</t>
  </si>
  <si>
    <t>Cost-minimisation</t>
  </si>
  <si>
    <t>Minor save</t>
  </si>
  <si>
    <t>High save</t>
  </si>
  <si>
    <t>Total</t>
  </si>
  <si>
    <t>Co-payment</t>
  </si>
  <si>
    <t>Proportion of private hospital use</t>
  </si>
  <si>
    <t>Proportion of out-patient services</t>
  </si>
  <si>
    <t>Volume of services</t>
  </si>
  <si>
    <t>Volume of private services</t>
  </si>
  <si>
    <t>Volume of public services</t>
  </si>
  <si>
    <t>Volume of in-patient services</t>
  </si>
  <si>
    <t>Volume of out-patient services</t>
  </si>
  <si>
    <t>General Information</t>
  </si>
  <si>
    <t xml:space="preserve">For all sources of data used in this workbook, please provide details of the data in the following table.  </t>
  </si>
  <si>
    <t>Please do not link any data in additional spreadsheets to other spreadsheets in the workbook.</t>
  </si>
  <si>
    <t>1. Overview</t>
  </si>
  <si>
    <t>Estimate the net change in the number of each type of affected MBS Item.</t>
  </si>
  <si>
    <t>Form, strength and pack size</t>
  </si>
  <si>
    <t>Special</t>
  </si>
  <si>
    <t>2017 March</t>
  </si>
  <si>
    <t>2017 July</t>
  </si>
  <si>
    <t>2017 November</t>
  </si>
  <si>
    <t>2018 November</t>
  </si>
  <si>
    <t>2018 March</t>
  </si>
  <si>
    <t>2018 July</t>
  </si>
  <si>
    <t>2019 November</t>
  </si>
  <si>
    <t>2019 March</t>
  </si>
  <si>
    <t>2019 July</t>
  </si>
  <si>
    <t>2020 March</t>
  </si>
  <si>
    <t>2020 July</t>
  </si>
  <si>
    <t>2020 November</t>
  </si>
  <si>
    <t>Cost to PBS</t>
  </si>
  <si>
    <t>Cost to RPBS</t>
  </si>
  <si>
    <t>Net cost to PBS</t>
  </si>
  <si>
    <t>Net cost to RPBS</t>
  </si>
  <si>
    <t>Eligible patients (#)</t>
  </si>
  <si>
    <t>Patients electing treatment (%)</t>
  </si>
  <si>
    <t>Prevalent population</t>
  </si>
  <si>
    <t>First year</t>
  </si>
  <si>
    <t>General - Ordinary Services</t>
  </si>
  <si>
    <t>General - Safety Net Services</t>
  </si>
  <si>
    <t>Concessional - Ordinary Services</t>
  </si>
  <si>
    <t>Concessional - Free Services</t>
  </si>
  <si>
    <t>RPBS - Ordinary Services</t>
  </si>
  <si>
    <t>RPBS - Safety Net Services</t>
  </si>
  <si>
    <t>Total Services</t>
  </si>
  <si>
    <t>Total PBS</t>
  </si>
  <si>
    <t>Total RPBS</t>
  </si>
  <si>
    <t>RPBS Services</t>
  </si>
  <si>
    <t>PBS Services</t>
  </si>
  <si>
    <t>PBS %</t>
  </si>
  <si>
    <t>RPBS %</t>
  </si>
  <si>
    <t>Net effect - PBS</t>
  </si>
  <si>
    <t>Net effect - RPBS</t>
  </si>
  <si>
    <t>Item code</t>
  </si>
  <si>
    <t>Form / Strength</t>
  </si>
  <si>
    <t>Less co-payments</t>
  </si>
  <si>
    <t>AEMP</t>
  </si>
  <si>
    <t>Patient source</t>
  </si>
  <si>
    <t xml:space="preserve">Estimated script volume </t>
  </si>
  <si>
    <t>Epidemology</t>
  </si>
  <si>
    <t>Incidence Rate (%)</t>
  </si>
  <si>
    <t>Incidence X:100,000</t>
  </si>
  <si>
    <t>Incidence (#)</t>
  </si>
  <si>
    <t>Pack size</t>
  </si>
  <si>
    <t>Authority</t>
  </si>
  <si>
    <t>Authority type</t>
  </si>
  <si>
    <t>PBS scripts</t>
  </si>
  <si>
    <t>RPBS scripts</t>
  </si>
  <si>
    <t>PBS authorities</t>
  </si>
  <si>
    <t>RPBS authorities</t>
  </si>
  <si>
    <t>Number of services per patient per year</t>
  </si>
  <si>
    <t>Number of services per script</t>
  </si>
  <si>
    <t>Volume of private in-patient</t>
  </si>
  <si>
    <t>Volume of private out-patient</t>
  </si>
  <si>
    <t>Volume of public in-patient</t>
  </si>
  <si>
    <t>Volume of public out-patient</t>
  </si>
  <si>
    <t>Total scripts</t>
  </si>
  <si>
    <t>% of total</t>
  </si>
  <si>
    <t>Substitution rate</t>
  </si>
  <si>
    <t>Data Sources</t>
  </si>
  <si>
    <t>Disease epidemiological</t>
  </si>
  <si>
    <t>Pharmacoepidemiological</t>
  </si>
  <si>
    <t>Market data</t>
  </si>
  <si>
    <t>Commissioned</t>
  </si>
  <si>
    <t>Net change in PBS</t>
  </si>
  <si>
    <t>Net change in RPBS</t>
  </si>
  <si>
    <t>Authorities</t>
  </si>
  <si>
    <t>Net change in PBS: AR - Streamlined</t>
  </si>
  <si>
    <t>Net change in PBS: AR - Telephone</t>
  </si>
  <si>
    <t>Net change in PBS: AR - Electronic</t>
  </si>
  <si>
    <t>Net change in RPBS: AR - Streamlined</t>
  </si>
  <si>
    <t>Net change in RPBS: AR - Telephone</t>
  </si>
  <si>
    <t>Net change in RPBS: AR - Electronic</t>
  </si>
  <si>
    <t>Basis of delivery</t>
  </si>
  <si>
    <t>Basis of services</t>
  </si>
  <si>
    <t>Per patient</t>
  </si>
  <si>
    <t>Per script</t>
  </si>
  <si>
    <t>Script equivalence</t>
  </si>
  <si>
    <t>MBS:</t>
  </si>
  <si>
    <t>Line by line</t>
  </si>
  <si>
    <t>Price change</t>
  </si>
  <si>
    <t>C</t>
  </si>
  <si>
    <t>S</t>
  </si>
  <si>
    <t>N</t>
  </si>
  <si>
    <t>2021 March</t>
  </si>
  <si>
    <t>2021 July</t>
  </si>
  <si>
    <t>2021 November</t>
  </si>
  <si>
    <t>2022 March</t>
  </si>
  <si>
    <t>2022 July</t>
  </si>
  <si>
    <t>2022 November</t>
  </si>
  <si>
    <t>Reporting</t>
  </si>
  <si>
    <t>Overall - nil:</t>
  </si>
  <si>
    <t>As there are no financial impacts for any portfolio agency, there is no financial impact for the Commonwealth.</t>
  </si>
  <si>
    <t>Price increase:</t>
  </si>
  <si>
    <t>As there is an increased financial impact for the PBS/RPBS and no impact for other portfolio agencies, there is a increased financial impact for the Commonwealth.</t>
  </si>
  <si>
    <t>Additional data</t>
  </si>
  <si>
    <t>Price decrease:</t>
  </si>
  <si>
    <t>As there is a reduced financial impact for the PBS/RPBS and no impact for other portfolio agencies, there is a reduced financial impact for the Commonwealth.</t>
  </si>
  <si>
    <t>Complex</t>
  </si>
  <si>
    <t>PBS - nil:</t>
  </si>
  <si>
    <t>RPBS - nil:</t>
  </si>
  <si>
    <t>As there is no testing or medical imaging associated with this listing, there is no impact on the MBS.</t>
  </si>
  <si>
    <t>GE</t>
  </si>
  <si>
    <t>CA</t>
  </si>
  <si>
    <t>Community Access</t>
  </si>
  <si>
    <t>CT</t>
  </si>
  <si>
    <t>S100 EFC related</t>
  </si>
  <si>
    <t>DB</t>
  </si>
  <si>
    <t>GH</t>
  </si>
  <si>
    <t>S100 Human Growth Hormone</t>
  </si>
  <si>
    <t>HB</t>
  </si>
  <si>
    <t>S100 HSD - Public</t>
  </si>
  <si>
    <t>HS</t>
  </si>
  <si>
    <t>S100 HSD - Private</t>
  </si>
  <si>
    <t>Grandfathered</t>
  </si>
  <si>
    <t>IF</t>
  </si>
  <si>
    <t>S100 IVF/GIFT</t>
  </si>
  <si>
    <t>IN</t>
  </si>
  <si>
    <t>S100 EFC - Private</t>
  </si>
  <si>
    <t>IP</t>
  </si>
  <si>
    <t>S100 EFC - Public</t>
  </si>
  <si>
    <t>MD</t>
  </si>
  <si>
    <t>S100 Opiate Dep</t>
  </si>
  <si>
    <t>Balance of supply</t>
  </si>
  <si>
    <t>Cost Types - General</t>
  </si>
  <si>
    <t>MF</t>
  </si>
  <si>
    <t>S100 Botox</t>
  </si>
  <si>
    <t>PL</t>
  </si>
  <si>
    <t>Palliative Care</t>
  </si>
  <si>
    <t>PQ</t>
  </si>
  <si>
    <t>S100 Para/Quad</t>
  </si>
  <si>
    <t>R1</t>
  </si>
  <si>
    <t>TY</t>
  </si>
  <si>
    <t>S100 EFC - Trastuzumab Priv</t>
  </si>
  <si>
    <t>Cost Types - PBS</t>
  </si>
  <si>
    <t>TZ</t>
  </si>
  <si>
    <t>S100 EFC - Trastuzumab Pub</t>
  </si>
  <si>
    <t>PBAC Meeting</t>
  </si>
  <si>
    <t>MaxQ</t>
  </si>
  <si>
    <t>Incident patients</t>
  </si>
  <si>
    <t>Prevalent patients</t>
  </si>
  <si>
    <t>Include sources for all values, "assumption" is not sufficient, please provide the basis for the assumption</t>
  </si>
  <si>
    <t>Structure of the model</t>
  </si>
  <si>
    <t>Identify the script source</t>
  </si>
  <si>
    <t>Eligibility</t>
  </si>
  <si>
    <t>Messages</t>
  </si>
  <si>
    <t>** NOT USED **</t>
  </si>
  <si>
    <t>Portfolio agencies</t>
  </si>
  <si>
    <t>The price increase associated with this listing results in an increased financial impact for the PBS.</t>
  </si>
  <si>
    <t>The price decrease associated with this listing results in a reduced financial impact for the PBS.</t>
  </si>
  <si>
    <t>The price increase associated with this listing results in an increased financial impact for the RPBS.</t>
  </si>
  <si>
    <t>The price decrease associated with this listing results in a reduced financial impact for the RPBS.</t>
  </si>
  <si>
    <t>Overall eligibility (%)</t>
  </si>
  <si>
    <t>Comparator / clinical trials</t>
  </si>
  <si>
    <t>Economics / SPA / RSA</t>
  </si>
  <si>
    <t>Patients count / costs</t>
  </si>
  <si>
    <t>Outline all steps taken to calculate the estimated number of patients in the space below.</t>
  </si>
  <si>
    <t>Regulatory information</t>
  </si>
  <si>
    <t>Include references to all data used as well as justifications for your approach and be sure to include a source for each line of working.</t>
  </si>
  <si>
    <t>Please complete a separate copy of the following template for each PBS Item Code listed in the table above.</t>
  </si>
  <si>
    <t>Optional cells not used</t>
  </si>
  <si>
    <t>Aggregate volumes</t>
  </si>
  <si>
    <t>PBS script volumes</t>
  </si>
  <si>
    <t>RPBS script volumes</t>
  </si>
  <si>
    <t>PBS treated patients</t>
  </si>
  <si>
    <t>RPBS treated patients</t>
  </si>
  <si>
    <t>PBS current script volumes</t>
  </si>
  <si>
    <t>RPBS current script volumes</t>
  </si>
  <si>
    <t>PBS forecast script volumes</t>
  </si>
  <si>
    <t>RPBS forecast script volumes</t>
  </si>
  <si>
    <t>Overview</t>
  </si>
  <si>
    <t>Estimated total volume of medicine</t>
  </si>
  <si>
    <t>This may include services associated with: eligibility, monitoring, clinical management, AEs or administration of the medicine.</t>
  </si>
  <si>
    <t>Scheduled fee
(100%)</t>
  </si>
  <si>
    <t>The following tables summarises the indicative financial impacts from changes to MBS Items.</t>
  </si>
  <si>
    <t>Indicative costs @ 100% of scheduled fee</t>
  </si>
  <si>
    <t>Calculate the net financial impact of this listing on the PBS and RPBS at both the published and effective prices.</t>
  </si>
  <si>
    <t>1. Summary - published prices</t>
  </si>
  <si>
    <t>New listing</t>
  </si>
  <si>
    <t>Changed listing</t>
  </si>
  <si>
    <t>Persons</t>
  </si>
  <si>
    <t>Age</t>
  </si>
  <si>
    <t>Included ages</t>
  </si>
  <si>
    <t>Male</t>
  </si>
  <si>
    <t>Female</t>
  </si>
  <si>
    <t>Minimum</t>
  </si>
  <si>
    <t>Maximum</t>
  </si>
  <si>
    <t>Scripts</t>
  </si>
  <si>
    <t>Net change in scripts</t>
  </si>
  <si>
    <t>Code</t>
  </si>
  <si>
    <t>EFC</t>
  </si>
  <si>
    <t>Displaced</t>
  </si>
  <si>
    <t>Increase</t>
  </si>
  <si>
    <t>Decrease</t>
  </si>
  <si>
    <t>Expected change</t>
  </si>
  <si>
    <t>Population used</t>
  </si>
  <si>
    <t>TP short</t>
  </si>
  <si>
    <t>TP long</t>
  </si>
  <si>
    <t>Source</t>
  </si>
  <si>
    <t>Worksheet and cell legend</t>
  </si>
  <si>
    <t>Worksheet</t>
  </si>
  <si>
    <t xml:space="preserve">Where necessary, please insert copies of data into this workbook as new spreadsheets after this worksheet. </t>
  </si>
  <si>
    <t>Treatment Phase</t>
  </si>
  <si>
    <t>The following table summarises the total patient population.</t>
  </si>
  <si>
    <t>High cost ($m)</t>
  </si>
  <si>
    <t>Total cost ($m)</t>
  </si>
  <si>
    <t>Impact</t>
  </si>
  <si>
    <t>None</t>
  </si>
  <si>
    <t>Market Impact</t>
  </si>
  <si>
    <t>Adjunctive</t>
  </si>
  <si>
    <t>DoH forecast</t>
  </si>
  <si>
    <t>Data series</t>
  </si>
  <si>
    <t>Epi source</t>
  </si>
  <si>
    <t>ABS</t>
  </si>
  <si>
    <t>AIHW</t>
  </si>
  <si>
    <t>Schedule</t>
  </si>
  <si>
    <t>EFC Listing</t>
  </si>
  <si>
    <t>Non-EFC Listing</t>
  </si>
  <si>
    <t>Authority Type</t>
  </si>
  <si>
    <t>Copays</t>
  </si>
  <si>
    <t>Name</t>
  </si>
  <si>
    <t>One copayment per script</t>
  </si>
  <si>
    <t>Copayment Method</t>
  </si>
  <si>
    <t>Cohort 1</t>
  </si>
  <si>
    <t>Cohort 2</t>
  </si>
  <si>
    <t>Cohort 3</t>
  </si>
  <si>
    <t>Cohort 4</t>
  </si>
  <si>
    <t>Cohort 5</t>
  </si>
  <si>
    <t>Cohort 6</t>
  </si>
  <si>
    <t>A separate workbook should be completed for each indication of the medicine.</t>
  </si>
  <si>
    <t>I</t>
  </si>
  <si>
    <t>IC</t>
  </si>
  <si>
    <t>Tx phase</t>
  </si>
  <si>
    <t>Flow-ons to other medicines</t>
  </si>
  <si>
    <t>Change to listing</t>
  </si>
  <si>
    <t>Item / Medicine</t>
  </si>
  <si>
    <t>Existing listings of this medicine</t>
  </si>
  <si>
    <t>Public</t>
  </si>
  <si>
    <t>Private</t>
  </si>
  <si>
    <t>Include in split</t>
  </si>
  <si>
    <t>Updated: 22/11/2018</t>
  </si>
  <si>
    <t>Millions</t>
  </si>
  <si>
    <t>Growth</t>
  </si>
  <si>
    <t>Compliance %</t>
  </si>
  <si>
    <t>Derived split</t>
  </si>
  <si>
    <t>The following table summarises the financial impacts for the PBS and RPBS at the effective price.</t>
  </si>
  <si>
    <t>The following table summarises the financial impacts for the PBS and RPBS at the published price.</t>
  </si>
  <si>
    <t>The estimated volume changes to each MBS Item will flow through the following tables.</t>
  </si>
  <si>
    <t>MBS Item Number</t>
  </si>
  <si>
    <t>Change Type</t>
  </si>
  <si>
    <t>Delivery Basis</t>
  </si>
  <si>
    <t>Items details</t>
  </si>
  <si>
    <t>MBS Item</t>
  </si>
  <si>
    <t>Impact:</t>
  </si>
  <si>
    <t>Please outline all methods and assumptions used to estimate the changes in the space below.</t>
  </si>
  <si>
    <t>Calculation basis</t>
  </si>
  <si>
    <t>ABS Population</t>
  </si>
  <si>
    <t>Current split</t>
  </si>
  <si>
    <t>Reference values</t>
  </si>
  <si>
    <t>DO NOT EDIT / DELETE</t>
  </si>
  <si>
    <t>Current details</t>
  </si>
  <si>
    <t>New details</t>
  </si>
  <si>
    <t>Comments</t>
  </si>
  <si>
    <t>Existing</t>
  </si>
  <si>
    <t>Required</t>
  </si>
  <si>
    <t>Completed</t>
  </si>
  <si>
    <t>The following tables allow patients to continue into a second year of treatment if required.</t>
  </si>
  <si>
    <t>Done</t>
  </si>
  <si>
    <t>Populations</t>
  </si>
  <si>
    <t>Patients: incident</t>
  </si>
  <si>
    <t>Patients: summary</t>
  </si>
  <si>
    <t>Patients: prevalent</t>
  </si>
  <si>
    <t>ABS1</t>
  </si>
  <si>
    <t>ABS2</t>
  </si>
  <si>
    <t>ABS3</t>
  </si>
  <si>
    <t>ABS4</t>
  </si>
  <si>
    <t>ABS5</t>
  </si>
  <si>
    <t>AIHW1</t>
  </si>
  <si>
    <t>AIHW2</t>
  </si>
  <si>
    <t>AIHW3</t>
  </si>
  <si>
    <t>AIHW4</t>
  </si>
  <si>
    <t>AIHW5</t>
  </si>
  <si>
    <t>Other1</t>
  </si>
  <si>
    <t>Other2</t>
  </si>
  <si>
    <t>Other3</t>
  </si>
  <si>
    <t>Other4</t>
  </si>
  <si>
    <t>Other5</t>
  </si>
  <si>
    <t>Pointer</t>
  </si>
  <si>
    <t>Incident population</t>
  </si>
  <si>
    <t>Increased service volume (PBS)</t>
  </si>
  <si>
    <t>Decreased service volume (PBS)</t>
  </si>
  <si>
    <t>Total MBS service volume (PBS)</t>
  </si>
  <si>
    <t>Patient Populations</t>
  </si>
  <si>
    <t>ABS6</t>
  </si>
  <si>
    <t>ABS7</t>
  </si>
  <si>
    <t>ABS8</t>
  </si>
  <si>
    <t>ABS9</t>
  </si>
  <si>
    <t>ABS10</t>
  </si>
  <si>
    <t>AIHW6</t>
  </si>
  <si>
    <t>AIHW7</t>
  </si>
  <si>
    <t>AIHW8</t>
  </si>
  <si>
    <t>AIHW9</t>
  </si>
  <si>
    <t>AIHW10</t>
  </si>
  <si>
    <t>Other6</t>
  </si>
  <si>
    <t>Other7</t>
  </si>
  <si>
    <t>Other8</t>
  </si>
  <si>
    <t>Other9</t>
  </si>
  <si>
    <t>Other10</t>
  </si>
  <si>
    <t>Notes</t>
  </si>
  <si>
    <t>Patient population count</t>
  </si>
  <si>
    <t>Population split</t>
  </si>
  <si>
    <t>Start year</t>
  </si>
  <si>
    <t>People</t>
  </si>
  <si>
    <t>Doses / period</t>
  </si>
  <si>
    <t>Time units</t>
  </si>
  <si>
    <t>Days</t>
  </si>
  <si>
    <t>Weeks</t>
  </si>
  <si>
    <t>Months</t>
  </si>
  <si>
    <t>Increased cost</t>
  </si>
  <si>
    <t>Decreased cost</t>
  </si>
  <si>
    <t>Net cost</t>
  </si>
  <si>
    <t>Period</t>
  </si>
  <si>
    <t>Duration (periods)</t>
  </si>
  <si>
    <t>All</t>
  </si>
  <si>
    <t>As there is no change to the price or volume of the medicine associated with this listing, there is no financial impact on the PBS.</t>
  </si>
  <si>
    <t>As there no change to the price or volume of the medicine associated with this listing, there is no financial impact on the RPBS.</t>
  </si>
  <si>
    <t>New/adjunctive medicines</t>
  </si>
  <si>
    <t>Incident</t>
  </si>
  <si>
    <t>Prevalent</t>
  </si>
  <si>
    <t>Grand-fathered</t>
  </si>
  <si>
    <t>Totals</t>
  </si>
  <si>
    <t>Treatment Populations</t>
  </si>
  <si>
    <t>IP1</t>
  </si>
  <si>
    <t>IP2</t>
  </si>
  <si>
    <t>IP3</t>
  </si>
  <si>
    <t>IP4</t>
  </si>
  <si>
    <t>IP5</t>
  </si>
  <si>
    <t>IP6</t>
  </si>
  <si>
    <t>IP7</t>
  </si>
  <si>
    <t>IP8</t>
  </si>
  <si>
    <t>IP9</t>
  </si>
  <si>
    <t>IP10</t>
  </si>
  <si>
    <t>PP1</t>
  </si>
  <si>
    <t>PP2</t>
  </si>
  <si>
    <t>PP3</t>
  </si>
  <si>
    <t>PP4</t>
  </si>
  <si>
    <t>PP5</t>
  </si>
  <si>
    <t>PP6</t>
  </si>
  <si>
    <t>PP7</t>
  </si>
  <si>
    <t>PP8</t>
  </si>
  <si>
    <t>PP9</t>
  </si>
  <si>
    <t>PP10</t>
  </si>
  <si>
    <t>GFP1</t>
  </si>
  <si>
    <t>GFP2</t>
  </si>
  <si>
    <t>GFP3</t>
  </si>
  <si>
    <t>GFP4</t>
  </si>
  <si>
    <t>GFP5</t>
  </si>
  <si>
    <t>GFP6</t>
  </si>
  <si>
    <t>GFP7</t>
  </si>
  <si>
    <t>GFP8</t>
  </si>
  <si>
    <t>GFP9</t>
  </si>
  <si>
    <t>GFP10</t>
  </si>
  <si>
    <t>Treatment population count</t>
  </si>
  <si>
    <t>Continuing Treatment Populations</t>
  </si>
  <si>
    <t>TIP</t>
  </si>
  <si>
    <t>TPP</t>
  </si>
  <si>
    <t>TGFP</t>
  </si>
  <si>
    <t>TP</t>
  </si>
  <si>
    <t xml:space="preserve"> </t>
  </si>
  <si>
    <t>Population source</t>
  </si>
  <si>
    <t>Total treated incident patients</t>
  </si>
  <si>
    <t>Total treated prevalent patients</t>
  </si>
  <si>
    <t>Total treated grand-fathered patients</t>
  </si>
  <si>
    <t>Total treated patients</t>
  </si>
  <si>
    <t>Validation</t>
  </si>
  <si>
    <t>Population name</t>
  </si>
  <si>
    <t>Description</t>
  </si>
  <si>
    <t>Please complete the tables below for each PBS Item Code listed in the table above.</t>
  </si>
  <si>
    <t>Change</t>
  </si>
  <si>
    <t>Total patients</t>
  </si>
  <si>
    <t>PBS
co-payment</t>
  </si>
  <si>
    <t>RPBS
co-payment</t>
  </si>
  <si>
    <t>Number of repeats</t>
  </si>
  <si>
    <t>Proportion of
in-patient services</t>
  </si>
  <si>
    <t>This standardised Excel workbook is to be used as part of the Pharmaceutical Benefits Advisory Committee (PBAC) submission process to quantify the use and financial impact of</t>
  </si>
  <si>
    <t>the new medicine in practice. The workbook has been developed in accordance with the PBAC Guidelines and should be completed in accordance with Section 4 of the Guidelines</t>
  </si>
  <si>
    <t>and the User Manual for the Utilisation and Cost Model Workbook.</t>
  </si>
  <si>
    <t>* Increase medicine count to 20 on 2d worksheet</t>
  </si>
  <si>
    <t>* Increase medicine count to 20 on 3a worksheet</t>
  </si>
  <si>
    <t>* Increase medicine count to 20 on 3b worksheet</t>
  </si>
  <si>
    <t>* Increase medicine count to 20 on 3c worksheet</t>
  </si>
  <si>
    <t>* Add CoPayCountNew named range</t>
  </si>
  <si>
    <t>* Add CoPayCountChanged named range</t>
  </si>
  <si>
    <t>* Add DPMQNewPub named range</t>
  </si>
  <si>
    <t>* Modify cost calculation methodology on 3b worksheet</t>
  </si>
  <si>
    <t>* Modify PBSScriptsNew to include the medicine name</t>
  </si>
  <si>
    <t>* Remove script summary from 3b worksheet</t>
  </si>
  <si>
    <t>* Remove script summary from 3c worksheet</t>
  </si>
  <si>
    <t>* Increase medicine count to 20 on 4a worksheet</t>
  </si>
  <si>
    <t>* Increase TxPopOld to 20 elements</t>
  </si>
  <si>
    <t>* Increase TxPopNew to 20 elements</t>
  </si>
  <si>
    <t>* Increase medicine count to 20 in 4b worksheet</t>
  </si>
  <si>
    <t>* Remove script summary from 4b worksheet</t>
  </si>
  <si>
    <t>* Increase medicine count to 20 in 4c worksheet</t>
  </si>
  <si>
    <t>* Remove script summary from 4c worksheet</t>
  </si>
  <si>
    <t>* Increase medicine count to 20 in 6 worksheet</t>
  </si>
  <si>
    <t>* Modify 5 worksheet to hide Effective price section if no SPA</t>
  </si>
  <si>
    <t>Change Log</t>
  </si>
  <si>
    <t>* Corrected linking error in 2a and 2b worksheets in relation to last row percentage</t>
  </si>
  <si>
    <t>* Corrected count error in 4a worksheet which would ignore the first listed medicine</t>
  </si>
  <si>
    <t>* Corrected sign error in 7 worksheet when calculating item decreases based on script volumes</t>
  </si>
  <si>
    <t>* Corrected Section 1 conditional formating in 3a worksheet</t>
  </si>
  <si>
    <t>* Added Item code to Section 1 - epidemiology in 4a worksheet</t>
  </si>
  <si>
    <t>* Corrected conditional formating in Section 1 - epidemiology in 4a worksheet</t>
  </si>
  <si>
    <t>* Added warning message for overwriting script displacement market share vs 2d market in 4a worksheet</t>
  </si>
  <si>
    <t>* Added warning message for overwriting script displacement epidemiology vs market share in 4a worksheet</t>
  </si>
  <si>
    <t>* Add prevalent population from prior year diagnosis</t>
  </si>
  <si>
    <t>Incidence</t>
  </si>
  <si>
    <t>Rate</t>
  </si>
  <si>
    <t>per</t>
  </si>
  <si>
    <t>* Modify 8 worksheet to include incidence rate if required</t>
  </si>
  <si>
    <t>* Modify 6 worksheet to remove reliance on 3b worksheet</t>
  </si>
  <si>
    <t>* Modify 6 worksheet to remove redundant treatment phase column</t>
  </si>
  <si>
    <t>* Modify 6 worksheet to simplify authority calculation</t>
  </si>
  <si>
    <t>Count</t>
  </si>
  <si>
    <t>* Cell formatting changes</t>
  </si>
  <si>
    <t>* Modify 3a worksheet</t>
  </si>
  <si>
    <t>* Modify 8 worksheet to include 2029 and 2030 data</t>
  </si>
  <si>
    <t>Persistence</t>
  </si>
  <si>
    <t>Cohort 7</t>
  </si>
  <si>
    <t>Cohort 8</t>
  </si>
  <si>
    <t>Cohort 9</t>
  </si>
  <si>
    <t>Cohort 10</t>
  </si>
  <si>
    <t>Cohort 11</t>
  </si>
  <si>
    <t>Cohort 12</t>
  </si>
  <si>
    <t>Indication</t>
  </si>
  <si>
    <t>12. Copies of data</t>
  </si>
  <si>
    <t>PrevPop1</t>
  </si>
  <si>
    <t>PrevPop2</t>
  </si>
  <si>
    <t>PrevPop3</t>
  </si>
  <si>
    <t>PrevPop4</t>
  </si>
  <si>
    <t>PrevPop5</t>
  </si>
  <si>
    <t>* Modify PxPopNumbers to include prevalent population</t>
  </si>
  <si>
    <t>* Modify PxPopNames to include prevalent population</t>
  </si>
  <si>
    <t>* Modify PxPopValid to include prevalent population</t>
  </si>
  <si>
    <t>* Modify EpiSource to include prevalent population</t>
  </si>
  <si>
    <t>* Modify EpiSourceCode to include prevalent population</t>
  </si>
  <si>
    <t>Prevalent pool</t>
  </si>
  <si>
    <t>* Modify 2a worksheet to prevent #VALUE error when no population is selected</t>
  </si>
  <si>
    <t>* Modify 2a worksheet to remove () in titles if no description is entered for a population</t>
  </si>
  <si>
    <t>* Modify 2b worksheet to prevent #VALUE error when no population is selected</t>
  </si>
  <si>
    <t>* Modify 2b worksheet to remove () in titles if no description is entered for a population</t>
  </si>
  <si>
    <t>* Modify 2c worksheet to prevent #VALUE error when no population is selected</t>
  </si>
  <si>
    <t>* Modify 2c worksheet to remove () in titles if no description is entered for a population</t>
  </si>
  <si>
    <t>* Modify 2a worksheet to show warning message if prevalent pool used for incident population</t>
  </si>
  <si>
    <t>Changes since v8.4</t>
  </si>
  <si>
    <t>Changes since v8.3</t>
  </si>
  <si>
    <t>Changes since v8.2</t>
  </si>
  <si>
    <t>Changes since v8.1</t>
  </si>
  <si>
    <t>Changes since v8.0</t>
  </si>
  <si>
    <t>Changes since v7.9</t>
  </si>
  <si>
    <t>Changes since v7.8</t>
  </si>
  <si>
    <t>Changes since v7.7</t>
  </si>
  <si>
    <t>Worksheet Version</t>
  </si>
  <si>
    <t>* Modify 3a worksheet to prevent #VALUE error when no population selected</t>
  </si>
  <si>
    <t>* Modify 4a worksheet to prevent #VALUE error when no population selected</t>
  </si>
  <si>
    <t>Changes since v8.5</t>
  </si>
  <si>
    <t>* Modify worksheet 2f to correct population names in title rows</t>
  </si>
  <si>
    <t>Changes since v8.6</t>
  </si>
  <si>
    <t>* Modify worksheet 4a to correct section titles</t>
  </si>
  <si>
    <t>* Modify worksheet 4a to correctly identify related worksheets in guidance notes</t>
  </si>
  <si>
    <t>* Modify NamesChanged to increase to 20 medicines</t>
  </si>
  <si>
    <t>* Modify worksheet 2d to change column order for Item Code and Treatment phase</t>
  </si>
  <si>
    <t>* Modify worksheet 4a to include Treatment Phase in section 3 - market source</t>
  </si>
  <si>
    <t>* Modify worksheet 4a to reorder sections to match worksheet order - epi then market share</t>
  </si>
  <si>
    <t>* Modify worksheet 4a to correct conditional formatting in section 3</t>
  </si>
  <si>
    <t>* Modify PBSScriptsOld to point to worksheet 2a</t>
  </si>
  <si>
    <t>* Modify RPBSScriptsOld to point to worksheet 2a</t>
  </si>
  <si>
    <t>* Modify worksheet 4a to correct linkages for market share elements</t>
  </si>
  <si>
    <t>* Modify worksheet 4a to increased medicine count to 20</t>
  </si>
  <si>
    <t>All patients</t>
  </si>
  <si>
    <t>* Modify worksheet 4a to correct count in C153 to include all rows</t>
  </si>
  <si>
    <t>* Modify worksheet 4a to correct Not Used Indicator in I155</t>
  </si>
  <si>
    <t>* Modify worksheet 4a to correct Not Used Indicator in I127</t>
  </si>
  <si>
    <t>* Modify worksheet 4a to correct Not Used Indicator in I100</t>
  </si>
  <si>
    <t>* Modify worksheet 4a to correct Not Used Indicator in I71</t>
  </si>
  <si>
    <t>* Modify worksheet 4a to correct Not Used Indicator in I42</t>
  </si>
  <si>
    <t>Background</t>
  </si>
  <si>
    <t>Costs</t>
  </si>
  <si>
    <t>Population (epidemiology)</t>
  </si>
  <si>
    <t>Changes since v8.7</t>
  </si>
  <si>
    <t>* Modify worksheet 1 to correct patient source flag</t>
  </si>
  <si>
    <t>* Modify worksheet 7 to allow Section 2.2 medicines to point to worksheet 4a Summary</t>
  </si>
  <si>
    <t>* Modify worksheet 9 to correct linkages for populations</t>
  </si>
  <si>
    <t>* Modify worksheet 9 to allow overall populations to be entered directly</t>
  </si>
  <si>
    <t>* Modify worksheet 8 to correct linkages for populations</t>
  </si>
  <si>
    <t>* Modify worksheet 8 to improve population descriptions</t>
  </si>
  <si>
    <t>* Modify worksheet 10 to improve population descriptions</t>
  </si>
  <si>
    <t>* Modify worksheet 4a to correct medicine linkages for Section 3</t>
  </si>
  <si>
    <t>* Modify worksheet 2d to remove medicine names from Section 0 if the worksheet is used to only derive a co-payment calculation</t>
  </si>
  <si>
    <t>Changes since v8.8</t>
  </si>
  <si>
    <t>* Modify worksheet 4a to correct formula error H77-H96</t>
  </si>
  <si>
    <t>Changes since v8.9</t>
  </si>
  <si>
    <t>* Modify worksheet 2d to correct formula error D211 &amp; subsequent rows</t>
  </si>
  <si>
    <t>* Modify worksheet 2d to correct formula error Y71, 72 &amp; Y73 to include additional medicines in total calculations</t>
  </si>
  <si>
    <t>Model inputs</t>
  </si>
  <si>
    <t>Evaluator review</t>
  </si>
  <si>
    <t>DUSC review</t>
  </si>
  <si>
    <t>ESC review</t>
  </si>
  <si>
    <t>Changes since v9.0</t>
  </si>
  <si>
    <t>* Modify worksheet 1 to include model inputs checklist</t>
  </si>
  <si>
    <t>Changes since v9.1</t>
  </si>
  <si>
    <t>* Modify NamesOld named range to point to worksheet 4a summary</t>
  </si>
  <si>
    <t>* Modify NamesOldDDL named range to point to worksheet 4a summary</t>
  </si>
  <si>
    <t>* Modify worksheet 7 to correct negation of decreasing MBS services</t>
  </si>
  <si>
    <t>Cost Drivers - completed by Department of Health</t>
  </si>
  <si>
    <t>PBAC / MSAC outcomes - completed by Department of Health</t>
  </si>
  <si>
    <t>PBAC meeting</t>
  </si>
  <si>
    <t>Brand name</t>
  </si>
  <si>
    <t>Agenda Item</t>
  </si>
  <si>
    <t>First year of listing</t>
  </si>
  <si>
    <t>Submission type</t>
  </si>
  <si>
    <t>PBS impact</t>
  </si>
  <si>
    <t>Published cost</t>
  </si>
  <si>
    <t>RPBS impact</t>
  </si>
  <si>
    <t>Effective cost</t>
  </si>
  <si>
    <t>Declining population</t>
  </si>
  <si>
    <t>MBS impact</t>
  </si>
  <si>
    <t>Complex Authority</t>
  </si>
  <si>
    <t>Reporting Required</t>
  </si>
  <si>
    <t>Flow-ons</t>
  </si>
  <si>
    <t>Net impact</t>
  </si>
  <si>
    <t>PBAC recommendation</t>
  </si>
  <si>
    <t>MSAC recommendation</t>
  </si>
  <si>
    <t>Dosing and administration</t>
  </si>
  <si>
    <t>TGA indication</t>
  </si>
  <si>
    <t>Restriction count</t>
  </si>
  <si>
    <t>Category / Program</t>
  </si>
  <si>
    <t>Listing type</t>
  </si>
  <si>
    <t>Repeats</t>
  </si>
  <si>
    <t>Episodicity</t>
  </si>
  <si>
    <t>Severity</t>
  </si>
  <si>
    <t>Condition</t>
  </si>
  <si>
    <t>Treatment criteria</t>
  </si>
  <si>
    <t>Clinical criteria</t>
  </si>
  <si>
    <t>Population criteria</t>
  </si>
  <si>
    <t>Manner of administration and form</t>
  </si>
  <si>
    <t>Details of existing PBS listings</t>
  </si>
  <si>
    <t>Clinical trials</t>
  </si>
  <si>
    <t>Cost comparator</t>
  </si>
  <si>
    <t>Join existing RSA</t>
  </si>
  <si>
    <t>Source of cost to patient</t>
  </si>
  <si>
    <t>Treatment period</t>
  </si>
  <si>
    <t>Published DPMQ</t>
  </si>
  <si>
    <t>Method of calculation</t>
  </si>
  <si>
    <t>Effective DPMQ</t>
  </si>
  <si>
    <t>Max quantity (units)</t>
  </si>
  <si>
    <t>Max amount (mg)</t>
  </si>
  <si>
    <t>Changes since v9.2</t>
  </si>
  <si>
    <t>* Modify worksheet 1 to make field labels consistent</t>
  </si>
  <si>
    <t>* Modify worksheet 1 to correct validation, moved to column S</t>
  </si>
  <si>
    <t>* Modify worksheet 2d to use 1 Jan 20 co-payments</t>
  </si>
  <si>
    <t>Co-payments</t>
  </si>
  <si>
    <t>G2</t>
  </si>
  <si>
    <t>G1</t>
  </si>
  <si>
    <t>C1</t>
  </si>
  <si>
    <t>C0</t>
  </si>
  <si>
    <t>R0</t>
  </si>
  <si>
    <t>* Modify worksheet 4a to refer to the References worksheet</t>
  </si>
  <si>
    <t>* Modify worksheet 2d to refer to the References worksheet</t>
  </si>
  <si>
    <t>* Modify worksheet References to include co-payments</t>
  </si>
  <si>
    <t>Changes since v9.3</t>
  </si>
  <si>
    <t>* Modify worksheet 8 to correct label error in populations</t>
  </si>
  <si>
    <t>* Modify worksheet 2b to correct prevalent patient labels</t>
  </si>
  <si>
    <t>* Modify worksheet 2c to correct grandfathered patient labels</t>
  </si>
  <si>
    <t>* Modify worksheet 3a to add conditional format to population columns</t>
  </si>
  <si>
    <t>* Modify worksheet 3a to switch the positions of the compliance and pack size columns</t>
  </si>
  <si>
    <t>* Modify worksheet 4b to use the weighted co-payments from worksheet 4a</t>
  </si>
  <si>
    <t>* Modify worksheet 4c to use the weighted co-payments from worksheet 4a</t>
  </si>
  <si>
    <t>* Modify worksheet 4a to include public/private split if a new range of medicines are included</t>
  </si>
  <si>
    <t>* Modify worksheet 4b to use public/private split from worksheet 4a</t>
  </si>
  <si>
    <t>* Modify worksheet 4c to use public/private split from worksheet 4a</t>
  </si>
  <si>
    <t>5. Methods and assumptions</t>
  </si>
  <si>
    <t>Net change in PBS: AR - Written</t>
  </si>
  <si>
    <t>AR - Written</t>
  </si>
  <si>
    <t>Net change in RPBS: AR - Written</t>
  </si>
  <si>
    <t>Please provide details of each of the forms and strengths of the changed medicines</t>
  </si>
  <si>
    <t>* Modify worksheet 7 to correct lookup index for MBSPBSInc and MBSPBSDec</t>
  </si>
  <si>
    <t>Data summary #7</t>
  </si>
  <si>
    <t>Data summary #8</t>
  </si>
  <si>
    <t>Data summary #9</t>
  </si>
  <si>
    <t>Data summary #10</t>
  </si>
  <si>
    <t>Release</t>
  </si>
  <si>
    <t>Version</t>
  </si>
  <si>
    <t>Released</t>
  </si>
  <si>
    <t>* Modify worksheet 0 to include Release number</t>
  </si>
  <si>
    <t>* Modify worksheet Reference to include Release number</t>
  </si>
  <si>
    <t>* Modify worksheet 1 to colour code fields for data entry by DoH</t>
  </si>
  <si>
    <t>* Modify worksheet 1 to add additional model input checklist items</t>
  </si>
  <si>
    <t>Data inputs - DoH</t>
  </si>
  <si>
    <t>PBAC review</t>
  </si>
  <si>
    <t>* Modify worksheet 4a to correct **Not Used** label selection</t>
  </si>
  <si>
    <t>Changes since v9.4</t>
  </si>
  <si>
    <r>
      <t xml:space="preserve">Include all copies of data used as additional spreadsheets after </t>
    </r>
    <r>
      <rPr>
        <b/>
        <sz val="10"/>
        <color indexed="8"/>
        <rFont val="Arial"/>
        <family val="2"/>
      </rPr>
      <t xml:space="preserve">Spreadsheet 12. Copies of data.  </t>
    </r>
    <r>
      <rPr>
        <sz val="10"/>
        <color theme="1"/>
        <rFont val="Arial"/>
        <family val="2"/>
        <scheme val="minor"/>
      </rPr>
      <t>Please do not link any data in additional spreadsheets to other spreadsheets in the workbook.</t>
    </r>
  </si>
  <si>
    <t>Changes since v9.5</t>
  </si>
  <si>
    <t>2023 March</t>
  </si>
  <si>
    <t>2023 July</t>
  </si>
  <si>
    <t>2023 November</t>
  </si>
  <si>
    <t>2024 November</t>
  </si>
  <si>
    <t>2025 November</t>
  </si>
  <si>
    <t>2024 March</t>
  </si>
  <si>
    <t>2024 July</t>
  </si>
  <si>
    <t>2025 March</t>
  </si>
  <si>
    <t>2025 July</t>
  </si>
  <si>
    <t>* Modify worksheet Reference to remove old PBAC Meeting dates</t>
  </si>
  <si>
    <t>Scripts: other medicines affected by this listing</t>
  </si>
  <si>
    <t>If any PBS-listed medicines will be affected by this listing and have not be added to worksheet 2. Patients, please list them here.</t>
  </si>
  <si>
    <t>* Modify worksheet 4a to change "displaced" labels to "affected"</t>
  </si>
  <si>
    <t>Error messages</t>
  </si>
  <si>
    <t>Warning messages</t>
  </si>
  <si>
    <t>IncPrev</t>
  </si>
  <si>
    <t>PrevGF</t>
  </si>
  <si>
    <t>both incident and prevalent patients identified, check for double counting</t>
  </si>
  <si>
    <t>both prevalent and grandfathered patients identified, check for double counting</t>
  </si>
  <si>
    <t>missing or conflicting data</t>
  </si>
  <si>
    <t>MissCon</t>
  </si>
  <si>
    <t>NoMSAC</t>
  </si>
  <si>
    <t xml:space="preserve">Error: </t>
  </si>
  <si>
    <t xml:space="preserve">Warning: </t>
  </si>
  <si>
    <t xml:space="preserve">Confirm: </t>
  </si>
  <si>
    <t xml:space="preserve">Note: </t>
  </si>
  <si>
    <t>not presented to MSAC</t>
  </si>
  <si>
    <t>NoPBAC</t>
  </si>
  <si>
    <t>missing PBAC recommendation</t>
  </si>
  <si>
    <t>missing MSAC recommendation</t>
  </si>
  <si>
    <t>duplicate Initial and Continuing Restrictions Detected</t>
  </si>
  <si>
    <t>DupInCon</t>
  </si>
  <si>
    <t>missing Initial or Continuing Restriction Detected</t>
  </si>
  <si>
    <t>MisInCon</t>
  </si>
  <si>
    <t>NoFlow</t>
  </si>
  <si>
    <t>no flow-ons to other medicines</t>
  </si>
  <si>
    <t>missing flow-on details</t>
  </si>
  <si>
    <t>Changes since v9.6</t>
  </si>
  <si>
    <t>* Modify worksheet 0 to update warning messages</t>
  </si>
  <si>
    <t>* Modify worksheet 1 to update warning messages</t>
  </si>
  <si>
    <t>* Modify worksheet 0 to update confirmation messages</t>
  </si>
  <si>
    <t>** NOT REQUIRED **</t>
  </si>
  <si>
    <t>* Modify worksheet Reference to include ** NOT REQUIRED ** message</t>
  </si>
  <si>
    <t>* Modify all worksheets to distinguish between NOT USED and NOT REQUIRED</t>
  </si>
  <si>
    <t>minor submission - optional</t>
  </si>
  <si>
    <t>patient number derived from population</t>
  </si>
  <si>
    <t>PxPop</t>
  </si>
  <si>
    <t>Patients: grandfathered</t>
  </si>
  <si>
    <t>Template worksheet</t>
  </si>
  <si>
    <t>* Add template worksheet for sponsor use</t>
  </si>
  <si>
    <t>* Modify worksheet 9 to include source for each population</t>
  </si>
  <si>
    <t>* Modify worksheet 10 to include source for each population</t>
  </si>
  <si>
    <t>* Modify worksheet 3b to include total PBS + RPBS</t>
  </si>
  <si>
    <t>* Modify worksheet 3b to update sum in A1</t>
  </si>
  <si>
    <t>* Modify worksheet 3c to include total PBS + RPBS</t>
  </si>
  <si>
    <t>* Modify worksheet 3c to update sum in A1</t>
  </si>
  <si>
    <t>* Modify worksheet 4b to include total PBS + RPBS</t>
  </si>
  <si>
    <t>* Modify worksheet 4b to update sum in A1</t>
  </si>
  <si>
    <t>* Modify worksheet 4c to include total PBS + RPBS</t>
  </si>
  <si>
    <t>* Modify worksheet 4c to update sum in A1</t>
  </si>
  <si>
    <t>Max quantity (packs)</t>
  </si>
  <si>
    <t>* Modify worksheet 1 to update Max qty label to Max quantity</t>
  </si>
  <si>
    <t>Electronic</t>
  </si>
  <si>
    <t>* Modify worksheet Reference to remove Electronic as a restriction type</t>
  </si>
  <si>
    <t>* Modify worksheet 6 to add Electronic as a restriction like EFC</t>
  </si>
  <si>
    <t>* Modify worksheet 6 to improve error checking for incomplete restriction data to prevent #VALUE errors</t>
  </si>
  <si>
    <t>Net prescription and authority processing changes for Services Australia</t>
  </si>
  <si>
    <t>* Modify worksheet 6 to change DHS to Services Australia</t>
  </si>
  <si>
    <t>Estimate the net administration changes for the Services Australia in this spreadsheet.</t>
  </si>
  <si>
    <t>* Modify worksheet 6 to remove EFCListingNew named range</t>
  </si>
  <si>
    <t>* Modify worksheet 6 to remove EFCListingChanged named range</t>
  </si>
  <si>
    <t>* Modify worksheet 6 to add SANew named range</t>
  </si>
  <si>
    <t>* Modify worksheet 6 to add SAChanged named range</t>
  </si>
  <si>
    <t>* Modify worksheet 4c to use SAChanged named range</t>
  </si>
  <si>
    <t>* Modify worksheet 4b to use SAChanged named range</t>
  </si>
  <si>
    <t>* Modify worksheet 3c to use SANew named range</t>
  </si>
  <si>
    <t>* Modify worksheet 3b to use SANew named range</t>
  </si>
  <si>
    <t>* Modify worksheet 6 to use named range for Authority calculations</t>
  </si>
  <si>
    <t>* Modify worksheet 6 to remove Electronic Authority from overall Authority count</t>
  </si>
  <si>
    <t>Restrictions</t>
  </si>
  <si>
    <t>* Modify worksheet 6 to add ComplexAuthCount</t>
  </si>
  <si>
    <t>* Modify worksheet 3a to add RestrictionCount</t>
  </si>
  <si>
    <t>* Modify worksheet 1 to increase restrictions to 20</t>
  </si>
  <si>
    <t>* Modify worksheet 1 to link to restrictions</t>
  </si>
  <si>
    <t>EFC - one copayment per original script</t>
  </si>
  <si>
    <t>Initiating</t>
  </si>
  <si>
    <t>* Modify worksheet 2a to change initial to initiating patients</t>
  </si>
  <si>
    <t>* Modify worksheet 2b to change initial to initiating patients</t>
  </si>
  <si>
    <t>* Modify worksheet 2c to change initial to initiating patients</t>
  </si>
  <si>
    <t>TxPhase Labels</t>
  </si>
  <si>
    <t>Phase1</t>
  </si>
  <si>
    <t>Phase 2</t>
  </si>
  <si>
    <t>the market share and epidemiology script volumes conflict</t>
  </si>
  <si>
    <t>DupScripts</t>
  </si>
  <si>
    <t>Avg annual patients</t>
  </si>
  <si>
    <t>Avg annual patients &amp; source</t>
  </si>
  <si>
    <t>Changes since v9.7</t>
  </si>
  <si>
    <t>SA impact</t>
  </si>
  <si>
    <t>SA:</t>
  </si>
  <si>
    <t>As there is no change in dispensing volumes or the service delivery model associated with this listing, there is no impact on SA.</t>
  </si>
  <si>
    <t>Changes since v9.8</t>
  </si>
  <si>
    <t>* Final clean-up of text labels</t>
  </si>
  <si>
    <t>* Modify worksheet 1 to remove format button</t>
  </si>
  <si>
    <t>* Remove macros</t>
  </si>
  <si>
    <t>* Save Workbook in xlsx format</t>
  </si>
  <si>
    <t>* Modify worksheet 2d to add co-payment band selector</t>
  </si>
  <si>
    <t>* Modify worksheet 2d to calculate up to 5 co-payments</t>
  </si>
  <si>
    <t>* Remove PBSCoPay1 named range</t>
  </si>
  <si>
    <t>* Remove PBSCoPay2 named range</t>
  </si>
  <si>
    <t>* Remove RPBSCoPay1 named range</t>
  </si>
  <si>
    <t>* Remove RPBSCoPay2 named range</t>
  </si>
  <si>
    <t>* Remove PBSSplit1 named range</t>
  </si>
  <si>
    <t>* Remove PBSSplit2 named range</t>
  </si>
  <si>
    <t>* Remove RPBSSplit1 named range</t>
  </si>
  <si>
    <t>* Remove RPBSSplit2 named range</t>
  </si>
  <si>
    <t>Co-pay splits</t>
  </si>
  <si>
    <t>PBS $</t>
  </si>
  <si>
    <t>RPBS $</t>
  </si>
  <si>
    <t>Co-payment group</t>
  </si>
  <si>
    <t>Group 1</t>
  </si>
  <si>
    <t>Group 2</t>
  </si>
  <si>
    <t>Group 3</t>
  </si>
  <si>
    <t>Group 4</t>
  </si>
  <si>
    <t>Group 5</t>
  </si>
  <si>
    <t>Over-ride split</t>
  </si>
  <si>
    <t>Initiating Treatment Populations</t>
  </si>
  <si>
    <t>Tx phase code</t>
  </si>
  <si>
    <t>Tx phase %</t>
  </si>
  <si>
    <t>Tx phase name</t>
  </si>
  <si>
    <t>Co-Payment groups</t>
  </si>
  <si>
    <t>Changes since v9.9</t>
  </si>
  <si>
    <t>* Modify worksheet 7 to use TxPhase labels</t>
  </si>
  <si>
    <t>* Modify worksheet 4a to use TxPhase labels</t>
  </si>
  <si>
    <t>* Modify worksheet 3a to use TxPhase labels</t>
  </si>
  <si>
    <t>* Modify worksheet Reference to add TxPhase1Code</t>
  </si>
  <si>
    <t>* Modify worksheet Reference to add TxPhase2Code</t>
  </si>
  <si>
    <t>* Modify worksheet 2d to use TxPhase labels</t>
  </si>
  <si>
    <t>* Modify worksheet 2d to add co-payment band indicator to detail section</t>
  </si>
  <si>
    <t>Co-pay group</t>
  </si>
  <si>
    <t>* Modify worksheet 3b to link co-payment groups</t>
  </si>
  <si>
    <t>* Modify worksheet 3c to link co-payment groups</t>
  </si>
  <si>
    <t>* Modify worksheet 3b to add co-payment band indicator to detail section</t>
  </si>
  <si>
    <t>* Modify worksheet 3c to add co-payment band indicator to detail section</t>
  </si>
  <si>
    <t>* Modify worksheet 7 to allow link to 20 medicines</t>
  </si>
  <si>
    <t>* Modify worksheet 7 to add co-payment group</t>
  </si>
  <si>
    <t>Calculate the financial impact of the affected medicine using the published price.</t>
  </si>
  <si>
    <t>Calculate the financial impact of the affected medicine using the effective price.</t>
  </si>
  <si>
    <t>CP band</t>
  </si>
  <si>
    <t>* Modify worksheet 2a to add co-payment group</t>
  </si>
  <si>
    <t>* Modify worksheet 2b to add co-payment group</t>
  </si>
  <si>
    <t>* Modify worksheet 2c to add co-payment group</t>
  </si>
  <si>
    <t>* Modify worksheet Reference to add co-payment group to PxTxNumbersInit</t>
  </si>
  <si>
    <t>* Modify worksheet Reference to add co-payment group to PxTxNumbersCont</t>
  </si>
  <si>
    <t>* Modify worksheet Reference to rename PxTxNumbersInit to PxTxPhase1</t>
  </si>
  <si>
    <t>* Modify worksheet Reference to rename PxTxNumbersCont to PxTxPhase2</t>
  </si>
  <si>
    <t>* Modify worksheet 8 to correct error with default age range only selecting individuals of age 0</t>
  </si>
  <si>
    <t>* Modify worksheet 3a to allow selection of old medicines to link to new medicines</t>
  </si>
  <si>
    <t>NoMS</t>
  </si>
  <si>
    <t>NoNew</t>
  </si>
  <si>
    <t>missing new medicine</t>
  </si>
  <si>
    <t>current market split has been used for future years</t>
  </si>
  <si>
    <t>CurrentMs</t>
  </si>
  <si>
    <t>missing existing medicine</t>
  </si>
  <si>
    <t>DupMS</t>
  </si>
  <si>
    <t>duplicate use of existing drug, ensure that market split below is not double counted</t>
  </si>
  <si>
    <t>Persistence rate</t>
  </si>
  <si>
    <t>* Modify worksheet 2c to add persistence rate as per worksheet 11</t>
  </si>
  <si>
    <t>* Modify worksheet 2b to add persistence rate as per worksheet 11</t>
  </si>
  <si>
    <t>* Modify worksheet 2a to add persistence rate as per worksheet 11</t>
  </si>
  <si>
    <t>* Modify worksheet 4a to co-payment group for RPBS split</t>
  </si>
  <si>
    <t>* Modify worksheet 3a to co-payment group for RPBS split</t>
  </si>
  <si>
    <t>PerRate</t>
  </si>
  <si>
    <t>persistance rates used, check population selection</t>
  </si>
  <si>
    <t>* Modify worksheet 2c to add flag when persistence is applied</t>
  </si>
  <si>
    <t>* Modify worksheet 2b to add flag when persistence is applied</t>
  </si>
  <si>
    <t>* Modify worksheet 2a to add flag when persistence is applied</t>
  </si>
  <si>
    <t>prevalent data used for incident population</t>
  </si>
  <si>
    <t>PrevInc</t>
  </si>
  <si>
    <t>BadPop</t>
  </si>
  <si>
    <t>invalid population selected, reselect</t>
  </si>
  <si>
    <t>Grandfathered population</t>
  </si>
  <si>
    <t>Codependent</t>
  </si>
  <si>
    <t>MBS Item Descriptor</t>
  </si>
  <si>
    <t>Medicine / molecule name</t>
  </si>
  <si>
    <t>Medicine / molecule</t>
  </si>
  <si>
    <t>Medicine / Molecule</t>
  </si>
  <si>
    <t>Medicine / Molecule - Existing</t>
  </si>
  <si>
    <t>Medicine</t>
  </si>
  <si>
    <t>Clinical advisory board</t>
  </si>
  <si>
    <t>Data inputs - applicant</t>
  </si>
  <si>
    <t>Scripts: proposed medicine</t>
  </si>
  <si>
    <t xml:space="preserve">Calculate the results for the estimated script volumes for the proposed medicine. Please list all forms and strengths of the proposed medicine included in this listing.  </t>
  </si>
  <si>
    <t>The following table summarises the aggregate volume of the proposed medicine.</t>
  </si>
  <si>
    <t>The following table summarises the aggregate volume of the proposed medicine from the epidemiology source.</t>
  </si>
  <si>
    <t>Please list all forms and strengths of the proposed medicine, and provide the details as specified in the table.</t>
  </si>
  <si>
    <t>Please relate the proposed medicine to the existing market.</t>
  </si>
  <si>
    <t>Please show the script equivalence, compliance rate and proportion for each form and strength of the proposed medicine.</t>
  </si>
  <si>
    <t>Calculate the financial impact of the proposed medicine using the published price.</t>
  </si>
  <si>
    <t>The following tables summarise the net financial impact from the proposed medicine (at the published price).</t>
  </si>
  <si>
    <t>For all forms and strengths of the proposed medicine, please provide the details as specified in the table.</t>
  </si>
  <si>
    <t>Calculate the financial impact of the proposed medicine using the effective price.</t>
  </si>
  <si>
    <t>The following tables summarise the net financial impact from the proposed medicine (at the effective price).</t>
  </si>
  <si>
    <t>Estimate the volume of medicine that will be affected by this listing. Estimate the rate of substitution and the market growth rate over the six years.</t>
  </si>
  <si>
    <t>The following table summarises the aggregate volume of any affected medicines.</t>
  </si>
  <si>
    <t>The following table summarises the aggregate volume of the affected medicine from the epidemiology source.</t>
  </si>
  <si>
    <t>The following tables summarise the net financial impact from any affected medicine (at the published price).</t>
  </si>
  <si>
    <t>For all forms and strengths of the affected medicines, please provide the details as specified in the table.</t>
  </si>
  <si>
    <t>The following tables summarise the net financial impact from any affected medicine (at the effective price).</t>
  </si>
  <si>
    <t>Affected medicine has SPA</t>
  </si>
  <si>
    <t>Proposed listing results in</t>
  </si>
  <si>
    <t>In addition, it can include the number of patients who will access this medicine through a grandfathered arrangement.</t>
  </si>
  <si>
    <t>This worksheet summarised the numbers of patients who will access the proposed medicine. This can be determined through incidence and/or prevalence.</t>
  </si>
  <si>
    <t>Estimate the incident patients who will access the proposed medicine.</t>
  </si>
  <si>
    <t>Outline all steps taken to calculate the estimated numbers of patients in the space below.</t>
  </si>
  <si>
    <t>Identify the numbers of incident patients who would be eligible for the proposed medicine.</t>
  </si>
  <si>
    <t>Identify the numbers of prevalent patients who would be eligible for the proposed medicine.</t>
  </si>
  <si>
    <t>Estimate the prevalent patients who will access the proposed medicine.</t>
  </si>
  <si>
    <t>Identify the numbers of grandfathered patients who would be eligible for the proposed medicine.</t>
  </si>
  <si>
    <t>Estimate the grandfathered patients who will access the proposed medicine.</t>
  </si>
  <si>
    <t>Net effect - PBS / RPBS</t>
  </si>
  <si>
    <t>Net cost PBS / RPBS</t>
  </si>
  <si>
    <t>Comparator (PBS / RPBS)</t>
  </si>
  <si>
    <t>If some of the current grandfathered patients will NOT meet the proposed PBS restriction, please explain why.</t>
  </si>
  <si>
    <t>Patients meeting proposed restriction (#)</t>
  </si>
  <si>
    <t>Proportion affected by proposed medicine</t>
  </si>
  <si>
    <t>Please provide details of each of the forms and strengths of the proposed medicine</t>
  </si>
  <si>
    <t>List all the MBS items that will INCREASE as a result of the listing of the proposed medicine in the table below.</t>
  </si>
  <si>
    <t>Medicine / Molecule - Proposed</t>
  </si>
  <si>
    <t>List all the MBS items that will DECREASE as a result of the substitution of affected medicines in the table below.</t>
  </si>
  <si>
    <t>Medicine / Molecule - Affected</t>
  </si>
  <si>
    <t>Proposed</t>
  </si>
  <si>
    <t>2. Incident patients</t>
  </si>
  <si>
    <t>3. Prevalent patients</t>
  </si>
  <si>
    <t>4. Grandfathered patients</t>
  </si>
  <si>
    <t>3.1 Proportion of patients with the medical condition</t>
  </si>
  <si>
    <t>3.2 Proportion of patients who would be eligible for the requested restriction</t>
  </si>
  <si>
    <t>3.3 Proportion of patients who are likely to elect treatment</t>
  </si>
  <si>
    <t>1. Summary of patients</t>
  </si>
  <si>
    <t>3.1 Proportion of grandfathered patients who will meet the PBS restriction</t>
  </si>
  <si>
    <t>Patients meeting proposed restriction %</t>
  </si>
  <si>
    <t>1. Summary - aggregate scripts</t>
  </si>
  <si>
    <t>3. Estimate the number of scripts</t>
  </si>
  <si>
    <t>4. Methods and assumptions</t>
  </si>
  <si>
    <t>2. Script volumes - epidemiological source</t>
  </si>
  <si>
    <t>4. Identify all forms and strengths of the proposed medicine</t>
  </si>
  <si>
    <t>5. Relate the proposed medicine to the existing market</t>
  </si>
  <si>
    <t>6. Methods and assumptions</t>
  </si>
  <si>
    <t>1. Summary - aggregate financial impact</t>
  </si>
  <si>
    <t>2. Cost of individual forms / strengths</t>
  </si>
  <si>
    <t>2. Total script volumes - epidemiology</t>
  </si>
  <si>
    <t>6. Calculate PBS / RPBS co-payments and public / private split</t>
  </si>
  <si>
    <t>8. Methods and assumptions</t>
  </si>
  <si>
    <t>Please show calculation of the DPMQ/DPMA in the space below.</t>
  </si>
  <si>
    <t>2. Estimate volume INCREASES to the MBS</t>
  </si>
  <si>
    <t>3. Relate the MBS Item to the proposed medicines</t>
  </si>
  <si>
    <t>4. Estimate volume DECREASES to the MBS</t>
  </si>
  <si>
    <t>5. Relate the MBS Item to the affected medicines</t>
  </si>
  <si>
    <t>1. Detail of populations</t>
  </si>
  <si>
    <t>2. ABS Data - People</t>
  </si>
  <si>
    <t>3. ABS Data - Male</t>
  </si>
  <si>
    <t>4. ABS Data - Female</t>
  </si>
  <si>
    <t>The following table summarises the aggregate number of prescriptions of the proposed and other medicines.</t>
  </si>
  <si>
    <t>AR</t>
  </si>
  <si>
    <t>The following table summarises the aggregate number of authorities of the proposed and other medicines.</t>
  </si>
  <si>
    <t>2. Summary - aggregate authorities</t>
  </si>
  <si>
    <t>3. Estimate of new volumes for Services Australia as a result of the listing of the proposed medicine</t>
  </si>
  <si>
    <t>4. Estimate of changed volumes for Services Australia as a result of the listing of the proposed medicine</t>
  </si>
  <si>
    <t>Substitution</t>
  </si>
  <si>
    <t>new medicine will affect a PBS listed medicine - net impact shows interaction of proposed and existing medicines</t>
  </si>
  <si>
    <t>new medicine will NOT affect any PBS listed medicine - net impact shows proposed medicine ONLY</t>
  </si>
  <si>
    <t>Schedule of Pharmaceutical Benefits information</t>
  </si>
  <si>
    <t>General</t>
  </si>
  <si>
    <t>Prescriber's Bag</t>
  </si>
  <si>
    <t>NoExist</t>
  </si>
  <si>
    <t>no exiting PBS listings of this medicine</t>
  </si>
  <si>
    <t>SPA requested</t>
  </si>
  <si>
    <t>RSA requested</t>
  </si>
  <si>
    <t>Economic analysis</t>
  </si>
  <si>
    <t>PBS indication</t>
  </si>
  <si>
    <t>MBS rebate rate</t>
  </si>
  <si>
    <t>Rebate rate</t>
  </si>
  <si>
    <t>2. Patients</t>
  </si>
  <si>
    <t>2a. Patients - incident</t>
  </si>
  <si>
    <t>2b. Patients - prevalent</t>
  </si>
  <si>
    <t>2c. Patients - grandfathered</t>
  </si>
  <si>
    <t>2d. Scripts - market</t>
  </si>
  <si>
    <t>3a. Scripts - proposed</t>
  </si>
  <si>
    <t>3b. Impact - proposed (Published price)</t>
  </si>
  <si>
    <t>3c. Impact - proposed (Effective price)</t>
  </si>
  <si>
    <t>4a. Scripts - affected</t>
  </si>
  <si>
    <t>4b. Impact - affected (Published price)</t>
  </si>
  <si>
    <t>4c. Impact - affected (Effective price)</t>
  </si>
  <si>
    <t>5. Impact - net</t>
  </si>
  <si>
    <t>6. Net changes - SA</t>
  </si>
  <si>
    <t xml:space="preserve">7. Net changes - MBS </t>
  </si>
  <si>
    <t>8. ABS population</t>
  </si>
  <si>
    <t>9. AIHW population</t>
  </si>
  <si>
    <t>10. Registry population</t>
  </si>
  <si>
    <t>11. Prevalent population</t>
  </si>
  <si>
    <t>2. Detail of incident patients</t>
  </si>
  <si>
    <t>2. Detail of prevalent patients</t>
  </si>
  <si>
    <t>2. Detail of grandfathered patients</t>
  </si>
  <si>
    <t>3. Script volumes - market-share source</t>
  </si>
  <si>
    <t>3. Identify the costs for all forms / strengths of the proposed medicine</t>
  </si>
  <si>
    <t>3. Total script volumes - market-share</t>
  </si>
  <si>
    <t>4. Identify all forms / strengths of affected medicine - epidemiology</t>
  </si>
  <si>
    <t>5. Identify all forms / strengths of the affected medicine - market-share</t>
  </si>
  <si>
    <t>3. Identify the costs for all forms / strengths of the affected medicines</t>
  </si>
  <si>
    <t>Scripts: market-share</t>
  </si>
  <si>
    <t>Grandfathered patients</t>
  </si>
  <si>
    <t>Market-share impact</t>
  </si>
  <si>
    <t>This spreadsheet has been prepared for use with both an epidemiological and a market-share approach.  For additional guidance, please consult Section 4 of the PBAC Guidelines.</t>
  </si>
  <si>
    <t>The following table summarises the aggregate volume of the proposed medicine from the market-share source.</t>
  </si>
  <si>
    <t>The medicines listed on this worksheet are in ADDITION to any market-share changes included on worksheet 2b. Scripts - market</t>
  </si>
  <si>
    <t>The following table summarises the aggregate volume of the affected medicine from the market-share source.</t>
  </si>
  <si>
    <t>7. Estimated number of units affected - market-share</t>
  </si>
  <si>
    <t>Applicant company</t>
  </si>
  <si>
    <t>Max quantity
Max amount</t>
  </si>
  <si>
    <t>ABS population - 3222.0 Series B</t>
  </si>
  <si>
    <t>AIHW population</t>
  </si>
  <si>
    <t>Registry or other population</t>
  </si>
  <si>
    <t>Impact: proposed medicine (published price)</t>
  </si>
  <si>
    <t>Impact: proposed medicine (effective price)</t>
  </si>
  <si>
    <t>Impact: affected medicines (published price)</t>
  </si>
  <si>
    <t>Impact: net PBS / RPBS (published / effective price)</t>
  </si>
  <si>
    <t>Net changes to the Medicare Benefits Schedule</t>
  </si>
  <si>
    <t>Impact: affected medicines (effective price)</t>
  </si>
  <si>
    <t>AR - Electronic</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</si>
</sst>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8" formatCode="&quot;$&quot;#,##0.00;[Red]\-&quot;$&quot;#,##0.00"/>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_-;\-* #,##0_-;_-* &quot;-&quot;??_-;_-@_-"/>
    <numFmt numFmtId="171" formatCode="#,##0_ ;[Red]\-#,##0\ "/>
    <numFmt numFmtId="172" formatCode="#,##0.00_ ;[Red]\-#,##0.00\ "/>
    <numFmt numFmtId="173" formatCode="0.0%"/>
    <numFmt numFmtId="174" formatCode="mmm\-yyyy"/>
    <numFmt numFmtId="175" formatCode="0;\-0;0;@"/>
    <numFmt numFmtId="176" formatCode="#,##0_ ;\-#,##0\ "/>
    <numFmt numFmtId="177" formatCode="&quot;$&quot;#,##0.000;[Red]\-&quot;$&quot;#,##0.000"/>
    <numFmt numFmtId="178" formatCode="0.0"/>
    <numFmt numFmtId="179" formatCode="0.000%"/>
    <numFmt numFmtId="180" formatCode="0.000000"/>
    <numFmt numFmtId="181" formatCode="&quot;$&quot;#,##0.00"/>
  </numFmts>
  <fonts count="82" x14ac:knownFonts="1">
    <font>
      <sz val="10"/>
      <color theme="1"/>
      <name val="Arial"/>
      <family val="2"/>
      <scheme val="minor"/>
    </font>
    <font>
      <sz val="10"/>
      <color theme="1"/>
      <name val="Arial"/>
      <family val="2"/>
    </font>
    <font>
      <sz val="10"/>
      <color theme="1"/>
      <name val="Arial"/>
      <family val="2"/>
    </font>
    <font>
      <b/>
      <sz val="10"/>
      <color indexed="8"/>
      <name val="Arial"/>
      <family val="2"/>
    </font>
    <font>
      <sz val="8"/>
      <name val="Arial"/>
      <family val="2"/>
    </font>
    <font>
      <sz val="10"/>
      <name val="Arial"/>
      <family val="2"/>
    </font>
    <font>
      <b/>
      <sz val="10"/>
      <name val="Arial"/>
      <family val="2"/>
    </font>
    <font>
      <b/>
      <sz val="8"/>
      <color indexed="81"/>
      <name val="Tahoma"/>
      <family val="2"/>
    </font>
    <font>
      <sz val="8"/>
      <color indexed="81"/>
      <name val="Tahoma"/>
      <family val="2"/>
    </font>
    <font>
      <sz val="10"/>
      <color indexed="63"/>
      <name val="Arial"/>
      <family val="2"/>
    </font>
    <font>
      <b/>
      <sz val="10"/>
      <color indexed="63"/>
      <name val="Arial"/>
      <family val="2"/>
    </font>
    <font>
      <sz val="10"/>
      <color theme="1"/>
      <name val="Arial"/>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0"/>
      <color theme="11"/>
      <name val="Arial"/>
      <family val="2"/>
      <scheme val="minor"/>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scheme val="minor"/>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Arial"/>
      <family val="2"/>
      <scheme val="major"/>
    </font>
    <font>
      <b/>
      <sz val="10"/>
      <color theme="1"/>
      <name val="Arial"/>
      <family val="2"/>
    </font>
    <font>
      <sz val="10"/>
      <color rgb="FFFF0000"/>
      <name val="Arial"/>
      <family val="2"/>
    </font>
    <font>
      <sz val="11"/>
      <color theme="0"/>
      <name val="Arial"/>
      <family val="2"/>
      <scheme val="minor"/>
    </font>
    <font>
      <b/>
      <sz val="10"/>
      <color theme="1"/>
      <name val="Arial"/>
      <family val="2"/>
      <scheme val="minor"/>
    </font>
    <font>
      <u/>
      <sz val="12"/>
      <color theme="1"/>
      <name val="Arial"/>
      <family val="2"/>
      <scheme val="minor"/>
    </font>
    <font>
      <b/>
      <sz val="10"/>
      <color rgb="FFFF0000"/>
      <name val="Arial"/>
      <family val="2"/>
      <scheme val="minor"/>
    </font>
    <font>
      <b/>
      <sz val="10"/>
      <color theme="3" tint="-0.249977111117893"/>
      <name val="Arial"/>
      <family val="2"/>
    </font>
    <font>
      <sz val="8"/>
      <color theme="1"/>
      <name val="Arial"/>
      <family val="2"/>
    </font>
    <font>
      <sz val="12"/>
      <color theme="0"/>
      <name val="Arial"/>
      <family val="2"/>
      <scheme val="minor"/>
    </font>
    <font>
      <sz val="12"/>
      <color theme="1"/>
      <name val="Arial"/>
      <family val="2"/>
      <scheme val="minor"/>
    </font>
    <font>
      <sz val="10"/>
      <name val="Arial"/>
      <family val="2"/>
      <scheme val="minor"/>
    </font>
    <font>
      <sz val="10"/>
      <color rgb="FFFF0000"/>
      <name val="Arial"/>
      <family val="2"/>
      <scheme val="minor"/>
    </font>
    <font>
      <sz val="8"/>
      <color theme="1"/>
      <name val="Arial"/>
      <family val="2"/>
      <scheme val="minor"/>
    </font>
    <font>
      <sz val="10"/>
      <color rgb="FF000000"/>
      <name val="Arial"/>
      <family val="2"/>
      <scheme val="minor"/>
    </font>
    <font>
      <sz val="8"/>
      <color rgb="FFFF0000"/>
      <name val="Arial"/>
      <family val="2"/>
      <scheme val="minor"/>
    </font>
    <font>
      <b/>
      <sz val="12"/>
      <color theme="0"/>
      <name val="Arial"/>
      <family val="2"/>
      <scheme val="minor"/>
    </font>
    <font>
      <sz val="8"/>
      <color theme="0"/>
      <name val="Arial"/>
      <family val="2"/>
    </font>
    <font>
      <b/>
      <sz val="12"/>
      <color theme="0"/>
      <name val="Arial"/>
      <family val="2"/>
    </font>
    <font>
      <b/>
      <sz val="10"/>
      <color rgb="FFFF0000"/>
      <name val="Arial"/>
      <family val="2"/>
    </font>
    <font>
      <sz val="11"/>
      <color theme="6"/>
      <name val="Arial"/>
      <family val="2"/>
      <scheme val="minor"/>
    </font>
    <font>
      <b/>
      <sz val="18"/>
      <color theme="0"/>
      <name val="Arial"/>
      <family val="2"/>
      <scheme val="minor"/>
    </font>
    <font>
      <sz val="10"/>
      <color theme="0"/>
      <name val="Arial"/>
      <family val="2"/>
      <scheme val="minor"/>
    </font>
    <font>
      <b/>
      <sz val="10"/>
      <name val="Arial"/>
      <family val="2"/>
      <scheme val="minor"/>
    </font>
    <font>
      <u/>
      <sz val="12"/>
      <color theme="0"/>
      <name val="Arial"/>
      <family val="2"/>
      <scheme val="minor"/>
    </font>
    <font>
      <b/>
      <sz val="11"/>
      <color theme="0"/>
      <name val="Arial"/>
      <family val="2"/>
      <scheme val="minor"/>
    </font>
    <font>
      <b/>
      <sz val="12"/>
      <color theme="1"/>
      <name val="Arial"/>
      <family val="2"/>
      <scheme val="minor"/>
    </font>
    <font>
      <u/>
      <sz val="12"/>
      <color rgb="FFFF0000"/>
      <name val="Arial"/>
      <family val="2"/>
      <scheme val="minor"/>
    </font>
    <font>
      <u/>
      <sz val="10"/>
      <color theme="1"/>
      <name val="Arial"/>
      <family val="2"/>
      <scheme val="minor"/>
    </font>
    <font>
      <b/>
      <sz val="10"/>
      <color theme="0"/>
      <name val="Arial"/>
      <family val="2"/>
      <scheme val="minor"/>
    </font>
    <font>
      <i/>
      <sz val="11"/>
      <color theme="1"/>
      <name val="Arial"/>
      <family val="2"/>
      <scheme val="minor"/>
    </font>
    <font>
      <sz val="11"/>
      <color rgb="FFFF0000"/>
      <name val="Arial"/>
      <family val="2"/>
      <scheme val="minor"/>
    </font>
    <font>
      <b/>
      <sz val="8"/>
      <color theme="0"/>
      <name val="Arial"/>
      <family val="2"/>
      <scheme val="minor"/>
    </font>
    <font>
      <u/>
      <sz val="8"/>
      <color theme="1"/>
      <name val="Arial"/>
      <family val="2"/>
      <scheme val="minor"/>
    </font>
    <font>
      <b/>
      <sz val="8"/>
      <color theme="1"/>
      <name val="Arial"/>
      <family val="2"/>
      <scheme val="minor"/>
    </font>
    <font>
      <b/>
      <sz val="11"/>
      <color theme="1"/>
      <name val="Arial"/>
      <family val="2"/>
      <scheme val="minor"/>
    </font>
    <font>
      <sz val="11"/>
      <color rgb="FF00B0F0"/>
      <name val="Arial"/>
      <family val="2"/>
      <scheme val="minor"/>
    </font>
    <font>
      <i/>
      <sz val="10"/>
      <color theme="1"/>
      <name val="Arial"/>
      <family val="2"/>
      <scheme val="minor"/>
    </font>
    <font>
      <sz val="8"/>
      <color theme="0" tint="-0.499984740745262"/>
      <name val="Arial"/>
      <family val="2"/>
      <scheme val="minor"/>
    </font>
    <font>
      <sz val="11"/>
      <color theme="8"/>
      <name val="Arial"/>
      <family val="2"/>
      <scheme val="minor"/>
    </font>
    <font>
      <sz val="10"/>
      <color theme="5"/>
      <name val="Arial"/>
      <family val="2"/>
    </font>
    <font>
      <b/>
      <sz val="18"/>
      <color theme="0"/>
      <name val="Arial"/>
      <family val="2"/>
    </font>
    <font>
      <sz val="8"/>
      <color rgb="FFFF0000"/>
      <name val="Arial"/>
      <family val="2"/>
    </font>
    <font>
      <b/>
      <sz val="12"/>
      <color theme="1"/>
      <name val="Arial"/>
      <family val="2"/>
    </font>
    <font>
      <sz val="12"/>
      <color theme="1"/>
      <name val="Arial"/>
      <family val="2"/>
    </font>
    <font>
      <b/>
      <sz val="11"/>
      <name val="Arial"/>
      <family val="2"/>
      <scheme val="minor"/>
    </font>
    <font>
      <b/>
      <sz val="16"/>
      <color theme="0"/>
      <name val="Arial"/>
      <family val="2"/>
      <scheme val="minor"/>
    </font>
    <font>
      <u/>
      <sz val="8"/>
      <color rgb="FFFF0000"/>
      <name val="Arial"/>
      <family val="2"/>
      <scheme val="minor"/>
    </font>
    <font>
      <b/>
      <sz val="11"/>
      <color theme="0" tint="-0.499984740745262"/>
      <name val="Arial"/>
      <family val="2"/>
      <scheme val="minor"/>
    </font>
    <font>
      <sz val="11"/>
      <color theme="7"/>
      <name val="Arial"/>
      <family val="2"/>
      <scheme val="minor"/>
    </font>
    <font>
      <sz val="11"/>
      <color theme="4"/>
      <name val="Arial"/>
      <family val="2"/>
      <scheme val="minor"/>
    </font>
    <font>
      <sz val="11"/>
      <color theme="1"/>
      <name val="Arial"/>
      <family val="2"/>
      <scheme val="minor"/>
    </font>
    <font>
      <b/>
      <sz val="8"/>
      <color theme="0"/>
      <name val="Arial"/>
      <family val="2"/>
    </font>
    <font>
      <sz val="10"/>
      <color rgb="FF00B0F0"/>
      <name val="Arial"/>
      <family val="2"/>
      <scheme val="minor"/>
    </font>
  </fonts>
  <fills count="4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6"/>
        <bgColor indexed="64"/>
      </patternFill>
    </fill>
    <fill>
      <patternFill patternType="solid">
        <fgColor theme="0"/>
        <bgColor indexed="64"/>
      </patternFill>
    </fill>
    <fill>
      <patternFill patternType="solid">
        <fgColor rgb="FFFFFF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8"/>
        <bgColor indexed="64"/>
      </patternFill>
    </fill>
    <fill>
      <patternFill patternType="lightUp">
        <bgColor theme="0" tint="-4.9989318521683403E-2"/>
      </patternFill>
    </fill>
    <fill>
      <patternFill patternType="lightUp">
        <bgColor theme="0" tint="-0.24994659260841701"/>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4" tint="0.39997558519241921"/>
        <bgColor indexed="64"/>
      </patternFill>
    </fill>
  </fills>
  <borders count="3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56"/>
      </top>
      <bottom style="thin">
        <color indexed="56"/>
      </bottom>
      <diagonal/>
    </border>
    <border>
      <left/>
      <right style="thin">
        <color indexed="64"/>
      </right>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s>
  <cellStyleXfs count="49">
    <xf numFmtId="0" fontId="0" fillId="0" borderId="0">
      <alignment vertical="center"/>
      <protection locked="0"/>
    </xf>
    <xf numFmtId="0" fontId="12" fillId="3" borderId="0" applyNumberFormat="0" applyBorder="0" applyAlignment="0" applyProtection="0">
      <protection locked="0"/>
    </xf>
    <xf numFmtId="0" fontId="12" fillId="4" borderId="0" applyNumberFormat="0" applyBorder="0" applyAlignment="0" applyProtection="0">
      <protection locked="0"/>
    </xf>
    <xf numFmtId="0" fontId="12" fillId="5" borderId="0" applyNumberFormat="0" applyBorder="0" applyAlignment="0" applyProtection="0">
      <protection locked="0"/>
    </xf>
    <xf numFmtId="0" fontId="12" fillId="6" borderId="0" applyNumberFormat="0" applyBorder="0" applyAlignment="0" applyProtection="0">
      <protection locked="0"/>
    </xf>
    <xf numFmtId="0" fontId="12" fillId="7" borderId="0" applyNumberFormat="0" applyBorder="0" applyAlignment="0" applyProtection="0">
      <protection locked="0"/>
    </xf>
    <xf numFmtId="0" fontId="12" fillId="8" borderId="0" applyNumberFormat="0" applyBorder="0" applyAlignment="0" applyProtection="0">
      <protection locked="0"/>
    </xf>
    <xf numFmtId="0" fontId="12" fillId="9" borderId="0" applyNumberFormat="0" applyBorder="0" applyAlignment="0" applyProtection="0">
      <protection locked="0"/>
    </xf>
    <xf numFmtId="0" fontId="12" fillId="10" borderId="0" applyNumberFormat="0" applyBorder="0" applyAlignment="0" applyProtection="0">
      <protection locked="0"/>
    </xf>
    <xf numFmtId="0" fontId="12" fillId="11" borderId="0" applyNumberFormat="0" applyBorder="0" applyAlignment="0" applyProtection="0">
      <protection locked="0"/>
    </xf>
    <xf numFmtId="0" fontId="12" fillId="12" borderId="0" applyNumberFormat="0" applyBorder="0" applyAlignment="0" applyProtection="0">
      <protection locked="0"/>
    </xf>
    <xf numFmtId="0" fontId="12" fillId="13" borderId="0" applyNumberFormat="0" applyBorder="0" applyAlignment="0" applyProtection="0">
      <protection locked="0"/>
    </xf>
    <xf numFmtId="0" fontId="12" fillId="14" borderId="0" applyNumberFormat="0" applyBorder="0" applyAlignment="0" applyProtection="0">
      <protection locked="0"/>
    </xf>
    <xf numFmtId="0" fontId="13" fillId="15" borderId="0" applyNumberFormat="0" applyBorder="0" applyAlignment="0" applyProtection="0">
      <protection locked="0"/>
    </xf>
    <xf numFmtId="0" fontId="13" fillId="16" borderId="0" applyNumberFormat="0" applyBorder="0" applyAlignment="0" applyProtection="0">
      <protection locked="0"/>
    </xf>
    <xf numFmtId="0" fontId="13" fillId="17" borderId="0" applyNumberFormat="0" applyBorder="0" applyAlignment="0" applyProtection="0">
      <protection locked="0"/>
    </xf>
    <xf numFmtId="0" fontId="13" fillId="18" borderId="0" applyNumberFormat="0" applyBorder="0" applyAlignment="0" applyProtection="0">
      <protection locked="0"/>
    </xf>
    <xf numFmtId="0" fontId="13" fillId="19" borderId="0" applyNumberFormat="0" applyBorder="0" applyAlignment="0" applyProtection="0">
      <protection locked="0"/>
    </xf>
    <xf numFmtId="0" fontId="13" fillId="20" borderId="0" applyNumberFormat="0" applyBorder="0" applyAlignment="0" applyProtection="0">
      <protection locked="0"/>
    </xf>
    <xf numFmtId="0" fontId="13" fillId="21" borderId="0" applyNumberFormat="0" applyBorder="0" applyAlignment="0" applyProtection="0">
      <protection locked="0"/>
    </xf>
    <xf numFmtId="0" fontId="13" fillId="22" borderId="0" applyNumberFormat="0" applyBorder="0" applyAlignment="0" applyProtection="0">
      <protection locked="0"/>
    </xf>
    <xf numFmtId="0" fontId="13" fillId="23" borderId="0" applyNumberFormat="0" applyBorder="0" applyAlignment="0" applyProtection="0">
      <protection locked="0"/>
    </xf>
    <xf numFmtId="0" fontId="13" fillId="24" borderId="0" applyNumberFormat="0" applyBorder="0" applyAlignment="0" applyProtection="0">
      <protection locked="0"/>
    </xf>
    <xf numFmtId="0" fontId="13" fillId="25" borderId="0" applyNumberFormat="0" applyBorder="0" applyAlignment="0" applyProtection="0">
      <protection locked="0"/>
    </xf>
    <xf numFmtId="0" fontId="13" fillId="26" borderId="0" applyNumberFormat="0" applyBorder="0" applyAlignment="0" applyProtection="0">
      <protection locked="0"/>
    </xf>
    <xf numFmtId="0" fontId="14" fillId="27" borderId="0" applyNumberFormat="0" applyBorder="0" applyAlignment="0" applyProtection="0">
      <protection locked="0"/>
    </xf>
    <xf numFmtId="0" fontId="15" fillId="28" borderId="14" applyNumberFormat="0" applyAlignment="0" applyProtection="0">
      <protection locked="0"/>
    </xf>
    <xf numFmtId="0" fontId="16" fillId="29" borderId="15" applyNumberFormat="0" applyAlignment="0" applyProtection="0">
      <protection locked="0"/>
    </xf>
    <xf numFmtId="169" fontId="11" fillId="0" borderId="0" applyFont="0" applyFill="0" applyBorder="0" applyAlignment="0" applyProtection="0">
      <protection locked="0"/>
    </xf>
    <xf numFmtId="167" fontId="11" fillId="0" borderId="0" applyFont="0" applyFill="0" applyBorder="0" applyAlignment="0" applyProtection="0">
      <protection locked="0"/>
    </xf>
    <xf numFmtId="168" fontId="11" fillId="0" borderId="0" applyFont="0" applyFill="0" applyBorder="0" applyAlignment="0" applyProtection="0">
      <protection locked="0"/>
    </xf>
    <xf numFmtId="166" fontId="11" fillId="0" borderId="0" applyFont="0" applyFill="0" applyBorder="0" applyAlignment="0" applyProtection="0">
      <protection locked="0"/>
    </xf>
    <xf numFmtId="0" fontId="17" fillId="0" borderId="0" applyNumberFormat="0" applyFill="0" applyBorder="0" applyAlignment="0" applyProtection="0">
      <protection locked="0"/>
    </xf>
    <xf numFmtId="0" fontId="18" fillId="0" borderId="0" applyNumberFormat="0" applyFill="0" applyBorder="0" applyAlignment="0" applyProtection="0">
      <alignment vertical="center"/>
      <protection locked="0"/>
    </xf>
    <xf numFmtId="0" fontId="19" fillId="30" borderId="0" applyNumberFormat="0" applyBorder="0" applyAlignment="0" applyProtection="0">
      <protection locked="0"/>
    </xf>
    <xf numFmtId="0" fontId="20" fillId="0" borderId="16" applyNumberFormat="0" applyFill="0" applyAlignment="0" applyProtection="0">
      <protection locked="0"/>
    </xf>
    <xf numFmtId="0" fontId="21" fillId="0" borderId="17" applyNumberFormat="0" applyFill="0" applyAlignment="0" applyProtection="0">
      <protection locked="0"/>
    </xf>
    <xf numFmtId="0" fontId="22" fillId="0" borderId="18" applyNumberFormat="0" applyFill="0" applyAlignment="0" applyProtection="0">
      <protection locked="0"/>
    </xf>
    <xf numFmtId="0" fontId="22" fillId="0" borderId="0" applyNumberFormat="0" applyFill="0" applyBorder="0" applyAlignment="0" applyProtection="0">
      <protection locked="0"/>
    </xf>
    <xf numFmtId="0" fontId="23" fillId="0" borderId="0" applyNumberFormat="0" applyFill="0" applyBorder="0" applyAlignment="0" applyProtection="0">
      <alignment vertical="center"/>
      <protection locked="0"/>
    </xf>
    <xf numFmtId="0" fontId="24" fillId="31" borderId="14" applyNumberFormat="0" applyAlignment="0" applyProtection="0">
      <protection locked="0"/>
    </xf>
    <xf numFmtId="0" fontId="25" fillId="0" borderId="19" applyNumberFormat="0" applyFill="0" applyAlignment="0" applyProtection="0">
      <protection locked="0"/>
    </xf>
    <xf numFmtId="0" fontId="26" fillId="32" borderId="0" applyNumberFormat="0" applyBorder="0" applyAlignment="0" applyProtection="0">
      <protection locked="0"/>
    </xf>
    <xf numFmtId="0" fontId="11" fillId="33" borderId="20" applyNumberFormat="0" applyFont="0" applyAlignment="0" applyProtection="0">
      <protection locked="0"/>
    </xf>
    <xf numFmtId="0" fontId="27" fillId="28" borderId="21" applyNumberFormat="0" applyAlignment="0" applyProtection="0">
      <protection locked="0"/>
    </xf>
    <xf numFmtId="9" fontId="11" fillId="0" borderId="0" applyFont="0" applyFill="0" applyBorder="0" applyAlignment="0" applyProtection="0">
      <protection locked="0"/>
    </xf>
    <xf numFmtId="0" fontId="28" fillId="0" borderId="0" applyNumberFormat="0" applyFill="0" applyBorder="0" applyAlignment="0" applyProtection="0">
      <protection locked="0"/>
    </xf>
    <xf numFmtId="0" fontId="29" fillId="0" borderId="22" applyNumberFormat="0" applyFill="0" applyAlignment="0" applyProtection="0">
      <protection locked="0"/>
    </xf>
    <xf numFmtId="0" fontId="30" fillId="0" borderId="0" applyNumberFormat="0" applyFill="0" applyBorder="0" applyAlignment="0" applyProtection="0">
      <protection locked="0"/>
    </xf>
  </cellStyleXfs>
  <cellXfs count="877">
    <xf numFmtId="0" fontId="0" fillId="0" borderId="0" xfId="0">
      <alignment vertical="center"/>
      <protection locked="0"/>
    </xf>
    <xf numFmtId="0" fontId="0" fillId="35" borderId="0" xfId="0" applyFont="1" applyFill="1">
      <alignment vertical="center"/>
      <protection locked="0"/>
    </xf>
    <xf numFmtId="0" fontId="0" fillId="35" borderId="0" xfId="0" applyFont="1" applyFill="1" applyBorder="1">
      <alignment vertical="center"/>
      <protection locked="0"/>
    </xf>
    <xf numFmtId="0" fontId="33" fillId="35" borderId="0" xfId="0" applyFont="1" applyFill="1">
      <alignment vertical="center"/>
      <protection locked="0"/>
    </xf>
    <xf numFmtId="0" fontId="0" fillId="35" borderId="0" xfId="0" applyFont="1" applyFill="1">
      <alignment vertical="center"/>
      <protection locked="0"/>
    </xf>
    <xf numFmtId="0" fontId="0" fillId="35" borderId="0" xfId="0" applyFill="1">
      <alignment vertical="center"/>
      <protection locked="0"/>
    </xf>
    <xf numFmtId="0" fontId="0" fillId="35" borderId="0" xfId="0" applyFont="1" applyFill="1" applyAlignment="1">
      <alignment vertical="center"/>
      <protection locked="0"/>
    </xf>
    <xf numFmtId="0" fontId="32" fillId="35" borderId="0" xfId="0" applyFont="1" applyFill="1" applyBorder="1" applyAlignment="1">
      <alignment vertical="center"/>
      <protection locked="0"/>
    </xf>
    <xf numFmtId="0" fontId="0" fillId="35" borderId="1" xfId="0" applyFont="1" applyFill="1" applyBorder="1" applyAlignment="1">
      <alignment vertical="center" wrapText="1"/>
      <protection locked="0"/>
    </xf>
    <xf numFmtId="0" fontId="0" fillId="0" borderId="0" xfId="0" applyFont="1" applyFill="1">
      <alignment vertical="center"/>
      <protection locked="0"/>
    </xf>
    <xf numFmtId="0" fontId="0" fillId="35" borderId="0" xfId="0" applyFont="1" applyFill="1" applyBorder="1">
      <alignment vertical="center"/>
      <protection locked="0"/>
    </xf>
    <xf numFmtId="0" fontId="32" fillId="35" borderId="2" xfId="0" applyFont="1" applyFill="1" applyBorder="1" applyAlignment="1">
      <alignment vertical="center" wrapText="1"/>
      <protection locked="0"/>
    </xf>
    <xf numFmtId="0" fontId="32" fillId="35" borderId="3" xfId="0" applyFont="1" applyFill="1" applyBorder="1" applyAlignment="1">
      <alignment vertical="center" wrapText="1"/>
      <protection locked="0"/>
    </xf>
    <xf numFmtId="0" fontId="0" fillId="0" borderId="0" xfId="0" applyFont="1">
      <alignment vertical="center"/>
      <protection locked="0"/>
    </xf>
    <xf numFmtId="0" fontId="32" fillId="35" borderId="4" xfId="0" applyFont="1" applyFill="1" applyBorder="1" applyAlignment="1">
      <alignment horizontal="center" vertical="center" wrapText="1"/>
      <protection locked="0"/>
    </xf>
    <xf numFmtId="0" fontId="32" fillId="35" borderId="0" xfId="0" applyFont="1" applyFill="1" applyBorder="1" applyAlignment="1">
      <alignment horizontal="left" vertical="center" wrapText="1"/>
      <protection locked="0"/>
    </xf>
    <xf numFmtId="0" fontId="0" fillId="0" borderId="0" xfId="0" applyFont="1" applyFill="1" applyBorder="1">
      <alignment vertical="center"/>
      <protection locked="0"/>
    </xf>
    <xf numFmtId="170" fontId="32" fillId="35" borderId="0" xfId="33" applyNumberFormat="1" applyFont="1" applyFill="1" applyBorder="1" applyAlignment="1" applyProtection="1">
      <alignment horizontal="center" vertical="center" wrapText="1"/>
    </xf>
    <xf numFmtId="0" fontId="0" fillId="35" borderId="0" xfId="0" applyFont="1" applyFill="1" applyAlignment="1">
      <alignment vertical="top"/>
      <protection locked="0"/>
    </xf>
    <xf numFmtId="0" fontId="32" fillId="35" borderId="0" xfId="0" applyFont="1" applyFill="1" applyBorder="1" applyAlignment="1">
      <alignment vertical="center" wrapText="1"/>
      <protection locked="0"/>
    </xf>
    <xf numFmtId="0" fontId="34" fillId="35" borderId="0" xfId="0" applyFont="1" applyFill="1" applyBorder="1" applyAlignment="1">
      <alignment vertical="center"/>
      <protection locked="0"/>
    </xf>
    <xf numFmtId="0" fontId="0" fillId="35" borderId="5" xfId="0" applyFont="1" applyFill="1" applyBorder="1" applyAlignment="1">
      <alignment horizontal="left" vertical="center" wrapText="1"/>
      <protection locked="0"/>
    </xf>
    <xf numFmtId="0" fontId="0" fillId="35" borderId="4" xfId="0" applyFont="1" applyFill="1" applyBorder="1" applyAlignment="1">
      <alignment vertical="center" wrapText="1"/>
      <protection locked="0"/>
    </xf>
    <xf numFmtId="0" fontId="0" fillId="35" borderId="2" xfId="0" applyFont="1" applyFill="1" applyBorder="1" applyAlignment="1">
      <alignment horizontal="left" vertical="center" wrapText="1"/>
      <protection locked="0"/>
    </xf>
    <xf numFmtId="0" fontId="9" fillId="36" borderId="4" xfId="0" applyNumberFormat="1" applyFont="1" applyFill="1" applyBorder="1" applyAlignment="1" applyProtection="1">
      <alignment horizontal="left" vertical="center" wrapText="1"/>
      <protection locked="0"/>
    </xf>
    <xf numFmtId="0" fontId="32" fillId="35" borderId="4" xfId="0" applyFont="1" applyFill="1" applyBorder="1" applyAlignment="1">
      <alignment vertical="center"/>
      <protection locked="0"/>
    </xf>
    <xf numFmtId="0" fontId="4" fillId="36" borderId="4" xfId="0" applyFont="1" applyFill="1" applyBorder="1" applyAlignment="1" applyProtection="1">
      <alignment horizontal="left" vertical="center" wrapText="1"/>
      <protection locked="0"/>
    </xf>
    <xf numFmtId="171" fontId="5" fillId="36" borderId="4" xfId="0" applyNumberFormat="1" applyFont="1" applyFill="1" applyBorder="1" applyAlignment="1" applyProtection="1">
      <alignment vertical="center" wrapText="1"/>
      <protection locked="0"/>
    </xf>
    <xf numFmtId="0" fontId="5" fillId="36" borderId="4" xfId="0" applyFont="1" applyFill="1" applyBorder="1" applyAlignment="1" applyProtection="1">
      <alignment horizontal="left" vertical="center" wrapText="1"/>
      <protection locked="0"/>
    </xf>
    <xf numFmtId="0" fontId="5" fillId="36" borderId="4" xfId="0" applyFont="1" applyFill="1" applyBorder="1" applyAlignment="1" applyProtection="1">
      <alignment vertical="center" wrapText="1"/>
      <protection locked="0"/>
    </xf>
    <xf numFmtId="172" fontId="5" fillId="36" borderId="4" xfId="0" applyNumberFormat="1" applyFont="1" applyFill="1" applyBorder="1" applyAlignment="1" applyProtection="1">
      <alignment vertical="center" wrapText="1"/>
      <protection locked="0"/>
    </xf>
    <xf numFmtId="171" fontId="5" fillId="36" borderId="4" xfId="0" applyNumberFormat="1" applyFont="1" applyFill="1" applyBorder="1" applyAlignment="1" applyProtection="1">
      <alignment horizontal="right" vertical="center" wrapText="1"/>
      <protection locked="0"/>
    </xf>
    <xf numFmtId="0" fontId="35" fillId="36" borderId="4" xfId="0" applyNumberFormat="1" applyFont="1" applyFill="1" applyBorder="1" applyAlignment="1" applyProtection="1">
      <alignment horizontal="left" vertical="center" wrapText="1"/>
      <protection locked="0"/>
    </xf>
    <xf numFmtId="0" fontId="6" fillId="36" borderId="4" xfId="0" applyFont="1" applyFill="1" applyBorder="1" applyAlignment="1" applyProtection="1">
      <alignment horizontal="left" vertical="center" wrapText="1"/>
      <protection locked="0"/>
    </xf>
    <xf numFmtId="0" fontId="32" fillId="35" borderId="6" xfId="0" applyFont="1" applyFill="1" applyBorder="1" applyAlignment="1">
      <alignment vertical="center" wrapText="1"/>
      <protection locked="0"/>
    </xf>
    <xf numFmtId="0" fontId="32" fillId="0" borderId="3" xfId="39" applyNumberFormat="1" applyFont="1" applyFill="1" applyBorder="1" applyAlignment="1" applyProtection="1">
      <alignment vertical="center" wrapText="1"/>
    </xf>
    <xf numFmtId="0" fontId="0" fillId="35" borderId="0" xfId="0" applyFont="1" applyFill="1" applyAlignment="1">
      <alignment horizontal="left" vertical="center"/>
      <protection locked="0"/>
    </xf>
    <xf numFmtId="0" fontId="37" fillId="37" borderId="0" xfId="0" applyFont="1" applyFill="1">
      <alignment vertical="center"/>
      <protection locked="0"/>
    </xf>
    <xf numFmtId="0" fontId="31" fillId="0" borderId="0" xfId="0" applyFont="1" applyFill="1">
      <alignment vertical="center"/>
      <protection locked="0"/>
    </xf>
    <xf numFmtId="0" fontId="38" fillId="0" borderId="0" xfId="0" applyFont="1" applyFill="1">
      <alignment vertical="center"/>
      <protection locked="0"/>
    </xf>
    <xf numFmtId="0" fontId="0" fillId="0" borderId="0" xfId="0" applyFill="1">
      <alignment vertical="center"/>
      <protection locked="0"/>
    </xf>
    <xf numFmtId="0" fontId="33" fillId="0" borderId="0" xfId="0" applyFont="1" applyFill="1">
      <alignment vertical="center"/>
      <protection locked="0"/>
    </xf>
    <xf numFmtId="0" fontId="5" fillId="38" borderId="4" xfId="0" applyNumberFormat="1" applyFont="1" applyFill="1" applyBorder="1" applyAlignment="1" applyProtection="1">
      <alignment horizontal="center" vertical="center" wrapText="1"/>
    </xf>
    <xf numFmtId="0" fontId="5" fillId="38" borderId="4" xfId="0" applyFont="1" applyFill="1" applyBorder="1" applyAlignment="1" applyProtection="1">
      <alignment horizontal="left" vertical="center" wrapText="1"/>
    </xf>
    <xf numFmtId="0" fontId="4" fillId="38" borderId="4" xfId="0" applyFont="1" applyFill="1" applyBorder="1" applyAlignment="1" applyProtection="1">
      <alignment horizontal="left" vertical="center" wrapText="1"/>
    </xf>
    <xf numFmtId="0" fontId="5" fillId="38" borderId="4" xfId="0" applyFont="1" applyFill="1" applyBorder="1" applyAlignment="1" applyProtection="1">
      <alignment horizontal="center" vertical="center" wrapText="1"/>
    </xf>
    <xf numFmtId="0" fontId="32" fillId="38" borderId="4" xfId="0" applyFont="1" applyFill="1" applyBorder="1" applyAlignment="1">
      <alignment horizontal="center" vertical="center"/>
      <protection locked="0"/>
    </xf>
    <xf numFmtId="171" fontId="11" fillId="38" borderId="4" xfId="33" applyNumberFormat="1" applyFont="1" applyFill="1" applyBorder="1" applyAlignment="1" applyProtection="1">
      <alignment vertical="center"/>
    </xf>
    <xf numFmtId="10" fontId="11" fillId="38" borderId="4" xfId="39" applyNumberFormat="1" applyFont="1" applyFill="1" applyBorder="1" applyAlignment="1" applyProtection="1">
      <alignment horizontal="right" vertical="center"/>
    </xf>
    <xf numFmtId="10" fontId="11" fillId="36" borderId="4" xfId="39" applyNumberFormat="1" applyFont="1" applyFill="1" applyBorder="1" applyAlignment="1" applyProtection="1">
      <alignment horizontal="right" vertical="center"/>
    </xf>
    <xf numFmtId="171" fontId="32" fillId="38" borderId="4" xfId="33" applyNumberFormat="1" applyFont="1" applyFill="1" applyBorder="1" applyAlignment="1" applyProtection="1">
      <alignment vertical="center"/>
    </xf>
    <xf numFmtId="0" fontId="32" fillId="0" borderId="0" xfId="0" applyFont="1" applyFill="1" applyBorder="1" applyAlignment="1">
      <alignment vertical="center" wrapText="1"/>
      <protection locked="0"/>
    </xf>
    <xf numFmtId="0" fontId="5" fillId="0" borderId="4" xfId="0" applyFont="1" applyBorder="1" applyAlignment="1">
      <alignment horizontal="center" vertical="center" wrapText="1"/>
      <protection locked="0"/>
    </xf>
    <xf numFmtId="171" fontId="11" fillId="38" borderId="4" xfId="33" applyNumberFormat="1" applyFont="1" applyFill="1" applyBorder="1" applyAlignment="1" applyProtection="1">
      <alignment horizontal="right" vertical="center"/>
    </xf>
    <xf numFmtId="171" fontId="32" fillId="38" borderId="4" xfId="33" applyNumberFormat="1" applyFont="1" applyFill="1" applyBorder="1" applyAlignment="1" applyProtection="1">
      <alignment horizontal="right" vertical="center"/>
    </xf>
    <xf numFmtId="171" fontId="32" fillId="38" borderId="4" xfId="33" applyNumberFormat="1" applyFont="1" applyFill="1" applyBorder="1" applyAlignment="1" applyProtection="1">
      <alignment vertical="center" wrapText="1"/>
    </xf>
    <xf numFmtId="171" fontId="5" fillId="38" borderId="4" xfId="0" applyNumberFormat="1" applyFont="1" applyFill="1" applyBorder="1" applyAlignment="1" applyProtection="1">
      <alignment vertical="center" wrapText="1"/>
    </xf>
    <xf numFmtId="165" fontId="32" fillId="38" borderId="4" xfId="0" applyNumberFormat="1" applyFont="1" applyFill="1" applyBorder="1" applyAlignment="1" applyProtection="1">
      <alignment vertical="center"/>
    </xf>
    <xf numFmtId="0" fontId="0" fillId="38" borderId="4" xfId="0" applyFont="1" applyFill="1" applyBorder="1" applyAlignment="1">
      <alignment vertical="center"/>
      <protection locked="0"/>
    </xf>
    <xf numFmtId="175" fontId="39" fillId="0" borderId="0" xfId="0" applyNumberFormat="1" applyFont="1" applyAlignment="1">
      <protection locked="0"/>
    </xf>
    <xf numFmtId="0" fontId="39" fillId="0" borderId="0" xfId="0" applyFont="1" applyAlignment="1">
      <protection locked="0"/>
    </xf>
    <xf numFmtId="10" fontId="40" fillId="39" borderId="4" xfId="39" applyNumberFormat="1" applyFont="1" applyFill="1" applyBorder="1" applyAlignment="1" applyProtection="1">
      <alignment horizontal="right" vertical="center" wrapText="1"/>
    </xf>
    <xf numFmtId="0" fontId="0" fillId="35" borderId="0" xfId="0" applyFill="1" applyAlignment="1">
      <alignment horizontal="center" vertical="center"/>
      <protection locked="0"/>
    </xf>
    <xf numFmtId="0" fontId="32" fillId="35" borderId="0" xfId="0" applyFont="1" applyFill="1" applyBorder="1" applyAlignment="1">
      <alignment horizontal="center" vertical="center" wrapText="1"/>
      <protection locked="0"/>
    </xf>
    <xf numFmtId="0" fontId="41" fillId="36" borderId="4" xfId="39" applyNumberFormat="1" applyFont="1" applyFill="1" applyBorder="1" applyAlignment="1" applyProtection="1">
      <alignment vertical="center"/>
    </xf>
    <xf numFmtId="171" fontId="0" fillId="36" borderId="4" xfId="0" applyNumberFormat="1" applyFont="1" applyFill="1" applyBorder="1" applyAlignment="1" applyProtection="1">
      <alignment vertical="center"/>
      <protection locked="0"/>
    </xf>
    <xf numFmtId="0" fontId="32" fillId="35" borderId="4" xfId="0" applyFont="1" applyFill="1" applyBorder="1" applyAlignment="1">
      <alignment horizontal="center" vertical="center" wrapText="1"/>
      <protection locked="0"/>
    </xf>
    <xf numFmtId="0" fontId="32" fillId="35" borderId="4" xfId="0" applyFont="1" applyFill="1" applyBorder="1" applyAlignment="1">
      <alignment horizontal="left" vertical="center" wrapText="1"/>
      <protection locked="0"/>
    </xf>
    <xf numFmtId="10" fontId="11" fillId="38" borderId="4" xfId="39" applyNumberFormat="1" applyFont="1" applyFill="1" applyBorder="1" applyAlignment="1" applyProtection="1">
      <alignment vertical="center" wrapText="1"/>
    </xf>
    <xf numFmtId="10" fontId="11" fillId="38" borderId="4" xfId="39" applyNumberFormat="1" applyFont="1" applyFill="1" applyBorder="1" applyAlignment="1" applyProtection="1">
      <alignment vertical="center"/>
    </xf>
    <xf numFmtId="0" fontId="6" fillId="0" borderId="4" xfId="0" applyFont="1" applyBorder="1" applyAlignment="1">
      <alignment horizontal="center" vertical="center"/>
      <protection locked="0"/>
    </xf>
    <xf numFmtId="0" fontId="32" fillId="35" borderId="4" xfId="0" applyFont="1" applyFill="1" applyBorder="1" applyAlignment="1">
      <alignment horizontal="center" vertical="center" wrapText="1"/>
      <protection locked="0"/>
    </xf>
    <xf numFmtId="10" fontId="40" fillId="0" borderId="4" xfId="39" applyNumberFormat="1" applyFont="1" applyFill="1" applyBorder="1" applyAlignment="1" applyProtection="1"/>
    <xf numFmtId="10" fontId="11" fillId="36" borderId="4" xfId="39" applyNumberFormat="1" applyFont="1" applyFill="1" applyBorder="1" applyAlignment="1" applyProtection="1">
      <alignment vertical="center" wrapText="1"/>
    </xf>
    <xf numFmtId="173" fontId="40" fillId="35" borderId="4" xfId="39" applyNumberFormat="1" applyFont="1" applyFill="1" applyBorder="1" applyAlignment="1" applyProtection="1"/>
    <xf numFmtId="10" fontId="42" fillId="36" borderId="4" xfId="39" applyNumberFormat="1" applyFont="1" applyFill="1" applyBorder="1" applyAlignment="1" applyProtection="1">
      <alignment vertical="center"/>
      <protection locked="0"/>
    </xf>
    <xf numFmtId="10" fontId="11" fillId="36" borderId="4" xfId="39" applyNumberFormat="1" applyFont="1" applyFill="1" applyBorder="1" applyAlignment="1" applyProtection="1">
      <alignment horizontal="right" vertical="center"/>
      <protection locked="0"/>
    </xf>
    <xf numFmtId="10" fontId="11" fillId="36" borderId="4" xfId="39" applyNumberFormat="1" applyFont="1" applyFill="1" applyBorder="1" applyAlignment="1" applyProtection="1">
      <alignment vertical="center"/>
    </xf>
    <xf numFmtId="172" fontId="0" fillId="36" borderId="4" xfId="0" applyNumberFormat="1" applyFont="1" applyFill="1" applyBorder="1" applyAlignment="1">
      <alignment vertical="center"/>
      <protection locked="0"/>
    </xf>
    <xf numFmtId="0" fontId="43" fillId="35" borderId="4" xfId="0" applyFont="1" applyFill="1" applyBorder="1" applyAlignment="1">
      <alignment horizontal="center" vertical="center"/>
      <protection locked="0"/>
    </xf>
    <xf numFmtId="0" fontId="32" fillId="35" borderId="2" xfId="0" applyFont="1" applyFill="1" applyBorder="1" applyAlignment="1" applyProtection="1">
      <alignment vertical="center" wrapText="1"/>
    </xf>
    <xf numFmtId="0" fontId="0" fillId="35" borderId="4" xfId="0" applyFont="1" applyFill="1" applyBorder="1" applyAlignment="1" applyProtection="1">
      <alignment vertical="center" wrapText="1"/>
    </xf>
    <xf numFmtId="0" fontId="32" fillId="35" borderId="6" xfId="0" applyFont="1" applyFill="1" applyBorder="1" applyAlignment="1" applyProtection="1">
      <alignment vertical="center" wrapText="1"/>
    </xf>
    <xf numFmtId="0" fontId="40" fillId="35" borderId="4" xfId="0" applyFont="1" applyFill="1" applyBorder="1" applyAlignment="1" applyProtection="1">
      <alignment horizontal="center" vertical="center"/>
    </xf>
    <xf numFmtId="0" fontId="0" fillId="35" borderId="0" xfId="0" applyFont="1" applyFill="1" applyAlignment="1" applyProtection="1">
      <alignment vertical="center"/>
    </xf>
    <xf numFmtId="0" fontId="32" fillId="35" borderId="2" xfId="0" applyFont="1" applyFill="1" applyBorder="1" applyAlignment="1" applyProtection="1">
      <alignment vertical="center"/>
    </xf>
    <xf numFmtId="171" fontId="0" fillId="38" borderId="4" xfId="0" applyNumberFormat="1" applyFont="1" applyFill="1" applyBorder="1" applyAlignment="1" applyProtection="1">
      <alignment vertical="center"/>
    </xf>
    <xf numFmtId="0" fontId="32" fillId="38" borderId="9" xfId="0" applyFont="1" applyFill="1" applyBorder="1" applyAlignment="1" applyProtection="1">
      <alignment horizontal="center" vertical="center"/>
    </xf>
    <xf numFmtId="0" fontId="0" fillId="35" borderId="5" xfId="0" applyFont="1" applyFill="1" applyBorder="1" applyAlignment="1" applyProtection="1">
      <alignment horizontal="left" vertical="center" wrapText="1"/>
    </xf>
    <xf numFmtId="0" fontId="32" fillId="35" borderId="4" xfId="0" applyFont="1" applyFill="1" applyBorder="1" applyAlignment="1" applyProtection="1">
      <alignment vertical="center"/>
    </xf>
    <xf numFmtId="0" fontId="32" fillId="35" borderId="4" xfId="0" applyFont="1" applyFill="1" applyBorder="1" applyAlignment="1" applyProtection="1">
      <alignment horizontal="center" vertical="center" wrapText="1"/>
    </xf>
    <xf numFmtId="0" fontId="0" fillId="35" borderId="0" xfId="0" applyFill="1" applyProtection="1">
      <alignment vertical="center"/>
    </xf>
    <xf numFmtId="0" fontId="0" fillId="38" borderId="4" xfId="0" applyFont="1" applyFill="1" applyBorder="1" applyAlignment="1" applyProtection="1">
      <alignment horizontal="center" vertical="center"/>
    </xf>
    <xf numFmtId="0" fontId="32" fillId="41" borderId="4"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43" fillId="35" borderId="4" xfId="0" applyFont="1" applyFill="1" applyBorder="1" applyAlignment="1" applyProtection="1">
      <alignment vertical="center"/>
    </xf>
    <xf numFmtId="171" fontId="40" fillId="0" borderId="4" xfId="0" applyNumberFormat="1" applyFont="1" applyFill="1" applyBorder="1" applyAlignment="1" applyProtection="1"/>
    <xf numFmtId="0" fontId="32" fillId="35" borderId="4" xfId="0" applyFont="1" applyFill="1" applyBorder="1" applyAlignment="1" applyProtection="1">
      <alignment horizontal="center"/>
    </xf>
    <xf numFmtId="0" fontId="0" fillId="35" borderId="0" xfId="0" applyFont="1" applyFill="1" applyBorder="1" applyProtection="1">
      <alignment vertical="center"/>
    </xf>
    <xf numFmtId="0" fontId="32" fillId="35" borderId="0" xfId="0" applyFont="1" applyFill="1" applyBorder="1" applyAlignment="1" applyProtection="1">
      <alignment horizontal="center" vertical="center"/>
    </xf>
    <xf numFmtId="0" fontId="6" fillId="41" borderId="4" xfId="0" applyFont="1" applyFill="1" applyBorder="1" applyAlignment="1">
      <alignment vertical="center" wrapText="1"/>
      <protection locked="0"/>
    </xf>
    <xf numFmtId="0" fontId="30" fillId="0" borderId="4" xfId="0" applyFont="1" applyFill="1" applyBorder="1" applyAlignment="1" applyProtection="1">
      <alignment horizontal="center" vertical="top"/>
    </xf>
    <xf numFmtId="0" fontId="43" fillId="35" borderId="4" xfId="0" applyFont="1" applyFill="1" applyBorder="1" applyAlignment="1" applyProtection="1">
      <alignment horizontal="left" vertical="center"/>
    </xf>
    <xf numFmtId="0" fontId="30" fillId="0" borderId="4" xfId="0" applyFont="1" applyFill="1" applyBorder="1" applyAlignment="1" applyProtection="1">
      <alignment horizontal="center" vertical="center"/>
    </xf>
    <xf numFmtId="0" fontId="0" fillId="0" borderId="0" xfId="0" applyFont="1" applyFill="1" applyAlignment="1">
      <alignment vertical="center"/>
      <protection locked="0"/>
    </xf>
    <xf numFmtId="0" fontId="30" fillId="0" borderId="0" xfId="0" applyFont="1" applyFill="1" applyBorder="1" applyAlignment="1" applyProtection="1">
      <alignment horizontal="center" vertical="center"/>
    </xf>
    <xf numFmtId="0" fontId="30" fillId="0" borderId="4" xfId="0" applyFont="1" applyFill="1" applyBorder="1" applyAlignment="1" applyProtection="1">
      <alignment horizontal="center" vertical="center"/>
    </xf>
    <xf numFmtId="0" fontId="5" fillId="36" borderId="4" xfId="0" applyNumberFormat="1" applyFont="1" applyFill="1" applyBorder="1" applyAlignment="1" applyProtection="1">
      <alignment horizontal="center" vertical="center" wrapText="1"/>
      <protection locked="0"/>
    </xf>
    <xf numFmtId="1" fontId="32" fillId="38" borderId="4" xfId="0" applyNumberFormat="1" applyFont="1" applyFill="1" applyBorder="1" applyAlignment="1" applyProtection="1">
      <alignment horizontal="center" vertical="center"/>
    </xf>
    <xf numFmtId="171" fontId="0" fillId="36" borderId="4" xfId="0" applyNumberFormat="1" applyFont="1" applyFill="1" applyBorder="1" applyAlignment="1" applyProtection="1">
      <alignment vertical="center"/>
    </xf>
    <xf numFmtId="0" fontId="44" fillId="37" borderId="0" xfId="0" applyFont="1" applyFill="1" applyAlignment="1" applyProtection="1">
      <alignment vertical="center"/>
    </xf>
    <xf numFmtId="0" fontId="5" fillId="0" borderId="0" xfId="0" applyFont="1" applyFill="1" applyBorder="1" applyAlignment="1" applyProtection="1">
      <alignment horizontal="center" vertical="center"/>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wrapText="1"/>
      <protection locked="0"/>
    </xf>
    <xf numFmtId="0" fontId="32" fillId="35" borderId="4" xfId="0" applyFont="1" applyFill="1" applyBorder="1" applyAlignment="1">
      <alignment horizontal="center" vertical="center"/>
      <protection locked="0"/>
    </xf>
    <xf numFmtId="0" fontId="32" fillId="35" borderId="2" xfId="0" applyFont="1" applyFill="1" applyBorder="1" applyAlignment="1">
      <alignment vertical="center"/>
      <protection locked="0"/>
    </xf>
    <xf numFmtId="0" fontId="41" fillId="38" borderId="2" xfId="0" applyFont="1" applyFill="1" applyBorder="1" applyAlignment="1" applyProtection="1">
      <alignment vertical="center"/>
    </xf>
    <xf numFmtId="0" fontId="32" fillId="35" borderId="2" xfId="0" applyFont="1" applyFill="1" applyBorder="1" applyAlignment="1">
      <alignment horizontal="left" vertical="center" wrapText="1"/>
      <protection locked="0"/>
    </xf>
    <xf numFmtId="0" fontId="41" fillId="36" borderId="4" xfId="0" applyFont="1" applyFill="1" applyBorder="1" applyAlignment="1">
      <alignment vertical="center" wrapText="1"/>
      <protection locked="0"/>
    </xf>
    <xf numFmtId="0" fontId="41" fillId="38" borderId="4" xfId="0" applyFont="1" applyFill="1" applyBorder="1" applyAlignment="1" applyProtection="1">
      <alignment vertical="center"/>
    </xf>
    <xf numFmtId="0" fontId="32" fillId="35" borderId="4" xfId="0" applyFont="1" applyFill="1" applyBorder="1" applyAlignment="1">
      <alignment horizontal="center" vertical="center" wrapText="1"/>
      <protection locked="0"/>
    </xf>
    <xf numFmtId="0" fontId="0" fillId="35" borderId="0" xfId="0" applyFont="1" applyFill="1" applyAlignment="1">
      <alignment vertical="center" wrapText="1"/>
      <protection locked="0"/>
    </xf>
    <xf numFmtId="0" fontId="0" fillId="35" borderId="4" xfId="0" applyFont="1" applyFill="1" applyBorder="1" applyAlignment="1">
      <alignment vertical="center"/>
      <protection locked="0"/>
    </xf>
    <xf numFmtId="0" fontId="0" fillId="35" borderId="4" xfId="0" applyFont="1" applyFill="1" applyBorder="1" applyAlignment="1" applyProtection="1">
      <alignment vertical="center"/>
    </xf>
    <xf numFmtId="0" fontId="0" fillId="0" borderId="0" xfId="0" applyAlignment="1" applyProtection="1">
      <alignment vertical="center"/>
    </xf>
    <xf numFmtId="0" fontId="6" fillId="0" borderId="0" xfId="0" applyFont="1" applyFill="1" applyBorder="1" applyAlignment="1" applyProtection="1">
      <alignment vertical="center"/>
      <protection locked="0"/>
    </xf>
    <xf numFmtId="0" fontId="45" fillId="40" borderId="0" xfId="0" applyFont="1" applyFill="1" applyAlignment="1" applyProtection="1">
      <alignment horizontal="center" vertical="center"/>
    </xf>
    <xf numFmtId="0" fontId="5" fillId="0" borderId="4" xfId="0" applyFont="1" applyFill="1" applyBorder="1" applyAlignment="1" applyProtection="1">
      <alignment vertical="center" wrapText="1"/>
    </xf>
    <xf numFmtId="0" fontId="6" fillId="0" borderId="0" xfId="0" applyFont="1" applyFill="1" applyBorder="1" applyAlignment="1" applyProtection="1">
      <alignment vertical="center"/>
    </xf>
    <xf numFmtId="0" fontId="6" fillId="0" borderId="8" xfId="0" applyFont="1" applyFill="1" applyBorder="1" applyAlignment="1" applyProtection="1">
      <alignment horizontal="center" vertical="center"/>
    </xf>
    <xf numFmtId="0" fontId="0" fillId="35" borderId="0" xfId="0" applyFont="1" applyFill="1" applyAlignment="1" applyProtection="1">
      <alignment vertical="center"/>
      <protection locked="0"/>
    </xf>
    <xf numFmtId="0" fontId="5" fillId="0" borderId="4" xfId="0" applyFont="1" applyFill="1" applyBorder="1" applyAlignment="1" applyProtection="1">
      <alignment horizontal="left" vertical="center" wrapText="1"/>
    </xf>
    <xf numFmtId="0" fontId="46" fillId="37" borderId="0" xfId="0" applyFont="1" applyFill="1" applyAlignment="1" applyProtection="1">
      <alignment vertical="center"/>
    </xf>
    <xf numFmtId="0" fontId="12" fillId="0" borderId="4" xfId="0" applyFont="1" applyFill="1" applyBorder="1" applyAlignment="1" applyProtection="1">
      <alignment vertical="center" wrapText="1"/>
    </xf>
    <xf numFmtId="0" fontId="5" fillId="0" borderId="0" xfId="0" applyFont="1" applyFill="1" applyBorder="1" applyAlignment="1" applyProtection="1">
      <alignment vertical="center"/>
    </xf>
    <xf numFmtId="0" fontId="30" fillId="0" borderId="0" xfId="0" applyFont="1" applyFill="1" applyBorder="1" applyAlignment="1" applyProtection="1">
      <alignment vertical="center"/>
    </xf>
    <xf numFmtId="0" fontId="12" fillId="2" borderId="0" xfId="0" applyFont="1" applyFill="1" applyAlignment="1" applyProtection="1">
      <alignment vertical="center"/>
    </xf>
    <xf numFmtId="0" fontId="12" fillId="2" borderId="0" xfId="0" applyFont="1" applyFill="1" applyAlignment="1" applyProtection="1">
      <alignment vertical="center" wrapText="1"/>
    </xf>
    <xf numFmtId="0" fontId="12" fillId="35" borderId="0" xfId="0" applyFont="1" applyFill="1" applyAlignment="1" applyProtection="1">
      <alignment vertical="center"/>
    </xf>
    <xf numFmtId="0" fontId="5" fillId="0" borderId="0" xfId="0" applyFont="1" applyFill="1" applyBorder="1" applyAlignment="1" applyProtection="1">
      <alignment vertical="center" wrapText="1"/>
    </xf>
    <xf numFmtId="0" fontId="12" fillId="0" borderId="0" xfId="0" applyFont="1" applyFill="1" applyAlignment="1" applyProtection="1">
      <alignment vertical="center"/>
    </xf>
    <xf numFmtId="0" fontId="13" fillId="37" borderId="0" xfId="0" applyFont="1" applyFill="1" applyAlignment="1" applyProtection="1">
      <alignment vertical="center"/>
    </xf>
    <xf numFmtId="0" fontId="12" fillId="0" borderId="0" xfId="0" applyFont="1" applyAlignment="1" applyProtection="1">
      <alignment vertical="center"/>
    </xf>
    <xf numFmtId="0" fontId="30" fillId="36" borderId="4" xfId="0" applyFont="1" applyFill="1" applyBorder="1" applyAlignment="1" applyProtection="1">
      <alignment vertical="center"/>
      <protection locked="0"/>
    </xf>
    <xf numFmtId="0" fontId="48" fillId="34" borderId="0" xfId="0" applyFont="1" applyFill="1" applyAlignment="1" applyProtection="1">
      <alignment vertical="center"/>
    </xf>
    <xf numFmtId="0" fontId="49" fillId="34" borderId="0" xfId="0" applyFont="1" applyFill="1" applyAlignment="1" applyProtection="1">
      <alignment vertical="center"/>
    </xf>
    <xf numFmtId="0" fontId="31" fillId="34" borderId="0" xfId="0" applyFont="1" applyFill="1" applyAlignment="1" applyProtection="1">
      <alignment vertical="center"/>
    </xf>
    <xf numFmtId="0" fontId="44" fillId="34" borderId="0" xfId="0" applyFont="1" applyFill="1" applyAlignment="1" applyProtection="1">
      <alignment horizontal="left" vertical="center"/>
    </xf>
    <xf numFmtId="0" fontId="0" fillId="34" borderId="0" xfId="0" applyFill="1" applyAlignment="1" applyProtection="1">
      <alignment vertical="center"/>
    </xf>
    <xf numFmtId="0" fontId="0" fillId="35" borderId="0" xfId="0" applyFill="1" applyAlignment="1" applyProtection="1">
      <alignment vertical="center"/>
    </xf>
    <xf numFmtId="0" fontId="38" fillId="0" borderId="0" xfId="0" applyFont="1" applyFill="1" applyAlignment="1" applyProtection="1">
      <alignment vertical="center"/>
    </xf>
    <xf numFmtId="0" fontId="37" fillId="37" borderId="0" xfId="0" applyFont="1" applyFill="1" applyAlignment="1" applyProtection="1">
      <alignment vertical="center"/>
    </xf>
    <xf numFmtId="0" fontId="0" fillId="0" borderId="0" xfId="0" applyFill="1" applyAlignment="1" applyProtection="1">
      <alignment vertical="center"/>
    </xf>
    <xf numFmtId="0" fontId="50" fillId="37" borderId="0" xfId="0" applyFont="1" applyFill="1" applyAlignment="1" applyProtection="1">
      <alignment vertical="center"/>
    </xf>
    <xf numFmtId="0" fontId="31" fillId="37" borderId="0" xfId="0" applyFont="1" applyFill="1" applyAlignment="1" applyProtection="1">
      <alignment vertical="center"/>
    </xf>
    <xf numFmtId="0" fontId="50" fillId="35" borderId="0" xfId="0" applyFont="1" applyFill="1" applyAlignment="1" applyProtection="1">
      <alignment vertical="center"/>
    </xf>
    <xf numFmtId="171" fontId="40" fillId="35" borderId="4" xfId="0" applyNumberFormat="1" applyFont="1" applyFill="1" applyBorder="1" applyAlignment="1" applyProtection="1">
      <alignment vertical="center"/>
    </xf>
    <xf numFmtId="171" fontId="40" fillId="35" borderId="0" xfId="0" applyNumberFormat="1" applyFont="1" applyFill="1" applyBorder="1" applyAlignment="1" applyProtection="1">
      <alignment vertical="center"/>
    </xf>
    <xf numFmtId="0" fontId="33" fillId="0" borderId="0" xfId="0" applyFont="1" applyFill="1" applyAlignment="1" applyProtection="1">
      <alignment vertical="center"/>
    </xf>
    <xf numFmtId="0" fontId="52" fillId="37" borderId="0" xfId="0" applyFont="1" applyFill="1" applyAlignment="1" applyProtection="1">
      <alignment vertical="center"/>
    </xf>
    <xf numFmtId="0" fontId="53" fillId="37" borderId="0" xfId="0" applyFont="1" applyFill="1" applyAlignment="1" applyProtection="1">
      <alignment horizontal="right" vertical="center"/>
    </xf>
    <xf numFmtId="0" fontId="33" fillId="35" borderId="0" xfId="0" applyFont="1" applyFill="1" applyAlignment="1" applyProtection="1">
      <alignment vertical="center"/>
    </xf>
    <xf numFmtId="0" fontId="54" fillId="35" borderId="0" xfId="0" applyFont="1" applyFill="1" applyAlignment="1" applyProtection="1">
      <alignment vertical="center"/>
    </xf>
    <xf numFmtId="0" fontId="55" fillId="35" borderId="0" xfId="0" applyFont="1" applyFill="1" applyAlignment="1" applyProtection="1">
      <alignment vertical="center"/>
    </xf>
    <xf numFmtId="0" fontId="0" fillId="35" borderId="0" xfId="0" applyFont="1" applyFill="1" applyBorder="1" applyAlignment="1" applyProtection="1">
      <alignment vertical="center"/>
    </xf>
    <xf numFmtId="0" fontId="0" fillId="0" borderId="0" xfId="0" applyFont="1" applyFill="1" applyAlignment="1" applyProtection="1">
      <alignment vertical="center"/>
    </xf>
    <xf numFmtId="0" fontId="40" fillId="35" borderId="0" xfId="0" applyFont="1" applyFill="1" applyAlignment="1" applyProtection="1">
      <alignment vertical="center"/>
    </xf>
    <xf numFmtId="0" fontId="49" fillId="34" borderId="0" xfId="0" applyFont="1" applyFill="1" applyAlignment="1">
      <alignment vertical="center"/>
      <protection locked="0"/>
    </xf>
    <xf numFmtId="0" fontId="31" fillId="34" borderId="0" xfId="0" applyFont="1" applyFill="1" applyAlignment="1">
      <alignment vertical="center"/>
      <protection locked="0"/>
    </xf>
    <xf numFmtId="0" fontId="0" fillId="34" borderId="0" xfId="0" applyFill="1" applyAlignment="1">
      <alignment vertical="center"/>
      <protection locked="0"/>
    </xf>
    <xf numFmtId="0" fontId="49" fillId="34" borderId="0" xfId="0" applyFont="1" applyFill="1" applyAlignment="1" applyProtection="1">
      <alignment horizontal="center" vertical="center"/>
    </xf>
    <xf numFmtId="0" fontId="0" fillId="35" borderId="0" xfId="0" applyFill="1" applyAlignment="1">
      <alignment vertical="center"/>
      <protection locked="0"/>
    </xf>
    <xf numFmtId="0" fontId="0" fillId="0" borderId="0" xfId="0" applyAlignment="1">
      <alignment vertical="center"/>
      <protection locked="0"/>
    </xf>
    <xf numFmtId="0" fontId="38" fillId="0" borderId="0" xfId="0" applyFont="1" applyFill="1" applyAlignment="1">
      <alignment vertical="center"/>
      <protection locked="0"/>
    </xf>
    <xf numFmtId="0" fontId="44" fillId="37" borderId="0" xfId="0" applyFont="1" applyFill="1" applyAlignment="1">
      <alignment vertical="center"/>
      <protection locked="0"/>
    </xf>
    <xf numFmtId="0" fontId="37" fillId="37" borderId="0" xfId="0" applyFont="1" applyFill="1" applyAlignment="1">
      <alignment vertical="center"/>
      <protection locked="0"/>
    </xf>
    <xf numFmtId="0" fontId="0" fillId="0" borderId="0" xfId="0" applyFill="1" applyAlignment="1">
      <alignment vertical="center"/>
      <protection locked="0"/>
    </xf>
    <xf numFmtId="0" fontId="50" fillId="37" borderId="0" xfId="0" applyFont="1" applyFill="1" applyAlignment="1">
      <alignment vertical="center"/>
      <protection locked="0"/>
    </xf>
    <xf numFmtId="0" fontId="31" fillId="37" borderId="0" xfId="0" applyFont="1" applyFill="1" applyAlignment="1">
      <alignment vertical="center"/>
      <protection locked="0"/>
    </xf>
    <xf numFmtId="0" fontId="0" fillId="0" borderId="0" xfId="0" applyFont="1" applyAlignment="1">
      <alignment vertical="center"/>
      <protection locked="0"/>
    </xf>
    <xf numFmtId="0" fontId="40" fillId="35" borderId="0" xfId="0" applyFont="1" applyFill="1" applyAlignment="1">
      <alignment vertical="center"/>
      <protection locked="0"/>
    </xf>
    <xf numFmtId="0" fontId="56" fillId="0" borderId="0" xfId="0" applyFont="1" applyFill="1" applyAlignment="1">
      <alignment vertical="center"/>
      <protection locked="0"/>
    </xf>
    <xf numFmtId="171" fontId="50" fillId="35" borderId="0" xfId="0" applyNumberFormat="1" applyFont="1" applyFill="1" applyAlignment="1">
      <alignment vertical="center"/>
      <protection locked="0"/>
    </xf>
    <xf numFmtId="0" fontId="32" fillId="35" borderId="0" xfId="0" applyFont="1" applyFill="1" applyAlignment="1" applyProtection="1">
      <alignment vertical="center"/>
    </xf>
    <xf numFmtId="10" fontId="0" fillId="36" borderId="4" xfId="0" applyNumberFormat="1" applyFont="1" applyFill="1" applyBorder="1" applyAlignment="1">
      <alignment vertical="center"/>
      <protection locked="0"/>
    </xf>
    <xf numFmtId="171" fontId="0" fillId="39" borderId="4" xfId="0" applyNumberFormat="1" applyFont="1" applyFill="1" applyBorder="1" applyAlignment="1" applyProtection="1">
      <alignment vertical="center"/>
    </xf>
    <xf numFmtId="171" fontId="32" fillId="38" borderId="4" xfId="0" applyNumberFormat="1" applyFont="1" applyFill="1" applyBorder="1" applyAlignment="1" applyProtection="1">
      <alignment vertical="center"/>
    </xf>
    <xf numFmtId="0" fontId="33" fillId="0" borderId="0" xfId="0" applyFont="1" applyFill="1" applyAlignment="1">
      <alignment vertical="center"/>
      <protection locked="0"/>
    </xf>
    <xf numFmtId="0" fontId="52" fillId="37" borderId="0" xfId="0" applyFont="1" applyFill="1" applyAlignment="1">
      <alignment vertical="center"/>
      <protection locked="0"/>
    </xf>
    <xf numFmtId="0" fontId="53" fillId="37" borderId="0" xfId="0" applyFont="1" applyFill="1" applyAlignment="1">
      <alignment horizontal="right" vertical="center"/>
      <protection locked="0"/>
    </xf>
    <xf numFmtId="0" fontId="40" fillId="0" borderId="4" xfId="0" applyFont="1" applyFill="1" applyBorder="1" applyAlignment="1">
      <alignment horizontal="center" vertical="center"/>
      <protection locked="0"/>
    </xf>
    <xf numFmtId="0" fontId="44" fillId="37" borderId="0" xfId="0" applyFont="1" applyFill="1" applyAlignment="1">
      <alignment horizontal="right" vertical="center"/>
      <protection locked="0"/>
    </xf>
    <xf numFmtId="0" fontId="33" fillId="35" borderId="0" xfId="0" applyFont="1" applyFill="1" applyAlignment="1">
      <alignment vertical="center"/>
      <protection locked="0"/>
    </xf>
    <xf numFmtId="0" fontId="54" fillId="35" borderId="0" xfId="0" applyFont="1" applyFill="1" applyAlignment="1">
      <alignment vertical="center"/>
      <protection locked="0"/>
    </xf>
    <xf numFmtId="0" fontId="40" fillId="0" borderId="0" xfId="0" applyFont="1" applyAlignment="1">
      <alignment vertical="center"/>
      <protection locked="0"/>
    </xf>
    <xf numFmtId="0" fontId="32" fillId="35" borderId="0" xfId="0" applyFont="1" applyFill="1" applyAlignment="1">
      <alignment vertical="center"/>
      <protection locked="0"/>
    </xf>
    <xf numFmtId="171" fontId="42" fillId="38" borderId="4" xfId="33" applyNumberFormat="1" applyFont="1" applyFill="1" applyBorder="1" applyAlignment="1" applyProtection="1">
      <alignment vertical="center"/>
    </xf>
    <xf numFmtId="0" fontId="0" fillId="35" borderId="0" xfId="0" applyFont="1" applyFill="1" applyBorder="1" applyAlignment="1">
      <alignment vertical="center"/>
      <protection locked="0"/>
    </xf>
    <xf numFmtId="0" fontId="40" fillId="0" borderId="4" xfId="0" applyFont="1" applyBorder="1" applyAlignment="1" applyProtection="1">
      <alignment vertical="center"/>
    </xf>
    <xf numFmtId="0" fontId="56" fillId="35" borderId="0" xfId="0" applyFont="1" applyFill="1" applyAlignment="1">
      <alignment vertical="center"/>
      <protection locked="0"/>
    </xf>
    <xf numFmtId="0" fontId="31" fillId="0" borderId="0" xfId="0" applyFont="1" applyAlignment="1">
      <alignment vertical="center"/>
      <protection locked="0"/>
    </xf>
    <xf numFmtId="0" fontId="50" fillId="35" borderId="0" xfId="0" applyFont="1" applyFill="1" applyAlignment="1">
      <alignment vertical="center"/>
      <protection locked="0"/>
    </xf>
    <xf numFmtId="0" fontId="41" fillId="0" borderId="0" xfId="0" applyFont="1" applyAlignment="1">
      <alignment vertical="center"/>
      <protection locked="0"/>
    </xf>
    <xf numFmtId="0" fontId="43" fillId="35" borderId="0" xfId="0" applyFont="1" applyFill="1" applyBorder="1" applyAlignment="1">
      <alignment vertical="center"/>
      <protection locked="0"/>
    </xf>
    <xf numFmtId="0" fontId="57" fillId="37" borderId="0" xfId="0" applyFont="1" applyFill="1" applyAlignment="1">
      <alignment vertical="center"/>
      <protection locked="0"/>
    </xf>
    <xf numFmtId="0" fontId="40" fillId="35" borderId="0" xfId="0" applyFont="1" applyFill="1" applyBorder="1" applyAlignment="1">
      <alignment vertical="center"/>
      <protection locked="0"/>
    </xf>
    <xf numFmtId="0" fontId="37" fillId="0" borderId="0" xfId="0" applyFont="1" applyFill="1" applyAlignment="1">
      <alignment vertical="center"/>
      <protection locked="0"/>
    </xf>
    <xf numFmtId="0" fontId="53" fillId="37" borderId="0" xfId="0" applyFont="1" applyFill="1" applyAlignment="1">
      <alignment vertical="center"/>
      <protection locked="0"/>
    </xf>
    <xf numFmtId="0" fontId="40" fillId="0" borderId="0" xfId="0" applyFont="1" applyFill="1" applyAlignment="1">
      <alignment vertical="center"/>
      <protection locked="0"/>
    </xf>
    <xf numFmtId="0" fontId="58" fillId="35" borderId="0" xfId="0" applyFont="1" applyFill="1" applyAlignment="1">
      <alignment vertical="center"/>
      <protection locked="0"/>
    </xf>
    <xf numFmtId="0" fontId="59" fillId="35" borderId="0" xfId="0" applyFont="1" applyFill="1" applyAlignment="1">
      <alignment vertical="center"/>
      <protection locked="0"/>
    </xf>
    <xf numFmtId="0" fontId="39" fillId="35" borderId="0" xfId="0" applyFont="1" applyFill="1" applyAlignment="1">
      <alignment vertical="center"/>
      <protection locked="0"/>
    </xf>
    <xf numFmtId="0" fontId="40" fillId="35" borderId="4" xfId="0" applyFont="1" applyFill="1" applyBorder="1" applyAlignment="1">
      <alignment horizontal="center" vertical="center"/>
      <protection locked="0"/>
    </xf>
    <xf numFmtId="0" fontId="39" fillId="35" borderId="0" xfId="0" applyFont="1" applyFill="1" applyAlignment="1">
      <alignment horizontal="left" vertical="center" wrapText="1"/>
      <protection locked="0"/>
    </xf>
    <xf numFmtId="0" fontId="31" fillId="37" borderId="0" xfId="0" applyFont="1" applyFill="1" applyAlignment="1">
      <alignment vertical="center" wrapText="1"/>
      <protection locked="0"/>
    </xf>
    <xf numFmtId="0" fontId="0" fillId="35" borderId="0" xfId="0" applyFill="1" applyAlignment="1">
      <alignment vertical="center" wrapText="1"/>
      <protection locked="0"/>
    </xf>
    <xf numFmtId="171" fontId="0" fillId="0" borderId="0" xfId="0" applyNumberFormat="1" applyAlignment="1">
      <alignment vertical="center"/>
      <protection locked="0"/>
    </xf>
    <xf numFmtId="9" fontId="11" fillId="0" borderId="0" xfId="39" applyNumberFormat="1" applyFont="1" applyFill="1" applyBorder="1" applyAlignment="1" applyProtection="1">
      <alignment vertical="center"/>
    </xf>
    <xf numFmtId="0" fontId="32" fillId="35" borderId="0" xfId="0" applyFont="1" applyFill="1" applyAlignment="1">
      <alignment horizontal="left" vertical="center" wrapText="1"/>
      <protection locked="0"/>
    </xf>
    <xf numFmtId="9" fontId="11" fillId="0" borderId="0" xfId="39" applyNumberFormat="1" applyFont="1" applyFill="1" applyBorder="1" applyAlignment="1" applyProtection="1">
      <alignment vertical="center"/>
    </xf>
    <xf numFmtId="0" fontId="0" fillId="35" borderId="0" xfId="0" applyFont="1" applyFill="1" applyAlignment="1">
      <alignment vertical="center"/>
      <protection locked="0"/>
    </xf>
    <xf numFmtId="0" fontId="53" fillId="37" borderId="0" xfId="0" applyFont="1" applyFill="1" applyAlignment="1" applyProtection="1">
      <alignment vertical="center"/>
    </xf>
    <xf numFmtId="10" fontId="11" fillId="35" borderId="0" xfId="39" applyNumberFormat="1" applyFont="1" applyFill="1" applyBorder="1" applyAlignment="1" applyProtection="1">
      <alignment vertical="center"/>
    </xf>
    <xf numFmtId="0" fontId="41" fillId="35" borderId="0" xfId="0" applyFont="1" applyFill="1" applyBorder="1" applyAlignment="1">
      <alignment vertical="center"/>
      <protection locked="0"/>
    </xf>
    <xf numFmtId="0" fontId="41" fillId="35" borderId="0" xfId="0" applyFont="1" applyFill="1" applyAlignment="1">
      <alignment vertical="center"/>
      <protection locked="0"/>
    </xf>
    <xf numFmtId="0" fontId="60" fillId="37" borderId="0" xfId="0" applyFont="1" applyFill="1" applyAlignment="1">
      <alignment vertical="center"/>
      <protection locked="0"/>
    </xf>
    <xf numFmtId="0" fontId="61" fillId="35" borderId="0" xfId="0" applyFont="1" applyFill="1" applyAlignment="1">
      <alignment vertical="center"/>
      <protection locked="0"/>
    </xf>
    <xf numFmtId="0" fontId="62" fillId="35" borderId="0" xfId="0" applyFont="1" applyFill="1" applyAlignment="1">
      <alignment vertical="center"/>
      <protection locked="0"/>
    </xf>
    <xf numFmtId="0" fontId="37" fillId="37" borderId="0" xfId="0" applyFont="1" applyFill="1" applyAlignment="1">
      <alignment vertical="center" wrapText="1"/>
      <protection locked="0"/>
    </xf>
    <xf numFmtId="0" fontId="0" fillId="35" borderId="0" xfId="0" applyFont="1" applyFill="1" applyAlignment="1">
      <alignment horizontal="left" vertical="center" wrapText="1"/>
      <protection locked="0"/>
    </xf>
    <xf numFmtId="0" fontId="63" fillId="35" borderId="0" xfId="0" applyFont="1" applyFill="1" applyAlignment="1">
      <alignment vertical="center"/>
      <protection locked="0"/>
    </xf>
    <xf numFmtId="168" fontId="0" fillId="35" borderId="0" xfId="0" applyNumberFormat="1" applyFont="1" applyFill="1" applyBorder="1" applyAlignment="1">
      <alignment vertical="center" wrapText="1"/>
      <protection locked="0"/>
    </xf>
    <xf numFmtId="171" fontId="0" fillId="36" borderId="4" xfId="0" applyNumberFormat="1" applyFont="1" applyFill="1" applyBorder="1" applyAlignment="1">
      <alignment vertical="center"/>
      <protection locked="0"/>
    </xf>
    <xf numFmtId="10" fontId="11" fillId="36" borderId="4" xfId="39" applyNumberFormat="1" applyFont="1" applyFill="1" applyBorder="1" applyAlignment="1" applyProtection="1">
      <alignment vertical="center"/>
      <protection locked="0"/>
    </xf>
    <xf numFmtId="2" fontId="11" fillId="36" borderId="4" xfId="33" applyNumberFormat="1" applyFont="1" applyFill="1" applyBorder="1" applyAlignment="1" applyProtection="1">
      <alignment vertical="center"/>
    </xf>
    <xf numFmtId="2" fontId="11" fillId="38" borderId="4" xfId="33" applyNumberFormat="1" applyFont="1" applyFill="1" applyBorder="1" applyAlignment="1" applyProtection="1">
      <alignment vertical="center"/>
    </xf>
    <xf numFmtId="178" fontId="0" fillId="36" borderId="4" xfId="0" applyNumberFormat="1" applyFont="1" applyFill="1" applyBorder="1" applyAlignment="1">
      <alignment vertical="center"/>
      <protection locked="0"/>
    </xf>
    <xf numFmtId="10" fontId="50" fillId="35" borderId="0" xfId="0" applyNumberFormat="1" applyFont="1" applyFill="1" applyAlignment="1">
      <alignment vertical="center"/>
      <protection locked="0"/>
    </xf>
    <xf numFmtId="0" fontId="31" fillId="35" borderId="0" xfId="0" applyFont="1" applyFill="1" applyAlignment="1">
      <alignment vertical="center"/>
      <protection locked="0"/>
    </xf>
    <xf numFmtId="0" fontId="31" fillId="0" borderId="0" xfId="0" applyFont="1" applyFill="1" applyAlignment="1">
      <alignment vertical="center"/>
      <protection locked="0"/>
    </xf>
    <xf numFmtId="0" fontId="50" fillId="37" borderId="0" xfId="0" applyFont="1" applyFill="1" applyAlignment="1">
      <alignment vertical="center" wrapText="1"/>
      <protection locked="0"/>
    </xf>
    <xf numFmtId="0" fontId="0" fillId="36" borderId="4" xfId="0" applyFont="1" applyFill="1" applyBorder="1" applyAlignment="1">
      <alignment horizontal="center" vertical="center" wrapText="1"/>
      <protection locked="0"/>
    </xf>
    <xf numFmtId="0" fontId="0" fillId="38" borderId="4" xfId="0" applyFont="1" applyFill="1" applyBorder="1" applyAlignment="1">
      <alignment vertical="center" wrapText="1"/>
      <protection locked="0"/>
    </xf>
    <xf numFmtId="0" fontId="0" fillId="35" borderId="0" xfId="0" applyFill="1" applyAlignment="1" applyProtection="1">
      <alignment vertical="center"/>
      <protection locked="0"/>
    </xf>
    <xf numFmtId="0" fontId="47" fillId="41" borderId="4" xfId="0" applyFont="1" applyFill="1" applyBorder="1" applyAlignment="1" applyProtection="1">
      <alignment horizontal="center" vertical="center"/>
    </xf>
    <xf numFmtId="177" fontId="30" fillId="0" borderId="4" xfId="0" applyNumberFormat="1" applyFont="1" applyFill="1" applyBorder="1" applyAlignment="1">
      <alignment vertical="center"/>
      <protection locked="0"/>
    </xf>
    <xf numFmtId="0" fontId="30" fillId="38" borderId="4" xfId="0" applyNumberFormat="1" applyFont="1" applyFill="1" applyBorder="1" applyAlignment="1" applyProtection="1">
      <alignment horizontal="center" vertical="center"/>
    </xf>
    <xf numFmtId="0" fontId="0" fillId="0" borderId="0" xfId="0" applyFont="1" applyFill="1" applyAlignment="1">
      <alignment vertical="center"/>
      <protection locked="0"/>
    </xf>
    <xf numFmtId="0" fontId="0" fillId="35" borderId="0" xfId="0" applyFont="1" applyFill="1" applyBorder="1" applyAlignment="1">
      <alignment vertical="center" wrapText="1"/>
      <protection locked="0"/>
    </xf>
    <xf numFmtId="0" fontId="0" fillId="35" borderId="2" xfId="0" applyFont="1" applyFill="1" applyBorder="1" applyAlignment="1">
      <alignment vertical="center"/>
      <protection locked="0"/>
    </xf>
    <xf numFmtId="171" fontId="39" fillId="38" borderId="4" xfId="33" applyNumberFormat="1" applyFont="1" applyFill="1" applyBorder="1" applyAlignment="1" applyProtection="1">
      <alignment vertical="center" wrapText="1"/>
    </xf>
    <xf numFmtId="0" fontId="0" fillId="35" borderId="3" xfId="0" applyFont="1" applyFill="1" applyBorder="1" applyAlignment="1">
      <alignment vertical="center"/>
      <protection locked="0"/>
    </xf>
    <xf numFmtId="171" fontId="51" fillId="38" borderId="4" xfId="33" applyNumberFormat="1" applyFont="1" applyFill="1" applyBorder="1" applyAlignment="1" applyProtection="1">
      <alignment vertical="center" wrapText="1"/>
    </xf>
    <xf numFmtId="171" fontId="40" fillId="35" borderId="4" xfId="0" applyNumberFormat="1" applyFont="1" applyFill="1" applyBorder="1" applyAlignment="1">
      <alignment vertical="center"/>
      <protection locked="0"/>
    </xf>
    <xf numFmtId="171" fontId="40" fillId="35" borderId="0" xfId="0" applyNumberFormat="1" applyFont="1" applyFill="1" applyBorder="1" applyAlignment="1">
      <alignment vertical="center"/>
      <protection locked="0"/>
    </xf>
    <xf numFmtId="0" fontId="32" fillId="35" borderId="3" xfId="0" applyFont="1" applyFill="1" applyBorder="1" applyAlignment="1">
      <alignment vertical="center"/>
      <protection locked="0"/>
    </xf>
    <xf numFmtId="0" fontId="39" fillId="35" borderId="0" xfId="0" applyFont="1" applyFill="1" applyBorder="1" applyAlignment="1">
      <alignment horizontal="center" vertical="center" wrapText="1"/>
      <protection locked="0"/>
    </xf>
    <xf numFmtId="0" fontId="0" fillId="38" borderId="4" xfId="0" applyFont="1" applyFill="1" applyBorder="1" applyAlignment="1" applyProtection="1">
      <alignment horizontal="center" vertical="center" wrapText="1"/>
    </xf>
    <xf numFmtId="0" fontId="0" fillId="38" borderId="2" xfId="0" applyFont="1" applyFill="1" applyBorder="1" applyAlignment="1">
      <alignment vertical="center" wrapText="1"/>
      <protection locked="0"/>
    </xf>
    <xf numFmtId="171" fontId="11" fillId="38" borderId="4" xfId="33" applyNumberFormat="1" applyFont="1" applyFill="1" applyBorder="1" applyAlignment="1" applyProtection="1">
      <alignment vertical="center" wrapText="1"/>
    </xf>
    <xf numFmtId="170" fontId="0" fillId="35" borderId="0" xfId="0" applyNumberFormat="1" applyFont="1" applyFill="1" applyAlignment="1">
      <alignment vertical="center"/>
      <protection locked="0"/>
    </xf>
    <xf numFmtId="0" fontId="0" fillId="35" borderId="0" xfId="0" applyFont="1" applyFill="1" applyBorder="1" applyAlignment="1">
      <alignment horizontal="center" vertical="center"/>
      <protection locked="0"/>
    </xf>
    <xf numFmtId="171" fontId="0" fillId="38" borderId="10" xfId="0" applyNumberFormat="1" applyFont="1" applyFill="1" applyBorder="1" applyAlignment="1" applyProtection="1">
      <alignment vertical="center"/>
    </xf>
    <xf numFmtId="0" fontId="0" fillId="0" borderId="0" xfId="0" applyFont="1" applyBorder="1" applyAlignment="1">
      <alignment vertical="center"/>
      <protection locked="0"/>
    </xf>
    <xf numFmtId="0" fontId="0" fillId="35" borderId="0" xfId="0" applyFont="1" applyFill="1" applyBorder="1" applyAlignment="1">
      <alignment vertical="center"/>
      <protection locked="0"/>
    </xf>
    <xf numFmtId="0" fontId="0" fillId="35" borderId="0" xfId="0" applyFont="1" applyFill="1" applyAlignment="1" applyProtection="1">
      <alignment vertical="center"/>
      <protection locked="0"/>
    </xf>
    <xf numFmtId="0" fontId="65" fillId="35" borderId="0" xfId="0" applyFont="1" applyFill="1" applyAlignment="1">
      <alignment vertical="center"/>
      <protection locked="0"/>
    </xf>
    <xf numFmtId="171" fontId="0" fillId="35" borderId="4" xfId="0" applyNumberFormat="1" applyFont="1" applyFill="1" applyBorder="1" applyAlignment="1" applyProtection="1">
      <alignment vertical="center"/>
    </xf>
    <xf numFmtId="0" fontId="66" fillId="37" borderId="0" xfId="0" applyFont="1" applyFill="1" applyAlignment="1">
      <alignment vertical="center"/>
      <protection locked="0"/>
    </xf>
    <xf numFmtId="171" fontId="50" fillId="0" borderId="0" xfId="0" applyNumberFormat="1" applyFont="1" applyFill="1" applyBorder="1" applyAlignment="1" applyProtection="1">
      <alignment vertical="center"/>
    </xf>
    <xf numFmtId="0" fontId="32" fillId="38" borderId="4" xfId="0" applyFont="1" applyFill="1" applyBorder="1" applyAlignment="1">
      <alignment vertical="center"/>
      <protection locked="0"/>
    </xf>
    <xf numFmtId="0" fontId="6" fillId="0" borderId="4" xfId="0" applyFont="1" applyBorder="1" applyAlignment="1">
      <alignment horizontal="center" vertical="center" wrapText="1"/>
      <protection locked="0"/>
    </xf>
    <xf numFmtId="0" fontId="4" fillId="0" borderId="0" xfId="0" applyFont="1" applyAlignment="1">
      <alignment vertical="center" wrapText="1"/>
      <protection locked="0"/>
    </xf>
    <xf numFmtId="0" fontId="4" fillId="0" borderId="0" xfId="0" applyFont="1" applyAlignment="1">
      <alignment vertical="center"/>
      <protection locked="0"/>
    </xf>
    <xf numFmtId="1" fontId="5" fillId="0" borderId="4" xfId="0" applyNumberFormat="1" applyFont="1" applyBorder="1" applyAlignment="1">
      <alignment horizontal="center" vertical="center"/>
      <protection locked="0"/>
    </xf>
    <xf numFmtId="171" fontId="5" fillId="41" borderId="4" xfId="0" applyNumberFormat="1" applyFont="1" applyFill="1" applyBorder="1" applyAlignment="1">
      <alignment vertical="center"/>
      <protection locked="0"/>
    </xf>
    <xf numFmtId="3" fontId="5" fillId="41" borderId="4" xfId="0" applyNumberFormat="1" applyFont="1" applyFill="1" applyBorder="1" applyAlignment="1" applyProtection="1">
      <alignment vertical="center"/>
    </xf>
    <xf numFmtId="4" fontId="5" fillId="41" borderId="4" xfId="0" applyNumberFormat="1" applyFont="1" applyFill="1" applyBorder="1" applyAlignment="1" applyProtection="1">
      <alignment vertical="center"/>
    </xf>
    <xf numFmtId="0" fontId="5" fillId="41" borderId="4" xfId="0" applyFont="1" applyFill="1" applyBorder="1" applyAlignment="1" applyProtection="1">
      <alignment vertical="center"/>
    </xf>
    <xf numFmtId="10" fontId="5" fillId="41" borderId="4" xfId="0" applyNumberFormat="1" applyFont="1" applyFill="1" applyBorder="1" applyAlignment="1" applyProtection="1">
      <alignment vertical="center"/>
    </xf>
    <xf numFmtId="171" fontId="5" fillId="0" borderId="4" xfId="0" applyNumberFormat="1" applyFont="1" applyBorder="1" applyAlignment="1">
      <alignment vertical="center"/>
      <protection locked="0"/>
    </xf>
    <xf numFmtId="174" fontId="4" fillId="0" borderId="0" xfId="0" applyNumberFormat="1" applyFont="1" applyAlignment="1">
      <alignment horizontal="left" vertical="center"/>
      <protection locked="0"/>
    </xf>
    <xf numFmtId="175" fontId="4" fillId="0" borderId="0" xfId="0" applyNumberFormat="1" applyFont="1" applyAlignment="1">
      <alignment vertical="center"/>
      <protection locked="0"/>
    </xf>
    <xf numFmtId="176" fontId="4" fillId="0" borderId="0" xfId="0" applyNumberFormat="1" applyFont="1" applyAlignment="1">
      <alignment vertical="center"/>
      <protection locked="0"/>
    </xf>
    <xf numFmtId="3" fontId="4" fillId="0" borderId="0" xfId="0" applyNumberFormat="1" applyFont="1" applyAlignment="1">
      <alignment vertical="center"/>
      <protection locked="0"/>
    </xf>
    <xf numFmtId="4" fontId="4" fillId="0" borderId="0" xfId="0" applyNumberFormat="1" applyFont="1" applyAlignment="1">
      <alignment vertical="center"/>
      <protection locked="0"/>
    </xf>
    <xf numFmtId="10" fontId="4" fillId="0" borderId="0" xfId="0" applyNumberFormat="1" applyFont="1" applyAlignment="1">
      <alignment vertical="center"/>
      <protection locked="0"/>
    </xf>
    <xf numFmtId="0" fontId="39" fillId="0" borderId="0" xfId="0" applyFont="1" applyAlignment="1">
      <alignment vertical="center"/>
      <protection locked="0"/>
    </xf>
    <xf numFmtId="175" fontId="39" fillId="0" borderId="0" xfId="0" applyNumberFormat="1" applyFont="1" applyAlignment="1">
      <alignment vertical="center"/>
      <protection locked="0"/>
    </xf>
    <xf numFmtId="0" fontId="67" fillId="42" borderId="0" xfId="0" applyFont="1" applyFill="1" applyAlignment="1" applyProtection="1">
      <alignment vertical="center"/>
    </xf>
    <xf numFmtId="0" fontId="49" fillId="42" borderId="0" xfId="0" applyFont="1" applyFill="1" applyAlignment="1">
      <alignment vertical="center"/>
      <protection locked="0"/>
    </xf>
    <xf numFmtId="0" fontId="31" fillId="42" borderId="0" xfId="0" applyFont="1" applyFill="1" applyAlignment="1">
      <alignment vertical="center"/>
      <protection locked="0"/>
    </xf>
    <xf numFmtId="0" fontId="44" fillId="42" borderId="0" xfId="0" applyFont="1" applyFill="1" applyAlignment="1" applyProtection="1">
      <alignment horizontal="left" vertical="center"/>
    </xf>
    <xf numFmtId="0" fontId="31" fillId="35" borderId="0" xfId="0" applyFont="1" applyFill="1" applyAlignment="1" applyProtection="1">
      <alignment vertical="center"/>
    </xf>
    <xf numFmtId="0" fontId="0" fillId="36" borderId="10" xfId="0" applyFont="1" applyFill="1" applyBorder="1" applyAlignment="1" applyProtection="1">
      <alignment vertical="center" wrapText="1"/>
      <protection locked="0"/>
    </xf>
    <xf numFmtId="0" fontId="0" fillId="36" borderId="4" xfId="0" applyFont="1" applyFill="1" applyBorder="1" applyAlignment="1" applyProtection="1">
      <alignment vertical="center" wrapText="1"/>
      <protection locked="0"/>
    </xf>
    <xf numFmtId="0" fontId="50" fillId="40" borderId="0" xfId="0" applyFont="1" applyFill="1" applyAlignment="1">
      <alignment vertical="center"/>
      <protection locked="0"/>
    </xf>
    <xf numFmtId="0" fontId="49" fillId="40" borderId="0" xfId="0" applyFont="1" applyFill="1" applyAlignment="1">
      <alignment vertical="center"/>
      <protection locked="0"/>
    </xf>
    <xf numFmtId="0" fontId="44" fillId="40" borderId="0" xfId="0" applyFont="1" applyFill="1" applyAlignment="1">
      <alignment horizontal="left" vertical="center"/>
      <protection locked="0"/>
    </xf>
    <xf numFmtId="0" fontId="37" fillId="40" borderId="0" xfId="0" applyFont="1" applyFill="1" applyAlignment="1">
      <alignment vertical="center"/>
      <protection locked="0"/>
    </xf>
    <xf numFmtId="0" fontId="6" fillId="41" borderId="4" xfId="0" applyFont="1" applyFill="1" applyBorder="1" applyAlignment="1">
      <alignment horizontal="center" vertical="center" wrapText="1"/>
      <protection locked="0"/>
    </xf>
    <xf numFmtId="1" fontId="32" fillId="41" borderId="4" xfId="0" applyNumberFormat="1" applyFont="1" applyFill="1" applyBorder="1" applyAlignment="1" applyProtection="1">
      <alignment horizontal="center" vertical="center"/>
    </xf>
    <xf numFmtId="0" fontId="41" fillId="0" borderId="4" xfId="0" applyFont="1" applyBorder="1" applyAlignment="1">
      <alignment horizontal="center" vertical="center"/>
      <protection locked="0"/>
    </xf>
    <xf numFmtId="171" fontId="5" fillId="38" borderId="4" xfId="0" applyNumberFormat="1" applyFont="1" applyFill="1" applyBorder="1" applyAlignment="1" applyProtection="1">
      <alignment vertical="center"/>
    </xf>
    <xf numFmtId="0" fontId="5" fillId="0" borderId="11" xfId="0" applyFont="1" applyFill="1" applyBorder="1" applyAlignment="1">
      <alignment vertical="center"/>
      <protection locked="0"/>
    </xf>
    <xf numFmtId="0" fontId="12" fillId="0" borderId="11" xfId="0" applyFont="1" applyBorder="1" applyAlignment="1">
      <alignment vertical="center"/>
      <protection locked="0"/>
    </xf>
    <xf numFmtId="0" fontId="41" fillId="0" borderId="4" xfId="0" applyFont="1" applyBorder="1" applyAlignment="1" applyProtection="1">
      <alignment vertical="center"/>
    </xf>
    <xf numFmtId="0" fontId="41" fillId="0" borderId="4" xfId="0" applyFont="1" applyBorder="1" applyAlignment="1" applyProtection="1">
      <alignment horizontal="center" vertical="center"/>
    </xf>
    <xf numFmtId="0" fontId="5" fillId="0" borderId="0" xfId="0" applyFont="1" applyFill="1" applyBorder="1" applyAlignment="1">
      <alignment vertical="center"/>
      <protection locked="0"/>
    </xf>
    <xf numFmtId="0" fontId="10" fillId="0" borderId="0" xfId="0" applyFont="1" applyFill="1" applyBorder="1" applyAlignment="1">
      <alignment vertical="center" wrapText="1"/>
      <protection locked="0"/>
    </xf>
    <xf numFmtId="0" fontId="41" fillId="43" borderId="4" xfId="0" applyFont="1" applyFill="1" applyBorder="1" applyAlignment="1" applyProtection="1">
      <alignment vertical="center"/>
    </xf>
    <xf numFmtId="171" fontId="5" fillId="43" borderId="4" xfId="0" applyNumberFormat="1" applyFont="1" applyFill="1" applyBorder="1" applyAlignment="1" applyProtection="1">
      <alignment vertical="center"/>
    </xf>
    <xf numFmtId="0" fontId="41" fillId="0" borderId="4" xfId="0" applyFont="1" applyBorder="1" applyAlignment="1" applyProtection="1">
      <alignment vertical="center"/>
    </xf>
    <xf numFmtId="0" fontId="12" fillId="0" borderId="10" xfId="0" applyFont="1" applyFill="1" applyBorder="1" applyAlignment="1" applyProtection="1">
      <alignment vertical="center" wrapText="1"/>
    </xf>
    <xf numFmtId="0" fontId="6" fillId="41" borderId="4" xfId="0" applyFont="1" applyFill="1" applyBorder="1" applyAlignment="1">
      <alignment horizontal="center" vertical="center" wrapText="1"/>
      <protection locked="0"/>
    </xf>
    <xf numFmtId="0" fontId="41" fillId="38" borderId="4" xfId="0" applyFont="1" applyFill="1" applyBorder="1" applyAlignment="1" applyProtection="1">
      <alignment vertical="center"/>
    </xf>
    <xf numFmtId="0" fontId="40" fillId="0" borderId="4" xfId="0" applyFont="1" applyBorder="1" applyAlignment="1" applyProtection="1">
      <alignment horizontal="center" vertical="center"/>
    </xf>
    <xf numFmtId="0" fontId="40" fillId="0" borderId="4" xfId="0" applyFont="1" applyBorder="1" applyAlignment="1">
      <alignment horizontal="center" vertical="center"/>
      <protection locked="0"/>
    </xf>
    <xf numFmtId="0" fontId="68" fillId="40" borderId="0" xfId="0" applyFont="1" applyFill="1" applyAlignment="1" applyProtection="1">
      <alignment vertical="center"/>
    </xf>
    <xf numFmtId="0" fontId="13" fillId="40" borderId="0" xfId="0" applyFont="1" applyFill="1" applyAlignment="1" applyProtection="1">
      <alignment vertical="center"/>
    </xf>
    <xf numFmtId="0" fontId="69" fillId="40" borderId="0" xfId="0" applyFont="1" applyFill="1" applyAlignment="1" applyProtection="1">
      <alignment vertical="center"/>
    </xf>
    <xf numFmtId="0" fontId="13" fillId="0" borderId="0" xfId="0" applyFont="1" applyFill="1" applyAlignment="1" applyProtection="1">
      <alignment vertical="center"/>
    </xf>
    <xf numFmtId="0" fontId="46" fillId="40" borderId="0" xfId="0" applyFont="1" applyFill="1" applyAlignment="1" applyProtection="1">
      <alignment horizontal="left" vertical="center"/>
    </xf>
    <xf numFmtId="0" fontId="29" fillId="35" borderId="0" xfId="0" applyFont="1" applyFill="1" applyAlignment="1" applyProtection="1">
      <alignment vertical="center"/>
    </xf>
    <xf numFmtId="0" fontId="30" fillId="35" borderId="4" xfId="0" applyFont="1" applyFill="1" applyBorder="1" applyAlignment="1" applyProtection="1">
      <alignment vertical="center"/>
    </xf>
    <xf numFmtId="0" fontId="30" fillId="35" borderId="0" xfId="0" applyFont="1" applyFill="1" applyBorder="1" applyAlignment="1" applyProtection="1">
      <alignment vertical="center"/>
    </xf>
    <xf numFmtId="0" fontId="12" fillId="35" borderId="0" xfId="0" applyFont="1" applyFill="1" applyBorder="1" applyAlignment="1" applyProtection="1">
      <alignment vertical="center"/>
    </xf>
    <xf numFmtId="0" fontId="13" fillId="2" borderId="0" xfId="0" applyFont="1" applyFill="1" applyAlignment="1" applyProtection="1">
      <alignment vertical="center"/>
    </xf>
    <xf numFmtId="0" fontId="70" fillId="0" borderId="4" xfId="0" applyFont="1" applyFill="1" applyBorder="1" applyAlignment="1" applyProtection="1">
      <alignment vertical="center"/>
    </xf>
    <xf numFmtId="0" fontId="70" fillId="0" borderId="0" xfId="0" applyFont="1" applyFill="1" applyBorder="1" applyAlignment="1" applyProtection="1">
      <alignment vertical="center"/>
    </xf>
    <xf numFmtId="0" fontId="30" fillId="35" borderId="4" xfId="0" applyFont="1" applyFill="1" applyBorder="1" applyAlignment="1" applyProtection="1">
      <alignment horizontal="center" vertical="center"/>
    </xf>
    <xf numFmtId="0" fontId="40" fillId="0" borderId="0" xfId="0" applyFont="1" applyBorder="1" applyAlignment="1" applyProtection="1">
      <alignment vertical="center"/>
    </xf>
    <xf numFmtId="0" fontId="40" fillId="35" borderId="12" xfId="0" applyFont="1" applyFill="1" applyBorder="1" applyAlignment="1">
      <alignment vertical="center"/>
      <protection locked="0"/>
    </xf>
    <xf numFmtId="0" fontId="34" fillId="35" borderId="4" xfId="0" applyFont="1" applyFill="1" applyBorder="1" applyAlignment="1">
      <alignment horizontal="center" vertical="center"/>
      <protection locked="0"/>
    </xf>
    <xf numFmtId="0" fontId="34" fillId="35" borderId="4" xfId="0" applyFont="1" applyFill="1" applyBorder="1" applyAlignment="1">
      <alignment horizontal="center" vertical="center" wrapText="1"/>
      <protection locked="0"/>
    </xf>
    <xf numFmtId="0" fontId="34" fillId="35" borderId="4" xfId="0" applyFont="1" applyFill="1" applyBorder="1" applyAlignment="1" applyProtection="1">
      <alignment horizontal="center" vertical="center" wrapText="1"/>
    </xf>
    <xf numFmtId="0" fontId="34" fillId="35" borderId="4" xfId="0" applyFont="1" applyFill="1" applyBorder="1" applyAlignment="1">
      <alignment horizontal="center" vertical="center" wrapText="1"/>
      <protection locked="0"/>
    </xf>
    <xf numFmtId="0" fontId="34" fillId="0" borderId="4" xfId="0" applyFont="1" applyBorder="1" applyAlignment="1">
      <alignment horizontal="center" vertical="center"/>
      <protection locked="0"/>
    </xf>
    <xf numFmtId="171" fontId="40" fillId="38" borderId="4" xfId="33" applyNumberFormat="1" applyFont="1" applyFill="1" applyBorder="1" applyAlignment="1" applyProtection="1">
      <alignment vertical="center"/>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wrapText="1"/>
      <protection locked="0"/>
    </xf>
    <xf numFmtId="0" fontId="34" fillId="35" borderId="4" xfId="0" applyFont="1" applyFill="1" applyBorder="1" applyAlignment="1">
      <alignment horizontal="center" vertical="center"/>
      <protection locked="0"/>
    </xf>
    <xf numFmtId="0" fontId="32" fillId="35" borderId="0" xfId="0" applyFont="1" applyFill="1" applyAlignment="1" applyProtection="1">
      <alignment horizontal="center" vertical="center"/>
    </xf>
    <xf numFmtId="0" fontId="41" fillId="38" borderId="2" xfId="0" applyFont="1" applyFill="1" applyBorder="1" applyAlignment="1" applyProtection="1">
      <alignment vertical="center"/>
    </xf>
    <xf numFmtId="0" fontId="41" fillId="36" borderId="4" xfId="39" applyNumberFormat="1" applyFont="1" applyFill="1" applyBorder="1" applyAlignment="1" applyProtection="1">
      <alignment vertical="center" wrapText="1"/>
    </xf>
    <xf numFmtId="0" fontId="41" fillId="36" borderId="4" xfId="0" applyFont="1" applyFill="1" applyBorder="1" applyAlignment="1">
      <alignment vertical="center" wrapText="1"/>
      <protection locked="0"/>
    </xf>
    <xf numFmtId="0" fontId="40" fillId="35" borderId="4" xfId="0" applyFont="1" applyFill="1" applyBorder="1" applyAlignment="1" applyProtection="1">
      <alignment vertical="center"/>
    </xf>
    <xf numFmtId="0" fontId="41" fillId="36" borderId="4" xfId="39" applyNumberFormat="1" applyFont="1" applyFill="1" applyBorder="1" applyAlignment="1" applyProtection="1">
      <alignment vertical="center" wrapText="1"/>
    </xf>
    <xf numFmtId="0" fontId="40" fillId="35" borderId="4" xfId="0" applyFont="1" applyFill="1" applyBorder="1" applyProtection="1">
      <alignment vertical="center"/>
    </xf>
    <xf numFmtId="0" fontId="43" fillId="35" borderId="4" xfId="0" applyFont="1" applyFill="1" applyBorder="1" applyProtection="1">
      <alignment vertical="center"/>
    </xf>
    <xf numFmtId="0" fontId="32" fillId="35" borderId="0" xfId="0" applyFont="1" applyFill="1" applyBorder="1" applyAlignment="1" applyProtection="1">
      <alignment vertical="center"/>
    </xf>
    <xf numFmtId="172" fontId="0" fillId="36" borderId="4" xfId="0" applyNumberFormat="1" applyFont="1" applyFill="1" applyBorder="1" applyAlignment="1" applyProtection="1">
      <alignment vertical="center"/>
    </xf>
    <xf numFmtId="0" fontId="43" fillId="35" borderId="4" xfId="0" applyFont="1" applyFill="1" applyBorder="1" applyAlignment="1" applyProtection="1">
      <alignment horizontal="center" vertical="center"/>
    </xf>
    <xf numFmtId="0" fontId="0" fillId="0" borderId="0" xfId="0" applyFont="1" applyFill="1" applyAlignment="1" applyProtection="1">
      <alignment vertical="center"/>
    </xf>
    <xf numFmtId="0" fontId="0" fillId="35" borderId="0" xfId="0" applyFont="1" applyFill="1" applyAlignment="1" applyProtection="1">
      <alignment vertical="center"/>
    </xf>
    <xf numFmtId="10" fontId="0" fillId="36" borderId="4" xfId="0" applyNumberFormat="1" applyFont="1" applyFill="1" applyBorder="1" applyAlignment="1" applyProtection="1">
      <alignment vertical="center"/>
      <protection locked="0"/>
    </xf>
    <xf numFmtId="165" fontId="30" fillId="0" borderId="4" xfId="0" applyNumberFormat="1" applyFont="1" applyFill="1" applyBorder="1" applyAlignment="1" applyProtection="1">
      <alignment vertical="center"/>
    </xf>
    <xf numFmtId="164" fontId="40" fillId="35" borderId="4" xfId="0" applyNumberFormat="1" applyFont="1" applyFill="1" applyBorder="1" applyAlignment="1" applyProtection="1">
      <alignment vertical="center"/>
    </xf>
    <xf numFmtId="0" fontId="32" fillId="35" borderId="4" xfId="0" applyFont="1" applyFill="1" applyBorder="1" applyAlignment="1" applyProtection="1">
      <alignment vertical="center" wrapText="1"/>
    </xf>
    <xf numFmtId="171" fontId="40" fillId="35" borderId="4" xfId="0" applyNumberFormat="1" applyFont="1" applyFill="1" applyBorder="1" applyAlignment="1" applyProtection="1">
      <alignment vertical="center"/>
    </xf>
    <xf numFmtId="0" fontId="0" fillId="0" borderId="4" xfId="0" applyFont="1" applyBorder="1" applyAlignment="1">
      <alignment vertical="center"/>
      <protection locked="0"/>
    </xf>
    <xf numFmtId="0" fontId="32" fillId="0" borderId="0" xfId="0" applyFont="1" applyAlignment="1">
      <alignment horizontal="center" vertical="center"/>
      <protection locked="0"/>
    </xf>
    <xf numFmtId="0" fontId="32" fillId="0" borderId="0" xfId="0" applyFont="1" applyBorder="1" applyAlignment="1">
      <alignment horizontal="center" vertical="center"/>
      <protection locked="0"/>
    </xf>
    <xf numFmtId="0" fontId="0" fillId="36" borderId="4" xfId="0" applyFont="1" applyFill="1" applyBorder="1" applyAlignment="1">
      <alignment vertical="center"/>
      <protection locked="0"/>
    </xf>
    <xf numFmtId="0" fontId="0" fillId="44" borderId="4" xfId="0" applyFont="1" applyFill="1" applyBorder="1" applyAlignment="1">
      <alignment vertical="center"/>
      <protection locked="0"/>
    </xf>
    <xf numFmtId="0" fontId="0" fillId="40" borderId="4" xfId="0" applyFont="1" applyFill="1" applyBorder="1" applyAlignment="1">
      <alignment vertical="center"/>
      <protection locked="0"/>
    </xf>
    <xf numFmtId="0" fontId="0" fillId="34" borderId="4" xfId="0" applyFont="1" applyFill="1" applyBorder="1" applyAlignment="1">
      <alignment vertical="center"/>
      <protection locked="0"/>
    </xf>
    <xf numFmtId="0" fontId="0" fillId="45" borderId="4" xfId="0" applyFont="1" applyFill="1" applyBorder="1" applyAlignment="1">
      <alignment vertical="center"/>
      <protection locked="0"/>
    </xf>
    <xf numFmtId="0" fontId="0" fillId="42" borderId="4" xfId="0" applyFont="1" applyFill="1" applyBorder="1" applyAlignment="1">
      <alignment vertical="center"/>
      <protection locked="0"/>
    </xf>
    <xf numFmtId="0" fontId="32" fillId="0" borderId="0" xfId="0" applyFont="1" applyAlignment="1" applyProtection="1">
      <alignment horizontal="center" vertical="center"/>
    </xf>
    <xf numFmtId="0" fontId="0" fillId="34" borderId="0" xfId="0" applyFill="1">
      <alignment vertical="center"/>
      <protection locked="0"/>
    </xf>
    <xf numFmtId="0" fontId="0" fillId="37" borderId="0" xfId="0" applyFill="1">
      <alignment vertical="center"/>
      <protection locked="0"/>
    </xf>
    <xf numFmtId="0" fontId="6" fillId="0" borderId="4"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32" fillId="35" borderId="2" xfId="0" applyFont="1" applyFill="1" applyBorder="1" applyAlignment="1">
      <alignment vertical="center"/>
      <protection locked="0"/>
    </xf>
    <xf numFmtId="0" fontId="0" fillId="36" borderId="4"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17" fontId="5" fillId="36" borderId="4" xfId="0" applyNumberFormat="1" applyFont="1" applyFill="1" applyBorder="1" applyAlignment="1" applyProtection="1">
      <alignment horizontal="center" vertical="center" wrapText="1"/>
      <protection locked="0"/>
    </xf>
    <xf numFmtId="0" fontId="5" fillId="36" borderId="4" xfId="0" applyFont="1" applyFill="1" applyBorder="1" applyAlignment="1" applyProtection="1">
      <alignment horizontal="center" vertical="center" wrapText="1"/>
      <protection locked="0"/>
    </xf>
    <xf numFmtId="0" fontId="42" fillId="36" borderId="4" xfId="33" applyNumberFormat="1" applyFont="1" applyFill="1" applyBorder="1" applyAlignment="1" applyProtection="1">
      <alignment vertical="center" wrapText="1"/>
    </xf>
    <xf numFmtId="0" fontId="0" fillId="36" borderId="4" xfId="0" applyNumberFormat="1" applyFont="1" applyFill="1" applyBorder="1" applyAlignment="1" applyProtection="1">
      <alignment horizontal="center" vertical="center"/>
      <protection locked="0"/>
    </xf>
    <xf numFmtId="2" fontId="11" fillId="36" borderId="4" xfId="33" applyNumberFormat="1" applyFont="1" applyFill="1" applyBorder="1" applyAlignment="1" applyProtection="1">
      <alignment horizontal="center" vertical="center"/>
    </xf>
    <xf numFmtId="0" fontId="0" fillId="0" borderId="0" xfId="0" applyFont="1" applyAlignment="1">
      <alignment vertical="center"/>
      <protection locked="0"/>
    </xf>
    <xf numFmtId="0" fontId="46" fillId="37" borderId="0" xfId="0" applyFont="1" applyFill="1" applyAlignment="1" applyProtection="1">
      <alignment horizontal="center" vertical="center"/>
    </xf>
    <xf numFmtId="0" fontId="40" fillId="0" borderId="0" xfId="0" applyFont="1">
      <alignment vertical="center"/>
      <protection locked="0"/>
    </xf>
    <xf numFmtId="0" fontId="32" fillId="35" borderId="0" xfId="0" applyFont="1" applyFill="1" applyBorder="1" applyAlignment="1" applyProtection="1">
      <alignment vertical="center" wrapText="1"/>
    </xf>
    <xf numFmtId="0" fontId="32" fillId="0" borderId="4" xfId="0" applyFont="1" applyBorder="1">
      <alignment vertical="center"/>
      <protection locked="0"/>
    </xf>
    <xf numFmtId="179" fontId="11" fillId="38" borderId="4" xfId="39" applyNumberFormat="1" applyFont="1" applyFill="1" applyBorder="1" applyAlignment="1" applyProtection="1">
      <alignment horizontal="right" vertical="center"/>
    </xf>
    <xf numFmtId="0" fontId="0" fillId="36" borderId="4" xfId="39" applyNumberFormat="1" applyFont="1" applyFill="1" applyBorder="1" applyAlignment="1" applyProtection="1">
      <alignment vertical="center" wrapText="1"/>
    </xf>
    <xf numFmtId="0" fontId="4" fillId="36" borderId="4" xfId="0" applyFont="1" applyFill="1" applyBorder="1" applyAlignment="1">
      <alignment vertical="center"/>
      <protection locked="0"/>
    </xf>
    <xf numFmtId="0" fontId="4" fillId="36" borderId="8" xfId="0" applyFont="1" applyFill="1" applyBorder="1" applyAlignment="1">
      <alignment vertical="center"/>
      <protection locked="0"/>
    </xf>
    <xf numFmtId="0" fontId="23" fillId="36" borderId="4" xfId="0" applyFont="1" applyFill="1" applyBorder="1" applyAlignment="1" applyProtection="1">
      <alignment vertical="center" wrapText="1"/>
      <protection locked="0"/>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protection locked="0"/>
    </xf>
    <xf numFmtId="0" fontId="34" fillId="35" borderId="4" xfId="0" applyFont="1" applyFill="1" applyBorder="1" applyAlignment="1">
      <alignment horizontal="center" vertical="center"/>
      <protection locked="0"/>
    </xf>
    <xf numFmtId="0" fontId="41" fillId="38" borderId="2" xfId="0" applyFont="1" applyFill="1" applyBorder="1" applyAlignment="1" applyProtection="1">
      <alignment vertical="center"/>
    </xf>
    <xf numFmtId="6" fontId="0" fillId="38" borderId="4" xfId="0" applyNumberFormat="1" applyFont="1" applyFill="1" applyBorder="1" applyAlignment="1" applyProtection="1">
      <alignment vertical="center" wrapText="1"/>
    </xf>
    <xf numFmtId="6" fontId="0" fillId="38" borderId="4" xfId="0" applyNumberFormat="1" applyFont="1" applyFill="1" applyBorder="1" applyAlignment="1" applyProtection="1">
      <alignment vertical="center"/>
    </xf>
    <xf numFmtId="6" fontId="32" fillId="38" borderId="4" xfId="0" applyNumberFormat="1" applyFont="1" applyFill="1" applyBorder="1" applyAlignment="1" applyProtection="1">
      <alignment vertical="center"/>
    </xf>
    <xf numFmtId="6" fontId="32" fillId="0" borderId="4" xfId="0" applyNumberFormat="1" applyFont="1" applyBorder="1" applyProtection="1">
      <alignment vertical="center"/>
    </xf>
    <xf numFmtId="6" fontId="32" fillId="38" borderId="4" xfId="0" applyNumberFormat="1" applyFont="1" applyFill="1" applyBorder="1" applyAlignment="1" applyProtection="1">
      <alignment vertical="center" wrapText="1"/>
    </xf>
    <xf numFmtId="8" fontId="0" fillId="36" borderId="4" xfId="0" applyNumberFormat="1" applyFont="1" applyFill="1" applyBorder="1" applyAlignment="1">
      <alignment vertical="center"/>
      <protection locked="0"/>
    </xf>
    <xf numFmtId="8" fontId="0" fillId="38" borderId="4" xfId="0" applyNumberFormat="1" applyFont="1" applyFill="1" applyBorder="1" applyAlignment="1" applyProtection="1">
      <alignment vertical="center"/>
    </xf>
    <xf numFmtId="8" fontId="5" fillId="38" borderId="4" xfId="0" applyNumberFormat="1" applyFont="1" applyFill="1" applyBorder="1" applyAlignment="1" applyProtection="1">
      <alignment vertical="center" wrapText="1"/>
    </xf>
    <xf numFmtId="0" fontId="0" fillId="36" borderId="4" xfId="0" applyFill="1" applyBorder="1" applyAlignment="1">
      <alignment horizontal="center" vertical="center"/>
      <protection locked="0"/>
    </xf>
    <xf numFmtId="0" fontId="43" fillId="0" borderId="4" xfId="0" applyFont="1" applyBorder="1" applyAlignment="1" applyProtection="1">
      <alignment horizontal="center" vertical="center"/>
    </xf>
    <xf numFmtId="0" fontId="75" fillId="35" borderId="0" xfId="0" applyFont="1" applyFill="1" applyAlignment="1">
      <alignment horizontal="center" vertical="center"/>
      <protection locked="0"/>
    </xf>
    <xf numFmtId="0" fontId="43" fillId="35" borderId="0" xfId="0" applyFont="1" applyFill="1" applyAlignment="1">
      <alignment horizontal="center" vertical="center"/>
      <protection locked="0"/>
    </xf>
    <xf numFmtId="0" fontId="43" fillId="35" borderId="0" xfId="0" applyFont="1" applyFill="1" applyBorder="1" applyAlignment="1">
      <alignment horizontal="center" vertical="center"/>
      <protection locked="0"/>
    </xf>
    <xf numFmtId="0" fontId="32" fillId="35" borderId="2" xfId="0" applyFont="1" applyFill="1" applyBorder="1" applyAlignment="1">
      <alignment horizontal="left" vertical="center" wrapText="1"/>
      <protection locked="0"/>
    </xf>
    <xf numFmtId="171" fontId="0" fillId="38" borderId="4" xfId="33" applyNumberFormat="1" applyFont="1" applyFill="1" applyBorder="1" applyAlignment="1" applyProtection="1">
      <alignment vertical="center"/>
    </xf>
    <xf numFmtId="0" fontId="32" fillId="38" borderId="4" xfId="0" applyFont="1" applyFill="1" applyBorder="1" applyAlignment="1" applyProtection="1">
      <alignment horizontal="center" vertical="center"/>
    </xf>
    <xf numFmtId="0" fontId="41" fillId="38" borderId="2" xfId="0" applyFont="1" applyFill="1" applyBorder="1" applyAlignment="1" applyProtection="1">
      <alignment vertical="center"/>
    </xf>
    <xf numFmtId="0" fontId="32" fillId="35" borderId="2" xfId="0" applyFont="1" applyFill="1" applyBorder="1" applyAlignment="1">
      <alignment vertical="center"/>
      <protection locked="0"/>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wrapText="1"/>
      <protection locked="0"/>
    </xf>
    <xf numFmtId="0" fontId="32" fillId="35" borderId="2" xfId="0" applyFont="1" applyFill="1" applyBorder="1" applyAlignment="1">
      <alignment vertical="center"/>
      <protection locked="0"/>
    </xf>
    <xf numFmtId="0" fontId="41" fillId="38" borderId="2" xfId="0" applyFont="1" applyFill="1" applyBorder="1" applyAlignment="1" applyProtection="1">
      <alignment vertical="center"/>
    </xf>
    <xf numFmtId="0" fontId="41" fillId="36" borderId="4" xfId="0" applyFont="1" applyFill="1" applyBorder="1" applyAlignment="1">
      <alignment vertical="center" wrapText="1"/>
      <protection locked="0"/>
    </xf>
    <xf numFmtId="0" fontId="50" fillId="35" borderId="0" xfId="0" applyFont="1" applyFill="1" applyBorder="1" applyAlignment="1">
      <alignment vertical="center"/>
      <protection locked="0"/>
    </xf>
    <xf numFmtId="0" fontId="50" fillId="35" borderId="0" xfId="0" applyFont="1" applyFill="1" applyBorder="1" applyAlignment="1">
      <alignment vertical="center" wrapText="1"/>
      <protection locked="0"/>
    </xf>
    <xf numFmtId="0" fontId="13" fillId="37" borderId="0" xfId="0" applyFont="1" applyFill="1" applyAlignment="1" applyProtection="1">
      <alignment horizontal="center" vertical="center"/>
    </xf>
    <xf numFmtId="0" fontId="43" fillId="35" borderId="4" xfId="0" applyFont="1" applyFill="1" applyBorder="1" applyAlignment="1">
      <alignment vertical="center"/>
      <protection locked="0"/>
    </xf>
    <xf numFmtId="0" fontId="43" fillId="0" borderId="4" xfId="0" applyFont="1" applyBorder="1" applyAlignment="1">
      <alignment vertical="center"/>
      <protection locked="0"/>
    </xf>
    <xf numFmtId="0" fontId="43" fillId="35" borderId="4" xfId="0" applyFont="1" applyFill="1" applyBorder="1">
      <alignment vertical="center"/>
      <protection locked="0"/>
    </xf>
    <xf numFmtId="0" fontId="41" fillId="0" borderId="0" xfId="0" applyFont="1" applyFill="1" applyAlignment="1">
      <alignment vertical="center"/>
      <protection locked="0"/>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wrapText="1"/>
      <protection locked="0"/>
    </xf>
    <xf numFmtId="0" fontId="32" fillId="35" borderId="4" xfId="0" applyFont="1" applyFill="1" applyBorder="1" applyAlignment="1">
      <alignment horizontal="center" vertical="center"/>
      <protection locked="0"/>
    </xf>
    <xf numFmtId="0" fontId="0" fillId="36" borderId="2" xfId="0" applyFont="1" applyFill="1" applyBorder="1" applyAlignment="1">
      <alignment horizontal="center" vertical="center"/>
      <protection locked="0"/>
    </xf>
    <xf numFmtId="0" fontId="0" fillId="36" borderId="13"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0" fontId="32" fillId="38" borderId="4" xfId="0" applyFont="1" applyFill="1" applyBorder="1" applyAlignment="1" applyProtection="1">
      <alignment horizontal="center" vertical="center"/>
    </xf>
    <xf numFmtId="0" fontId="41" fillId="38" borderId="4" xfId="0" applyFont="1" applyFill="1" applyBorder="1" applyAlignment="1" applyProtection="1">
      <alignment vertical="center"/>
    </xf>
    <xf numFmtId="0" fontId="6" fillId="41" borderId="4" xfId="0" applyFont="1" applyFill="1" applyBorder="1" applyAlignment="1">
      <alignment horizontal="center" vertical="center" wrapText="1"/>
      <protection locked="0"/>
    </xf>
    <xf numFmtId="0" fontId="20" fillId="0" borderId="16" xfId="35" applyAlignment="1">
      <alignment vertical="center"/>
      <protection locked="0"/>
    </xf>
    <xf numFmtId="0" fontId="67" fillId="40" borderId="0" xfId="0" applyFont="1" applyFill="1" applyAlignment="1" applyProtection="1">
      <alignment vertical="center"/>
    </xf>
    <xf numFmtId="0" fontId="31" fillId="40" borderId="0" xfId="0" applyFont="1" applyFill="1" applyAlignment="1">
      <alignment vertical="center"/>
      <protection locked="0"/>
    </xf>
    <xf numFmtId="0" fontId="44" fillId="40" borderId="0" xfId="0" applyFont="1" applyFill="1" applyAlignment="1" applyProtection="1">
      <alignment horizontal="left" vertical="center"/>
    </xf>
    <xf numFmtId="0" fontId="46" fillId="40" borderId="0" xfId="0" applyFont="1" applyFill="1" applyAlignment="1" applyProtection="1">
      <alignment vertical="center"/>
    </xf>
    <xf numFmtId="180" fontId="0" fillId="38" borderId="4" xfId="45" applyNumberFormat="1" applyFont="1" applyFill="1" applyBorder="1" applyAlignment="1" applyProtection="1">
      <alignment vertical="center"/>
    </xf>
    <xf numFmtId="0" fontId="32" fillId="0" borderId="4" xfId="0" applyFont="1" applyBorder="1" applyAlignment="1">
      <alignment horizontal="center" vertical="center"/>
      <protection locked="0"/>
    </xf>
    <xf numFmtId="171" fontId="0" fillId="0" borderId="0" xfId="0" applyNumberFormat="1">
      <alignment vertical="center"/>
      <protection locked="0"/>
    </xf>
    <xf numFmtId="171" fontId="40" fillId="0" borderId="4" xfId="0" applyNumberFormat="1" applyFont="1" applyBorder="1" applyProtection="1">
      <alignment vertical="center"/>
    </xf>
    <xf numFmtId="0" fontId="32" fillId="0" borderId="0" xfId="0" applyFont="1">
      <alignment vertical="center"/>
      <protection locked="0"/>
    </xf>
    <xf numFmtId="3" fontId="39" fillId="39" borderId="4" xfId="0" applyNumberFormat="1" applyFont="1" applyFill="1" applyBorder="1" applyAlignment="1" applyProtection="1"/>
    <xf numFmtId="1" fontId="11" fillId="39" borderId="4" xfId="0" applyNumberFormat="1" applyFont="1" applyFill="1" applyBorder="1" applyAlignment="1" applyProtection="1"/>
    <xf numFmtId="171" fontId="0" fillId="35" borderId="0" xfId="0" applyNumberFormat="1" applyFont="1" applyFill="1" applyBorder="1" applyAlignment="1" applyProtection="1">
      <alignment vertical="center"/>
    </xf>
    <xf numFmtId="9" fontId="0" fillId="36" borderId="4" xfId="0" applyNumberFormat="1" applyFont="1" applyFill="1" applyBorder="1" applyAlignment="1">
      <alignment vertical="center"/>
      <protection locked="0"/>
    </xf>
    <xf numFmtId="1" fontId="11" fillId="36" borderId="4" xfId="0" applyNumberFormat="1" applyFont="1" applyFill="1" applyBorder="1" applyAlignment="1" applyProtection="1"/>
    <xf numFmtId="3" fontId="39" fillId="36" borderId="4" xfId="0" applyNumberFormat="1" applyFont="1" applyFill="1" applyBorder="1" applyAlignment="1" applyProtection="1"/>
    <xf numFmtId="3" fontId="32" fillId="0" borderId="4" xfId="0" applyNumberFormat="1" applyFont="1" applyBorder="1" applyProtection="1">
      <alignment vertical="center"/>
    </xf>
    <xf numFmtId="3" fontId="39" fillId="38" borderId="4" xfId="0" applyNumberFormat="1" applyFont="1" applyFill="1" applyBorder="1" applyAlignment="1" applyProtection="1"/>
    <xf numFmtId="0" fontId="0" fillId="0" borderId="0" xfId="0">
      <alignment vertical="center"/>
      <protection locked="0"/>
    </xf>
    <xf numFmtId="0" fontId="41" fillId="44" borderId="4" xfId="0" applyFont="1" applyFill="1" applyBorder="1" applyAlignment="1" applyProtection="1">
      <alignment vertical="center"/>
    </xf>
    <xf numFmtId="0" fontId="76" fillId="37" borderId="0" xfId="0" applyFont="1" applyFill="1" applyAlignment="1" applyProtection="1">
      <alignment horizontal="right" vertical="center"/>
    </xf>
    <xf numFmtId="14" fontId="4" fillId="36" borderId="4" xfId="0" applyNumberFormat="1" applyFont="1" applyFill="1" applyBorder="1" applyAlignment="1">
      <alignment vertical="center"/>
      <protection locked="0"/>
    </xf>
    <xf numFmtId="0" fontId="32" fillId="35" borderId="4" xfId="0" applyFont="1" applyFill="1" applyBorder="1" applyAlignment="1">
      <alignment horizontal="center" vertical="center" wrapText="1"/>
      <protection locked="0"/>
    </xf>
    <xf numFmtId="0" fontId="32" fillId="35" borderId="2" xfId="0" applyFont="1" applyFill="1" applyBorder="1" applyAlignment="1">
      <alignment horizontal="left" vertical="center" wrapText="1"/>
      <protection locked="0"/>
    </xf>
    <xf numFmtId="0" fontId="4" fillId="41" borderId="4" xfId="0" applyFont="1" applyFill="1" applyBorder="1" applyAlignment="1">
      <alignment vertical="center"/>
      <protection locked="0"/>
    </xf>
    <xf numFmtId="0" fontId="0" fillId="36" borderId="4" xfId="0" applyFont="1" applyFill="1" applyBorder="1" applyAlignment="1" applyProtection="1">
      <alignment horizontal="center" vertical="center" wrapText="1"/>
      <protection locked="0"/>
    </xf>
    <xf numFmtId="0" fontId="41" fillId="38" borderId="4" xfId="0" applyFont="1" applyFill="1" applyBorder="1" applyAlignment="1" applyProtection="1">
      <alignment vertical="center" wrapText="1"/>
    </xf>
    <xf numFmtId="0" fontId="0" fillId="46" borderId="4" xfId="0" applyFont="1" applyFill="1" applyBorder="1" applyAlignment="1">
      <alignment vertical="center"/>
      <protection locked="0"/>
    </xf>
    <xf numFmtId="0" fontId="0" fillId="47" borderId="4" xfId="0" applyFont="1" applyFill="1" applyBorder="1" applyAlignment="1">
      <alignment vertical="center"/>
      <protection locked="0"/>
    </xf>
    <xf numFmtId="0" fontId="48" fillId="46" borderId="0" xfId="0" applyFont="1" applyFill="1" applyAlignment="1" applyProtection="1">
      <alignment vertical="center"/>
    </xf>
    <xf numFmtId="0" fontId="31" fillId="46" borderId="0" xfId="0" applyFont="1" applyFill="1" applyAlignment="1">
      <alignment vertical="center"/>
      <protection locked="0"/>
    </xf>
    <xf numFmtId="0" fontId="49" fillId="46" borderId="0" xfId="0" applyFont="1" applyFill="1" applyAlignment="1">
      <alignment vertical="center"/>
      <protection locked="0"/>
    </xf>
    <xf numFmtId="0" fontId="31" fillId="46" borderId="0" xfId="0" applyFont="1" applyFill="1">
      <alignment vertical="center"/>
      <protection locked="0"/>
    </xf>
    <xf numFmtId="0" fontId="44" fillId="46" borderId="0" xfId="0" applyFont="1" applyFill="1" applyAlignment="1" applyProtection="1">
      <alignment horizontal="left" vertical="center"/>
    </xf>
    <xf numFmtId="0" fontId="77" fillId="46" borderId="0" xfId="0" applyFont="1" applyFill="1" applyAlignment="1" applyProtection="1">
      <alignment vertical="center"/>
    </xf>
    <xf numFmtId="0" fontId="49" fillId="46" borderId="0" xfId="0" applyFont="1" applyFill="1" applyAlignment="1" applyProtection="1">
      <alignment vertical="center"/>
    </xf>
    <xf numFmtId="0" fontId="49" fillId="46" borderId="0" xfId="0" applyFont="1" applyFill="1" applyAlignment="1">
      <alignment horizontal="left" vertical="center"/>
      <protection locked="0"/>
    </xf>
    <xf numFmtId="0" fontId="48" fillId="47" borderId="0" xfId="0" applyFont="1" applyFill="1" applyAlignment="1" applyProtection="1">
      <alignment vertical="center"/>
    </xf>
    <xf numFmtId="0" fontId="31" fillId="47" borderId="0" xfId="0" applyFont="1" applyFill="1" applyAlignment="1">
      <alignment vertical="center"/>
      <protection locked="0"/>
    </xf>
    <xf numFmtId="0" fontId="49" fillId="47" borderId="0" xfId="0" applyFont="1" applyFill="1" applyAlignment="1">
      <alignment vertical="center"/>
      <protection locked="0"/>
    </xf>
    <xf numFmtId="0" fontId="44" fillId="47" borderId="0" xfId="0" applyFont="1" applyFill="1" applyAlignment="1" applyProtection="1">
      <alignment horizontal="left" vertical="center"/>
    </xf>
    <xf numFmtId="0" fontId="44" fillId="47" borderId="0" xfId="0" applyFont="1" applyFill="1" applyAlignment="1">
      <alignment horizontal="left" vertical="center"/>
      <protection locked="0"/>
    </xf>
    <xf numFmtId="0" fontId="78" fillId="47" borderId="0" xfId="0" applyFont="1" applyFill="1" applyAlignment="1" applyProtection="1">
      <alignment vertical="center"/>
    </xf>
    <xf numFmtId="0" fontId="49" fillId="47" borderId="0" xfId="0" applyFont="1" applyFill="1" applyAlignment="1">
      <alignment horizontal="right" vertical="center"/>
      <protection locked="0"/>
    </xf>
    <xf numFmtId="0" fontId="49" fillId="47" borderId="0" xfId="0" applyFont="1" applyFill="1" applyAlignment="1" applyProtection="1">
      <alignment horizontal="center" vertical="center"/>
    </xf>
    <xf numFmtId="0" fontId="31" fillId="47" borderId="0" xfId="0" applyFont="1" applyFill="1" applyAlignment="1" applyProtection="1">
      <alignment vertical="center"/>
    </xf>
    <xf numFmtId="0" fontId="49" fillId="47" borderId="0" xfId="0" applyFont="1" applyFill="1" applyAlignment="1" applyProtection="1">
      <alignment vertical="center"/>
    </xf>
    <xf numFmtId="0" fontId="50" fillId="40" borderId="4" xfId="0" applyFont="1" applyFill="1" applyBorder="1" applyAlignment="1" applyProtection="1">
      <alignment horizontal="center" vertical="center"/>
    </xf>
    <xf numFmtId="0" fontId="50" fillId="34" borderId="4" xfId="0" applyFont="1" applyFill="1" applyBorder="1" applyAlignment="1" applyProtection="1">
      <alignment horizontal="center" vertical="center"/>
    </xf>
    <xf numFmtId="0" fontId="50" fillId="46" borderId="4" xfId="0" applyFont="1" applyFill="1" applyBorder="1" applyAlignment="1" applyProtection="1">
      <alignment horizontal="center" vertical="center"/>
    </xf>
    <xf numFmtId="0" fontId="50" fillId="47" borderId="4" xfId="0" applyFont="1" applyFill="1" applyBorder="1" applyAlignment="1" applyProtection="1">
      <alignment horizontal="center" vertical="center"/>
    </xf>
    <xf numFmtId="0" fontId="50" fillId="42" borderId="4" xfId="0"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50" fillId="0" borderId="12" xfId="0" applyFont="1" applyFill="1" applyBorder="1" applyAlignment="1">
      <alignment vertical="center"/>
      <protection locked="0"/>
    </xf>
    <xf numFmtId="0" fontId="39" fillId="0" borderId="0" xfId="0" applyFont="1" applyFill="1" applyBorder="1" applyAlignment="1">
      <alignment vertical="center"/>
      <protection locked="0"/>
    </xf>
    <xf numFmtId="0" fontId="51" fillId="0" borderId="0" xfId="0" applyFont="1" applyFill="1" applyBorder="1" applyAlignment="1" applyProtection="1">
      <alignment horizontal="center" vertical="center"/>
    </xf>
    <xf numFmtId="0" fontId="79" fillId="35" borderId="0" xfId="0" applyFont="1" applyFill="1" applyAlignment="1">
      <alignment vertical="center"/>
      <protection locked="0"/>
    </xf>
    <xf numFmtId="2" fontId="0" fillId="36" borderId="4" xfId="33"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30" fillId="0" borderId="0" xfId="0" applyFont="1" applyFill="1" applyBorder="1" applyAlignment="1" applyProtection="1">
      <alignment vertical="center"/>
    </xf>
    <xf numFmtId="0" fontId="5" fillId="0" borderId="4" xfId="0" applyFont="1" applyFill="1" applyBorder="1" applyAlignment="1" applyProtection="1">
      <alignment vertical="center" wrapText="1"/>
    </xf>
    <xf numFmtId="0" fontId="5" fillId="36" borderId="4" xfId="0" applyNumberFormat="1" applyFont="1" applyFill="1" applyBorder="1" applyAlignment="1" applyProtection="1">
      <alignment horizontal="center" vertical="center" wrapText="1"/>
      <protection locked="0"/>
    </xf>
    <xf numFmtId="0" fontId="0" fillId="35" borderId="0" xfId="0" applyFont="1" applyFill="1" applyAlignment="1">
      <alignment vertical="center"/>
      <protection locked="0"/>
    </xf>
    <xf numFmtId="0" fontId="0" fillId="0" borderId="0" xfId="0" applyAlignment="1">
      <alignment vertical="center"/>
      <protection locked="0"/>
    </xf>
    <xf numFmtId="0" fontId="0" fillId="35" borderId="0" xfId="0" applyFont="1" applyFill="1" applyAlignment="1">
      <alignment vertical="center"/>
      <protection locked="0"/>
    </xf>
    <xf numFmtId="0" fontId="41" fillId="36" borderId="4" xfId="39" applyNumberFormat="1" applyFont="1" applyFill="1" applyBorder="1" applyAlignment="1" applyProtection="1">
      <alignment vertical="center"/>
    </xf>
    <xf numFmtId="0" fontId="41" fillId="36" borderId="4" xfId="39" applyNumberFormat="1" applyFont="1" applyFill="1" applyBorder="1" applyAlignment="1" applyProtection="1">
      <alignment vertical="center"/>
    </xf>
    <xf numFmtId="0" fontId="0" fillId="35" borderId="0" xfId="0" applyFont="1" applyFill="1" applyAlignment="1">
      <alignment vertical="center"/>
      <protection locked="0"/>
    </xf>
    <xf numFmtId="0" fontId="0" fillId="0" borderId="0" xfId="0">
      <alignment vertical="center"/>
      <protection locked="0"/>
    </xf>
    <xf numFmtId="171" fontId="0" fillId="36" borderId="4" xfId="0" applyNumberFormat="1" applyFont="1" applyFill="1" applyBorder="1" applyAlignment="1" applyProtection="1">
      <alignment vertical="center"/>
      <protection locked="0"/>
    </xf>
    <xf numFmtId="171" fontId="0" fillId="36" borderId="4" xfId="0" applyNumberFormat="1" applyFont="1" applyFill="1" applyBorder="1" applyAlignment="1" applyProtection="1">
      <alignment vertical="center"/>
    </xf>
    <xf numFmtId="171" fontId="40" fillId="38" borderId="4" xfId="0" applyNumberFormat="1" applyFont="1" applyFill="1" applyBorder="1" applyAlignment="1" applyProtection="1">
      <alignment vertical="center"/>
    </xf>
    <xf numFmtId="171" fontId="40" fillId="39" borderId="4" xfId="0" applyNumberFormat="1" applyFont="1" applyFill="1" applyBorder="1" applyProtection="1">
      <alignment vertical="center"/>
    </xf>
    <xf numFmtId="171" fontId="40" fillId="39" borderId="4" xfId="0" applyNumberFormat="1" applyFont="1" applyFill="1" applyBorder="1" applyAlignment="1" applyProtection="1"/>
    <xf numFmtId="0" fontId="5" fillId="39" borderId="4" xfId="0" applyFont="1" applyFill="1" applyBorder="1" applyAlignment="1" applyProtection="1">
      <alignment horizontal="center" vertical="center"/>
    </xf>
    <xf numFmtId="181" fontId="4" fillId="36" borderId="4" xfId="0" applyNumberFormat="1" applyFont="1" applyFill="1" applyBorder="1" applyAlignment="1">
      <alignment vertical="center"/>
      <protection locked="0"/>
    </xf>
    <xf numFmtId="181" fontId="4" fillId="41" borderId="4" xfId="0" applyNumberFormat="1" applyFont="1" applyFill="1" applyBorder="1" applyAlignment="1" applyProtection="1">
      <alignment vertical="center"/>
    </xf>
    <xf numFmtId="181" fontId="0" fillId="38" borderId="4" xfId="0" applyNumberFormat="1" applyFont="1" applyFill="1" applyBorder="1" applyAlignment="1" applyProtection="1">
      <alignment vertical="center"/>
    </xf>
    <xf numFmtId="0" fontId="4" fillId="41" borderId="4" xfId="0" applyFont="1" applyFill="1" applyBorder="1" applyAlignment="1">
      <alignment horizontal="center" vertical="center"/>
      <protection locked="0"/>
    </xf>
    <xf numFmtId="0" fontId="41" fillId="36" borderId="4" xfId="0" applyFont="1" applyFill="1" applyBorder="1" applyAlignment="1" applyProtection="1">
      <alignment vertical="center" wrapText="1"/>
      <protection locked="0"/>
    </xf>
    <xf numFmtId="0" fontId="32" fillId="35" borderId="4" xfId="0" applyFont="1" applyFill="1" applyBorder="1" applyAlignment="1">
      <alignment horizontal="center" vertical="center" wrapText="1"/>
      <protection locked="0"/>
    </xf>
    <xf numFmtId="0" fontId="41" fillId="36" borderId="4" xfId="0" applyFont="1" applyFill="1" applyBorder="1" applyAlignment="1" applyProtection="1">
      <alignment horizontal="left" vertical="center" wrapText="1"/>
      <protection locked="0"/>
    </xf>
    <xf numFmtId="0" fontId="32" fillId="35" borderId="4" xfId="0" applyFont="1" applyFill="1" applyBorder="1" applyAlignment="1">
      <alignment horizontal="center" vertical="center"/>
      <protection locked="0"/>
    </xf>
    <xf numFmtId="178" fontId="0" fillId="36" borderId="4" xfId="0" applyNumberFormat="1" applyFont="1" applyFill="1" applyBorder="1" applyAlignment="1" applyProtection="1">
      <alignment vertical="center"/>
    </xf>
    <xf numFmtId="0" fontId="34" fillId="35" borderId="27" xfId="0" applyFont="1" applyFill="1" applyBorder="1" applyAlignment="1" applyProtection="1">
      <alignment horizontal="center" vertical="center" wrapText="1"/>
    </xf>
    <xf numFmtId="0" fontId="34" fillId="35" borderId="28" xfId="0" applyFont="1" applyFill="1" applyBorder="1" applyAlignment="1" applyProtection="1">
      <alignment horizontal="center" vertical="center" wrapText="1"/>
    </xf>
    <xf numFmtId="171" fontId="40" fillId="38" borderId="27" xfId="33" applyNumberFormat="1" applyFont="1" applyFill="1" applyBorder="1" applyAlignment="1" applyProtection="1">
      <alignment vertical="center"/>
    </xf>
    <xf numFmtId="171" fontId="40" fillId="38" borderId="28" xfId="33" applyNumberFormat="1" applyFont="1" applyFill="1" applyBorder="1" applyAlignment="1" applyProtection="1">
      <alignment vertical="center"/>
    </xf>
    <xf numFmtId="171" fontId="40" fillId="38" borderId="29" xfId="33" applyNumberFormat="1" applyFont="1" applyFill="1" applyBorder="1" applyAlignment="1" applyProtection="1">
      <alignment vertical="center"/>
    </xf>
    <xf numFmtId="171" fontId="40" fillId="38" borderId="30" xfId="33" applyNumberFormat="1" applyFont="1" applyFill="1" applyBorder="1" applyAlignment="1" applyProtection="1">
      <alignment vertical="center"/>
    </xf>
    <xf numFmtId="171" fontId="40" fillId="38" borderId="31" xfId="33" applyNumberFormat="1" applyFont="1" applyFill="1" applyBorder="1" applyAlignment="1" applyProtection="1">
      <alignment vertical="center"/>
    </xf>
    <xf numFmtId="0" fontId="34" fillId="35" borderId="32" xfId="0" applyFont="1" applyFill="1" applyBorder="1" applyAlignment="1" applyProtection="1">
      <alignment horizontal="center" vertical="center" wrapText="1"/>
    </xf>
    <xf numFmtId="0" fontId="34" fillId="35" borderId="33" xfId="0" applyFont="1" applyFill="1" applyBorder="1" applyAlignment="1" applyProtection="1">
      <alignment horizontal="center" vertical="center" wrapText="1"/>
    </xf>
    <xf numFmtId="0" fontId="34" fillId="35" borderId="34" xfId="0" applyFont="1" applyFill="1" applyBorder="1" applyAlignment="1" applyProtection="1">
      <alignment horizontal="center" vertical="center" wrapText="1"/>
    </xf>
    <xf numFmtId="0" fontId="34" fillId="35" borderId="35" xfId="0" applyFont="1" applyFill="1" applyBorder="1" applyAlignment="1" applyProtection="1">
      <alignment vertical="center"/>
    </xf>
    <xf numFmtId="0" fontId="80" fillId="40" borderId="0" xfId="0" applyFont="1" applyFill="1" applyAlignment="1" applyProtection="1">
      <alignment horizontal="center" vertical="center"/>
    </xf>
    <xf numFmtId="0" fontId="69" fillId="40" borderId="0" xfId="0" applyFont="1" applyFill="1" applyAlignment="1" applyProtection="1">
      <alignment horizontal="center" vertical="center"/>
    </xf>
    <xf numFmtId="0" fontId="39" fillId="48" borderId="4" xfId="0" applyFont="1" applyFill="1" applyBorder="1" applyAlignment="1">
      <alignment vertical="center"/>
      <protection locked="0"/>
    </xf>
    <xf numFmtId="0" fontId="5" fillId="48" borderId="4" xfId="0" applyNumberFormat="1" applyFont="1" applyFill="1" applyBorder="1" applyAlignment="1" applyProtection="1">
      <alignment horizontal="center" vertical="center" wrapText="1"/>
      <protection locked="0"/>
    </xf>
    <xf numFmtId="49" fontId="5" fillId="48" borderId="4" xfId="0" applyNumberFormat="1" applyFont="1" applyFill="1" applyBorder="1" applyAlignment="1" applyProtection="1">
      <alignment horizontal="center" vertical="center" wrapText="1"/>
      <protection locked="0"/>
    </xf>
    <xf numFmtId="0" fontId="4" fillId="48" borderId="4" xfId="0" applyFont="1" applyFill="1" applyBorder="1" applyAlignment="1" applyProtection="1">
      <alignment horizontal="left" vertical="center" wrapText="1"/>
      <protection locked="0"/>
    </xf>
    <xf numFmtId="0" fontId="36" fillId="48" borderId="4" xfId="0" applyFont="1" applyFill="1" applyBorder="1" applyAlignment="1" applyProtection="1">
      <alignment horizontal="justify" vertical="center"/>
      <protection locked="0"/>
    </xf>
    <xf numFmtId="0" fontId="4" fillId="48" borderId="4" xfId="0" applyNumberFormat="1" applyFont="1" applyFill="1" applyBorder="1" applyAlignment="1" applyProtection="1">
      <alignment horizontal="left" vertical="center" wrapText="1"/>
      <protection locked="0"/>
    </xf>
    <xf numFmtId="0" fontId="0" fillId="0" borderId="0" xfId="0" applyFont="1" applyAlignment="1">
      <alignment horizontal="left" vertical="center" indent="1"/>
      <protection locked="0"/>
    </xf>
    <xf numFmtId="0" fontId="57" fillId="40" borderId="0" xfId="0" applyFont="1" applyFill="1" applyAlignment="1" applyProtection="1">
      <alignment horizontal="right" vertical="center"/>
    </xf>
    <xf numFmtId="0" fontId="80" fillId="40" borderId="0" xfId="0" applyFont="1" applyFill="1" applyAlignment="1" applyProtection="1">
      <alignment horizontal="right" vertical="center"/>
    </xf>
    <xf numFmtId="0" fontId="41" fillId="36" borderId="4" xfId="0" applyFont="1" applyFill="1" applyBorder="1" applyAlignment="1">
      <alignment vertical="center"/>
      <protection locked="0"/>
    </xf>
    <xf numFmtId="0" fontId="5" fillId="0" borderId="0" xfId="0" applyFont="1" applyFill="1" applyBorder="1" applyAlignment="1" applyProtection="1">
      <alignment horizontal="center" vertical="center" wrapText="1"/>
    </xf>
    <xf numFmtId="0" fontId="0" fillId="0" borderId="6" xfId="0" applyFont="1" applyBorder="1" applyAlignment="1" applyProtection="1">
      <alignment vertical="center"/>
    </xf>
    <xf numFmtId="0" fontId="32" fillId="35" borderId="4" xfId="0" applyFont="1" applyFill="1" applyBorder="1" applyAlignment="1">
      <alignment horizontal="center" vertical="center" wrapText="1"/>
      <protection locked="0"/>
    </xf>
    <xf numFmtId="0" fontId="50" fillId="0" borderId="0" xfId="0" applyFont="1">
      <alignment vertical="center"/>
      <protection locked="0"/>
    </xf>
    <xf numFmtId="0" fontId="6" fillId="0" borderId="4" xfId="0" applyFont="1" applyFill="1" applyBorder="1" applyAlignment="1" applyProtection="1">
      <alignment horizontal="center" vertical="center" wrapText="1"/>
    </xf>
    <xf numFmtId="0" fontId="6" fillId="0" borderId="4"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42" fillId="36" borderId="4" xfId="33" applyNumberFormat="1" applyFont="1" applyFill="1" applyBorder="1" applyAlignment="1" applyProtection="1">
      <alignment vertical="center" wrapText="1"/>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wrapText="1"/>
      <protection locked="0"/>
    </xf>
    <xf numFmtId="0" fontId="32" fillId="35" borderId="4" xfId="0" applyFont="1" applyFill="1" applyBorder="1" applyAlignment="1">
      <alignment vertical="center" wrapText="1"/>
      <protection locked="0"/>
    </xf>
    <xf numFmtId="10" fontId="0" fillId="36" borderId="4" xfId="39" applyNumberFormat="1" applyFont="1" applyFill="1" applyBorder="1" applyAlignment="1" applyProtection="1">
      <alignment vertical="center"/>
      <protection locked="0"/>
    </xf>
    <xf numFmtId="0" fontId="2" fillId="35" borderId="0" xfId="0" applyFont="1" applyFill="1" applyAlignment="1" applyProtection="1">
      <alignment vertical="center"/>
    </xf>
    <xf numFmtId="0" fontId="2" fillId="0" borderId="0" xfId="0" applyFont="1" applyFill="1" applyBorder="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vertical="center" wrapText="1"/>
    </xf>
    <xf numFmtId="0" fontId="2" fillId="0" borderId="10" xfId="0" applyFont="1" applyFill="1" applyBorder="1" applyAlignment="1" applyProtection="1">
      <alignment vertical="center" wrapText="1"/>
    </xf>
    <xf numFmtId="0" fontId="0" fillId="0" borderId="5" xfId="0" applyBorder="1">
      <alignment vertical="center"/>
      <protection locked="0"/>
    </xf>
    <xf numFmtId="0" fontId="4" fillId="36" borderId="8" xfId="0" applyFont="1" applyFill="1" applyBorder="1" applyAlignment="1">
      <alignment horizontal="center" vertical="center"/>
      <protection locked="0"/>
    </xf>
    <xf numFmtId="0" fontId="4" fillId="36" borderId="4" xfId="0" applyFont="1" applyFill="1" applyBorder="1" applyAlignment="1">
      <alignment horizontal="center" vertical="center"/>
      <protection locked="0"/>
    </xf>
    <xf numFmtId="0" fontId="4" fillId="36" borderId="8" xfId="0" applyFont="1" applyFill="1" applyBorder="1" applyAlignment="1" applyProtection="1">
      <alignment horizontal="center" vertical="center"/>
    </xf>
    <xf numFmtId="173" fontId="0" fillId="36" borderId="4" xfId="39" applyNumberFormat="1" applyFont="1" applyFill="1" applyBorder="1" applyAlignment="1" applyProtection="1">
      <alignment horizontal="right" vertical="center"/>
    </xf>
    <xf numFmtId="10" fontId="0" fillId="36" borderId="4" xfId="39" applyNumberFormat="1" applyFont="1" applyFill="1" applyBorder="1" applyAlignment="1" applyProtection="1">
      <alignment horizontal="right" vertical="center"/>
    </xf>
    <xf numFmtId="179" fontId="0" fillId="38" borderId="4" xfId="39" applyNumberFormat="1" applyFont="1" applyFill="1" applyBorder="1" applyAlignment="1" applyProtection="1">
      <alignment horizontal="right" vertical="center"/>
    </xf>
    <xf numFmtId="10" fontId="0" fillId="38" borderId="4" xfId="39" applyNumberFormat="1" applyFont="1" applyFill="1" applyBorder="1" applyAlignment="1" applyProtection="1">
      <alignment horizontal="right" vertical="center"/>
    </xf>
    <xf numFmtId="0" fontId="50" fillId="0" borderId="0" xfId="0" applyFont="1" applyAlignment="1">
      <alignment vertical="center"/>
      <protection locked="0"/>
    </xf>
    <xf numFmtId="0" fontId="4" fillId="41" borderId="4" xfId="0" applyFont="1" applyFill="1" applyBorder="1" applyAlignment="1" applyProtection="1">
      <alignment vertical="center"/>
    </xf>
    <xf numFmtId="0" fontId="30" fillId="35" borderId="0" xfId="0" applyFont="1" applyFill="1" applyAlignment="1" applyProtection="1">
      <alignment vertical="center"/>
    </xf>
    <xf numFmtId="0" fontId="0" fillId="0" borderId="0" xfId="0">
      <alignment vertical="center"/>
      <protection locked="0"/>
    </xf>
    <xf numFmtId="0" fontId="0" fillId="35" borderId="0" xfId="0" applyFont="1" applyFill="1">
      <alignment vertical="center"/>
      <protection locked="0"/>
    </xf>
    <xf numFmtId="0" fontId="0" fillId="35" borderId="0" xfId="0" applyFont="1" applyFill="1" applyAlignment="1">
      <alignment vertical="center"/>
      <protection locked="0"/>
    </xf>
    <xf numFmtId="0" fontId="32" fillId="35" borderId="0" xfId="0" applyFont="1" applyFill="1" applyBorder="1" applyAlignment="1">
      <alignment vertical="center"/>
      <protection locked="0"/>
    </xf>
    <xf numFmtId="0" fontId="32" fillId="35" borderId="3" xfId="0" applyFont="1" applyFill="1" applyBorder="1" applyAlignment="1">
      <alignment vertical="center" wrapText="1"/>
      <protection locked="0"/>
    </xf>
    <xf numFmtId="0" fontId="0" fillId="0" borderId="0" xfId="0" applyFont="1">
      <alignment vertical="center"/>
      <protection locked="0"/>
    </xf>
    <xf numFmtId="0" fontId="32" fillId="35" borderId="4" xfId="0" applyFont="1" applyFill="1" applyBorder="1" applyAlignment="1">
      <alignment vertical="center" wrapText="1"/>
      <protection locked="0"/>
    </xf>
    <xf numFmtId="0" fontId="32" fillId="35" borderId="0" xfId="0" applyFont="1" applyFill="1" applyBorder="1" applyAlignment="1">
      <alignment vertical="center" wrapText="1"/>
      <protection locked="0"/>
    </xf>
    <xf numFmtId="0" fontId="0" fillId="35" borderId="4" xfId="0" applyFont="1" applyFill="1" applyBorder="1" applyAlignment="1">
      <alignment vertical="center" wrapText="1"/>
      <protection locked="0"/>
    </xf>
    <xf numFmtId="0" fontId="32" fillId="35" borderId="6" xfId="0" applyFont="1" applyFill="1" applyBorder="1" applyAlignment="1">
      <alignment vertical="center" wrapText="1"/>
      <protection locked="0"/>
    </xf>
    <xf numFmtId="0" fontId="32" fillId="0" borderId="3" xfId="39" applyNumberFormat="1" applyFont="1" applyFill="1" applyBorder="1" applyAlignment="1" applyProtection="1">
      <alignment vertical="center" wrapText="1"/>
    </xf>
    <xf numFmtId="10" fontId="40" fillId="39" borderId="4" xfId="39" applyNumberFormat="1" applyFont="1" applyFill="1" applyBorder="1" applyAlignment="1" applyProtection="1">
      <alignment horizontal="right" vertical="center" wrapText="1"/>
    </xf>
    <xf numFmtId="0" fontId="41" fillId="36" borderId="4" xfId="39" applyNumberFormat="1" applyFont="1" applyFill="1" applyBorder="1" applyAlignment="1" applyProtection="1">
      <alignment vertical="center"/>
    </xf>
    <xf numFmtId="171" fontId="0" fillId="36" borderId="4" xfId="0" applyNumberFormat="1" applyFont="1" applyFill="1" applyBorder="1" applyAlignment="1" applyProtection="1">
      <alignment vertical="center"/>
      <protection locked="0"/>
    </xf>
    <xf numFmtId="10" fontId="42" fillId="36" borderId="4" xfId="39" applyNumberFormat="1" applyFont="1" applyFill="1" applyBorder="1" applyAlignment="1" applyProtection="1">
      <alignment vertical="center"/>
      <protection locked="0"/>
    </xf>
    <xf numFmtId="0" fontId="0" fillId="35" borderId="4" xfId="0" applyFont="1" applyFill="1" applyBorder="1" applyAlignment="1" applyProtection="1">
      <alignment vertical="center" wrapText="1"/>
    </xf>
    <xf numFmtId="0" fontId="0" fillId="35" borderId="0" xfId="0" applyFont="1" applyFill="1" applyAlignment="1" applyProtection="1">
      <alignment vertical="center"/>
    </xf>
    <xf numFmtId="171" fontId="0" fillId="36" borderId="4" xfId="0" applyNumberFormat="1" applyFont="1" applyFill="1" applyBorder="1" applyAlignment="1" applyProtection="1">
      <alignment vertical="center"/>
    </xf>
    <xf numFmtId="0" fontId="32" fillId="38" borderId="4" xfId="0" applyFont="1" applyFill="1" applyBorder="1" applyAlignment="1" applyProtection="1">
      <alignment horizontal="center" vertical="center"/>
    </xf>
    <xf numFmtId="0" fontId="41" fillId="36" borderId="4" xfId="39" applyNumberFormat="1" applyFont="1" applyFill="1" applyBorder="1" applyAlignment="1" applyProtection="1">
      <alignment vertical="center" wrapText="1"/>
    </xf>
    <xf numFmtId="0" fontId="0" fillId="35" borderId="4" xfId="0" applyFont="1" applyFill="1" applyBorder="1" applyAlignment="1" applyProtection="1">
      <alignment vertical="center"/>
    </xf>
    <xf numFmtId="0" fontId="50" fillId="35" borderId="0" xfId="0" applyFont="1" applyFill="1" applyAlignment="1" applyProtection="1">
      <alignment vertical="center"/>
    </xf>
    <xf numFmtId="0" fontId="0" fillId="35" borderId="0" xfId="0" applyFill="1" applyAlignment="1">
      <alignment vertical="center"/>
      <protection locked="0"/>
    </xf>
    <xf numFmtId="0" fontId="0" fillId="0" borderId="0" xfId="0" applyFont="1" applyAlignment="1">
      <alignment vertical="center"/>
      <protection locked="0"/>
    </xf>
    <xf numFmtId="0" fontId="40" fillId="0" borderId="0" xfId="0" applyFont="1" applyAlignment="1">
      <alignment vertical="center"/>
      <protection locked="0"/>
    </xf>
    <xf numFmtId="0" fontId="32" fillId="35" borderId="0" xfId="0" applyFont="1" applyFill="1" applyAlignment="1">
      <alignment vertical="center"/>
      <protection locked="0"/>
    </xf>
    <xf numFmtId="171" fontId="42" fillId="38" borderId="4" xfId="33" applyNumberFormat="1" applyFont="1" applyFill="1" applyBorder="1" applyAlignment="1" applyProtection="1">
      <alignment vertical="center"/>
    </xf>
    <xf numFmtId="0" fontId="0" fillId="35" borderId="0" xfId="0" applyFont="1" applyFill="1" applyBorder="1" applyAlignment="1">
      <alignment vertical="center"/>
      <protection locked="0"/>
    </xf>
    <xf numFmtId="0" fontId="40" fillId="0" borderId="4" xfId="0" applyFont="1" applyBorder="1" applyAlignment="1" applyProtection="1">
      <alignment vertical="center"/>
    </xf>
    <xf numFmtId="0" fontId="56" fillId="35" borderId="0" xfId="0" applyFont="1" applyFill="1" applyAlignment="1">
      <alignment vertical="center"/>
      <protection locked="0"/>
    </xf>
    <xf numFmtId="0" fontId="50" fillId="35" borderId="0" xfId="0" applyFont="1" applyFill="1" applyAlignment="1">
      <alignment vertical="center"/>
      <protection locked="0"/>
    </xf>
    <xf numFmtId="0" fontId="40" fillId="35" borderId="0" xfId="0" applyFont="1" applyFill="1" applyBorder="1" applyAlignment="1">
      <alignment vertical="center"/>
      <protection locked="0"/>
    </xf>
    <xf numFmtId="0" fontId="40" fillId="35" borderId="0" xfId="0" applyFont="1" applyFill="1" applyBorder="1" applyAlignment="1" applyProtection="1">
      <alignment vertical="center"/>
    </xf>
    <xf numFmtId="171" fontId="5" fillId="38" borderId="4" xfId="0" applyNumberFormat="1" applyFont="1" applyFill="1" applyBorder="1" applyAlignment="1" applyProtection="1">
      <alignment vertical="center"/>
    </xf>
    <xf numFmtId="0" fontId="40" fillId="0" borderId="4" xfId="0" applyFont="1" applyBorder="1" applyAlignment="1" applyProtection="1">
      <alignment horizontal="center" vertical="center"/>
    </xf>
    <xf numFmtId="0" fontId="42" fillId="36" borderId="4" xfId="33" applyNumberFormat="1" applyFont="1" applyFill="1" applyBorder="1" applyAlignment="1" applyProtection="1">
      <alignment vertical="center" wrapText="1"/>
    </xf>
    <xf numFmtId="0" fontId="0" fillId="36" borderId="4" xfId="39" applyNumberFormat="1" applyFont="1" applyFill="1" applyBorder="1" applyAlignment="1" applyProtection="1">
      <alignment vertical="center" wrapText="1"/>
    </xf>
    <xf numFmtId="171" fontId="0" fillId="38" borderId="4" xfId="33" applyNumberFormat="1" applyFont="1" applyFill="1" applyBorder="1" applyAlignment="1" applyProtection="1">
      <alignment vertical="center"/>
    </xf>
    <xf numFmtId="0" fontId="20" fillId="0" borderId="16" xfId="35" applyAlignment="1">
      <alignment vertical="center"/>
      <protection locked="0"/>
    </xf>
    <xf numFmtId="0" fontId="4" fillId="41" borderId="4" xfId="0" applyFont="1" applyFill="1" applyBorder="1" applyAlignment="1">
      <alignment horizontal="center" vertical="center"/>
      <protection locked="0"/>
    </xf>
    <xf numFmtId="10" fontId="0" fillId="36" borderId="4" xfId="39" applyNumberFormat="1" applyFont="1" applyFill="1" applyBorder="1" applyAlignment="1" applyProtection="1">
      <alignment horizontal="right" vertical="center"/>
    </xf>
    <xf numFmtId="10" fontId="0" fillId="38" borderId="4" xfId="39" applyNumberFormat="1" applyFont="1" applyFill="1" applyBorder="1" applyAlignment="1" applyProtection="1">
      <alignment horizontal="right" vertical="center"/>
    </xf>
    <xf numFmtId="0" fontId="50" fillId="0" borderId="0" xfId="0" applyFont="1" applyAlignment="1">
      <alignment vertical="center"/>
      <protection locked="0"/>
    </xf>
    <xf numFmtId="0" fontId="1" fillId="0" borderId="4" xfId="0" applyFont="1" applyFill="1" applyBorder="1" applyAlignment="1" applyProtection="1">
      <alignment vertical="center" wrapText="1"/>
    </xf>
    <xf numFmtId="0" fontId="32" fillId="35" borderId="4" xfId="0" applyFont="1" applyFill="1" applyBorder="1" applyAlignment="1">
      <alignment horizontal="center" vertical="center" wrapText="1"/>
      <protection locked="0"/>
    </xf>
    <xf numFmtId="0" fontId="32" fillId="35" borderId="4" xfId="0" applyFont="1" applyFill="1" applyBorder="1" applyAlignment="1">
      <alignment horizontal="center" vertical="center"/>
      <protection locked="0"/>
    </xf>
    <xf numFmtId="0" fontId="32" fillId="0" borderId="4" xfId="0" applyFont="1" applyBorder="1" applyAlignment="1">
      <alignment horizontal="center" vertical="center"/>
      <protection locked="0"/>
    </xf>
    <xf numFmtId="0" fontId="41" fillId="36" borderId="4" xfId="0" applyFont="1" applyFill="1" applyBorder="1" applyAlignment="1">
      <alignment vertical="center" wrapText="1"/>
      <protection locked="0"/>
    </xf>
    <xf numFmtId="0" fontId="6" fillId="41" borderId="4" xfId="0" applyFont="1" applyFill="1" applyBorder="1" applyAlignment="1">
      <alignment horizontal="center" vertical="center" wrapText="1"/>
      <protection locked="0"/>
    </xf>
    <xf numFmtId="0" fontId="32" fillId="35" borderId="0" xfId="0" applyFont="1" applyFill="1" applyAlignment="1" applyProtection="1">
      <alignment horizontal="center" vertical="center"/>
    </xf>
    <xf numFmtId="0" fontId="32" fillId="35" borderId="4" xfId="0" applyFont="1" applyFill="1" applyBorder="1" applyAlignment="1">
      <alignment horizontal="center" vertical="center" wrapText="1"/>
      <protection locked="0"/>
    </xf>
    <xf numFmtId="0" fontId="32" fillId="35" borderId="4" xfId="0" applyFont="1" applyFill="1" applyBorder="1" applyAlignment="1">
      <alignment horizontal="center" vertical="center"/>
      <protection locked="0"/>
    </xf>
    <xf numFmtId="0" fontId="41" fillId="38" borderId="2" xfId="0" applyFont="1" applyFill="1" applyBorder="1" applyAlignment="1" applyProtection="1">
      <alignment vertical="center"/>
    </xf>
    <xf numFmtId="0" fontId="41" fillId="38" borderId="4" xfId="0" applyFont="1" applyFill="1" applyBorder="1" applyAlignment="1" applyProtection="1">
      <alignment vertical="center" wrapText="1"/>
    </xf>
    <xf numFmtId="0" fontId="11" fillId="36" borderId="4" xfId="39" applyNumberFormat="1" applyFont="1" applyFill="1" applyBorder="1" applyAlignment="1" applyProtection="1">
      <alignment horizontal="center" vertical="center"/>
    </xf>
    <xf numFmtId="0" fontId="40" fillId="0" borderId="4" xfId="0" applyFont="1" applyBorder="1" applyAlignment="1">
      <alignment vertical="center"/>
      <protection locked="0"/>
    </xf>
    <xf numFmtId="172" fontId="40" fillId="38" borderId="4" xfId="0" applyNumberFormat="1" applyFont="1" applyFill="1" applyBorder="1" applyAlignment="1" applyProtection="1">
      <alignment vertical="center"/>
    </xf>
    <xf numFmtId="8" fontId="0" fillId="0" borderId="4" xfId="0" applyNumberFormat="1" applyBorder="1" applyAlignment="1" applyProtection="1">
      <alignment vertical="center"/>
    </xf>
    <xf numFmtId="8" fontId="40" fillId="0" borderId="4" xfId="0" applyNumberFormat="1" applyFont="1" applyBorder="1" applyProtection="1">
      <alignment vertical="center"/>
    </xf>
    <xf numFmtId="0" fontId="32" fillId="38" borderId="4" xfId="0" applyFont="1" applyFill="1" applyBorder="1" applyAlignment="1" applyProtection="1">
      <alignment horizontal="center" vertical="center"/>
    </xf>
    <xf numFmtId="0" fontId="32" fillId="35" borderId="4" xfId="0" applyFont="1" applyFill="1" applyBorder="1" applyAlignment="1">
      <alignment horizontal="center" vertical="center" wrapText="1"/>
      <protection locked="0"/>
    </xf>
    <xf numFmtId="0" fontId="41" fillId="38" borderId="2" xfId="0" applyFont="1" applyFill="1" applyBorder="1" applyAlignment="1" applyProtection="1">
      <alignment vertical="center"/>
    </xf>
    <xf numFmtId="10" fontId="11" fillId="36" borderId="10" xfId="39" applyNumberFormat="1" applyFont="1" applyFill="1" applyBorder="1" applyAlignment="1" applyProtection="1">
      <alignment vertical="center" wrapText="1"/>
    </xf>
    <xf numFmtId="10" fontId="40" fillId="38" borderId="4" xfId="0" applyNumberFormat="1" applyFont="1" applyFill="1" applyBorder="1" applyProtection="1">
      <alignment vertical="center"/>
    </xf>
    <xf numFmtId="8" fontId="40" fillId="38" borderId="4" xfId="0" applyNumberFormat="1" applyFont="1" applyFill="1" applyBorder="1" applyAlignment="1" applyProtection="1">
      <alignment vertical="center"/>
    </xf>
    <xf numFmtId="171" fontId="40" fillId="0" borderId="0" xfId="0" applyNumberFormat="1" applyFont="1" applyFill="1" applyBorder="1" applyProtection="1">
      <alignment vertical="center"/>
    </xf>
    <xf numFmtId="0" fontId="6" fillId="0" borderId="4" xfId="0" applyFont="1" applyFill="1" applyBorder="1" applyAlignment="1">
      <alignment horizontal="center" vertical="top"/>
      <protection locked="0"/>
    </xf>
    <xf numFmtId="171" fontId="40" fillId="38" borderId="4" xfId="0" applyNumberFormat="1" applyFont="1" applyFill="1" applyBorder="1" applyProtection="1">
      <alignment vertical="center"/>
    </xf>
    <xf numFmtId="0" fontId="39" fillId="35" borderId="0" xfId="0" applyFont="1" applyFill="1" applyAlignment="1" applyProtection="1">
      <alignment vertical="center"/>
    </xf>
    <xf numFmtId="0" fontId="39" fillId="0" borderId="0" xfId="0" applyFont="1" applyFill="1" applyAlignment="1" applyProtection="1">
      <alignment vertical="center"/>
    </xf>
    <xf numFmtId="0" fontId="56" fillId="0" borderId="0" xfId="0" applyFont="1" applyFill="1">
      <alignment vertical="center"/>
      <protection locked="0"/>
    </xf>
    <xf numFmtId="0" fontId="39" fillId="0" borderId="4" xfId="0" applyFont="1" applyFill="1" applyBorder="1" applyAlignment="1" applyProtection="1">
      <alignment horizontal="center" vertical="center"/>
    </xf>
    <xf numFmtId="0" fontId="70" fillId="0" borderId="4" xfId="0" applyFont="1" applyFill="1" applyBorder="1" applyAlignment="1" applyProtection="1">
      <alignment horizontal="center" vertical="center"/>
    </xf>
    <xf numFmtId="0" fontId="0" fillId="38" borderId="4" xfId="0" applyNumberFormat="1" applyFont="1" applyFill="1" applyBorder="1" applyAlignment="1" applyProtection="1">
      <alignment horizontal="center" vertical="center"/>
    </xf>
    <xf numFmtId="0" fontId="43" fillId="0" borderId="4" xfId="0" applyFont="1" applyBorder="1" applyAlignment="1" applyProtection="1">
      <alignment vertical="center"/>
    </xf>
    <xf numFmtId="0" fontId="0" fillId="0" borderId="0" xfId="0" applyBorder="1" applyAlignment="1">
      <alignment horizontal="center" vertical="center"/>
      <protection locked="0"/>
    </xf>
    <xf numFmtId="1" fontId="40" fillId="0" borderId="4" xfId="0" applyNumberFormat="1" applyFont="1" applyFill="1" applyBorder="1" applyProtection="1">
      <alignment vertical="center"/>
    </xf>
    <xf numFmtId="10" fontId="40" fillId="0" borderId="4" xfId="45" applyNumberFormat="1" applyFont="1" applyBorder="1" applyAlignment="1" applyProtection="1">
      <alignment vertical="center"/>
    </xf>
    <xf numFmtId="0" fontId="32" fillId="0" borderId="0" xfId="0" applyFont="1" applyAlignment="1">
      <alignment vertical="center"/>
      <protection locked="0"/>
    </xf>
    <xf numFmtId="0" fontId="43" fillId="0" borderId="4" xfId="0" applyFont="1" applyFill="1" applyBorder="1" applyAlignment="1" applyProtection="1">
      <alignment horizontal="center" vertical="center"/>
    </xf>
    <xf numFmtId="0" fontId="11" fillId="36" borderId="4" xfId="33" applyNumberFormat="1" applyFont="1" applyFill="1" applyBorder="1" applyAlignment="1" applyProtection="1">
      <alignment vertical="center"/>
    </xf>
    <xf numFmtId="171" fontId="0" fillId="38" borderId="4" xfId="0" applyNumberFormat="1" applyFont="1" applyFill="1" applyBorder="1" applyAlignment="1" applyProtection="1">
      <alignment horizontal="center" vertical="center"/>
    </xf>
    <xf numFmtId="10" fontId="0" fillId="38" borderId="4" xfId="0" applyNumberFormat="1" applyFont="1" applyFill="1" applyBorder="1" applyAlignment="1" applyProtection="1">
      <alignment vertical="center" wrapText="1"/>
    </xf>
    <xf numFmtId="10" fontId="0" fillId="0" borderId="4" xfId="45" applyNumberFormat="1" applyFont="1" applyBorder="1" applyAlignment="1" applyProtection="1">
      <alignment vertical="center"/>
    </xf>
    <xf numFmtId="0" fontId="0" fillId="35" borderId="0" xfId="0" applyFont="1" applyFill="1" applyAlignment="1">
      <alignment horizontal="center" vertical="center"/>
      <protection locked="0"/>
    </xf>
    <xf numFmtId="10" fontId="0" fillId="35" borderId="0" xfId="39" applyNumberFormat="1" applyFont="1" applyFill="1" applyBorder="1" applyAlignment="1" applyProtection="1">
      <alignment vertical="center"/>
    </xf>
    <xf numFmtId="1" fontId="0" fillId="35" borderId="0" xfId="0" applyNumberFormat="1" applyFont="1" applyFill="1" applyAlignment="1">
      <alignment vertical="center"/>
      <protection locked="0"/>
    </xf>
    <xf numFmtId="178" fontId="0" fillId="35" borderId="0" xfId="0" applyNumberFormat="1" applyFont="1" applyFill="1" applyAlignment="1">
      <alignment vertical="center"/>
      <protection locked="0"/>
    </xf>
    <xf numFmtId="0" fontId="56" fillId="35" borderId="0" xfId="0" applyFont="1" applyFill="1">
      <alignment vertical="center"/>
      <protection locked="0"/>
    </xf>
    <xf numFmtId="0" fontId="41" fillId="36" borderId="2" xfId="0" applyFont="1" applyFill="1" applyBorder="1" applyAlignment="1" applyProtection="1">
      <alignment vertical="center"/>
    </xf>
    <xf numFmtId="0" fontId="43" fillId="35" borderId="0" xfId="0" applyFont="1" applyFill="1" applyAlignment="1">
      <alignment vertical="center"/>
      <protection locked="0"/>
    </xf>
    <xf numFmtId="0" fontId="0" fillId="38" borderId="4" xfId="0" applyFont="1" applyFill="1" applyBorder="1" applyAlignment="1" applyProtection="1">
      <alignment vertical="center"/>
    </xf>
    <xf numFmtId="0" fontId="43" fillId="38" borderId="4" xfId="0" applyFont="1" applyFill="1" applyBorder="1" applyProtection="1">
      <alignment vertical="center"/>
    </xf>
    <xf numFmtId="0" fontId="41" fillId="36" borderId="4" xfId="0" applyFont="1" applyFill="1" applyBorder="1" applyAlignment="1" applyProtection="1">
      <alignment vertical="center" wrapText="1"/>
      <protection locked="0"/>
    </xf>
    <xf numFmtId="0" fontId="41" fillId="36" borderId="4" xfId="0" applyFont="1" applyFill="1" applyBorder="1" applyAlignment="1">
      <alignment vertical="center" wrapText="1"/>
      <protection locked="0"/>
    </xf>
    <xf numFmtId="1" fontId="40" fillId="0" borderId="4" xfId="0" applyNumberFormat="1" applyFont="1" applyBorder="1" applyAlignment="1" applyProtection="1">
      <alignment horizontal="center" vertical="center"/>
    </xf>
    <xf numFmtId="10" fontId="40" fillId="35" borderId="4" xfId="0" applyNumberFormat="1" applyFont="1" applyFill="1" applyBorder="1" applyAlignment="1" applyProtection="1">
      <alignment vertical="center"/>
    </xf>
    <xf numFmtId="0" fontId="41" fillId="36" borderId="4" xfId="0" applyFont="1" applyFill="1" applyBorder="1" applyAlignment="1">
      <alignment vertical="center"/>
      <protection locked="0"/>
    </xf>
    <xf numFmtId="0" fontId="0" fillId="0" borderId="0" xfId="0" applyFont="1" applyAlignment="1" applyProtection="1">
      <alignment vertical="center"/>
    </xf>
    <xf numFmtId="0" fontId="0" fillId="35" borderId="0" xfId="0" applyFont="1" applyFill="1" applyProtection="1">
      <alignment vertical="center"/>
    </xf>
    <xf numFmtId="0" fontId="0" fillId="35" borderId="0" xfId="0" applyFont="1" applyFill="1" applyAlignment="1" applyProtection="1">
      <alignment horizontal="center" vertical="center"/>
    </xf>
    <xf numFmtId="0" fontId="32" fillId="38" borderId="4" xfId="0" applyFont="1" applyFill="1" applyBorder="1" applyAlignment="1" applyProtection="1">
      <alignment horizontal="center" vertical="center"/>
    </xf>
    <xf numFmtId="0" fontId="41" fillId="36" borderId="4" xfId="0" applyFont="1" applyFill="1" applyBorder="1" applyAlignment="1" applyProtection="1">
      <alignment vertical="center" wrapText="1"/>
      <protection locked="0"/>
    </xf>
    <xf numFmtId="0" fontId="41" fillId="36" borderId="4" xfId="0" applyFont="1" applyFill="1" applyBorder="1" applyAlignment="1">
      <alignment vertical="center"/>
      <protection locked="0"/>
    </xf>
    <xf numFmtId="0" fontId="0" fillId="0" borderId="0" xfId="0" applyAlignment="1" applyProtection="1">
      <alignment vertical="center"/>
    </xf>
    <xf numFmtId="0" fontId="49" fillId="47" borderId="0" xfId="0" applyFont="1" applyFill="1" applyAlignment="1" applyProtection="1">
      <alignment horizontal="center" vertical="center"/>
    </xf>
    <xf numFmtId="0" fontId="32" fillId="38" borderId="4" xfId="0" applyFont="1" applyFill="1" applyBorder="1" applyAlignment="1" applyProtection="1">
      <alignment horizontal="center" vertical="center"/>
    </xf>
    <xf numFmtId="0" fontId="49" fillId="47" borderId="0" xfId="0" applyFont="1" applyFill="1" applyAlignment="1" applyProtection="1">
      <alignment horizontal="right" vertical="center"/>
    </xf>
    <xf numFmtId="0" fontId="0" fillId="0" borderId="0" xfId="0" applyProtection="1">
      <alignment vertical="center"/>
    </xf>
    <xf numFmtId="0" fontId="0" fillId="0" borderId="0" xfId="0" applyFont="1" applyFill="1" applyProtection="1">
      <alignment vertical="center"/>
    </xf>
    <xf numFmtId="0" fontId="58" fillId="35" borderId="0" xfId="0" applyFont="1" applyFill="1" applyAlignment="1" applyProtection="1">
      <alignment vertical="center"/>
    </xf>
    <xf numFmtId="0" fontId="63" fillId="35" borderId="0" xfId="0" applyFont="1" applyFill="1" applyAlignment="1" applyProtection="1">
      <alignment vertical="center"/>
    </xf>
    <xf numFmtId="0" fontId="32" fillId="35" borderId="7" xfId="0" applyFont="1" applyFill="1" applyBorder="1" applyAlignment="1" applyProtection="1">
      <alignment vertical="center" wrapText="1"/>
    </xf>
    <xf numFmtId="164" fontId="40" fillId="35" borderId="0" xfId="0" applyNumberFormat="1" applyFont="1" applyFill="1" applyAlignment="1" applyProtection="1">
      <alignment vertical="center"/>
    </xf>
    <xf numFmtId="0" fontId="34" fillId="35" borderId="0" xfId="0" applyFont="1" applyFill="1" applyBorder="1" applyAlignment="1" applyProtection="1">
      <alignment vertical="center"/>
    </xf>
    <xf numFmtId="0" fontId="0" fillId="0" borderId="0" xfId="0" applyFill="1" applyProtection="1">
      <alignment vertical="center"/>
    </xf>
    <xf numFmtId="0" fontId="0" fillId="35" borderId="0" xfId="0" applyFill="1" applyAlignment="1" applyProtection="1">
      <alignment vertical="center" wrapText="1"/>
    </xf>
    <xf numFmtId="0" fontId="34" fillId="0" borderId="4" xfId="0" applyFont="1" applyBorder="1" applyAlignment="1" applyProtection="1">
      <alignment horizontal="center" vertical="center"/>
    </xf>
    <xf numFmtId="0" fontId="0" fillId="0" borderId="0" xfId="0" applyFont="1" applyProtection="1">
      <alignment vertical="center"/>
    </xf>
    <xf numFmtId="0" fontId="31" fillId="37" borderId="0" xfId="0" applyFont="1" applyFill="1" applyAlignment="1" applyProtection="1">
      <alignment vertical="center" wrapText="1"/>
    </xf>
    <xf numFmtId="0" fontId="0" fillId="0" borderId="0" xfId="0" applyFont="1" applyBorder="1" applyAlignment="1" applyProtection="1">
      <alignment vertical="center"/>
    </xf>
    <xf numFmtId="0" fontId="50" fillId="0" borderId="0" xfId="0" applyFont="1" applyFill="1" applyAlignment="1" applyProtection="1">
      <alignment vertical="center"/>
    </xf>
    <xf numFmtId="0" fontId="51" fillId="35" borderId="0" xfId="0" applyFont="1" applyFill="1" applyBorder="1" applyAlignment="1" applyProtection="1">
      <alignment vertical="center"/>
    </xf>
    <xf numFmtId="0" fontId="81" fillId="35" borderId="0" xfId="0" applyFont="1" applyFill="1" applyAlignment="1" applyProtection="1">
      <alignment vertical="center"/>
    </xf>
    <xf numFmtId="169" fontId="0" fillId="35" borderId="0" xfId="0" applyNumberFormat="1" applyFont="1" applyFill="1" applyBorder="1" applyAlignment="1" applyProtection="1">
      <alignment horizontal="center" vertical="center"/>
    </xf>
    <xf numFmtId="169" fontId="0" fillId="35" borderId="0" xfId="0" applyNumberFormat="1" applyFont="1" applyFill="1" applyBorder="1" applyAlignment="1" applyProtection="1">
      <alignment horizontal="center"/>
    </xf>
    <xf numFmtId="0" fontId="39" fillId="35" borderId="1" xfId="0" applyFont="1" applyFill="1" applyBorder="1" applyAlignment="1" applyProtection="1">
      <alignment vertical="center" wrapText="1"/>
    </xf>
    <xf numFmtId="0" fontId="39" fillId="35" borderId="0" xfId="0" applyFont="1" applyFill="1" applyBorder="1" applyAlignment="1" applyProtection="1">
      <alignment vertical="center" wrapText="1"/>
    </xf>
    <xf numFmtId="0" fontId="39" fillId="35" borderId="2" xfId="0" applyFont="1" applyFill="1" applyBorder="1" applyAlignment="1" applyProtection="1">
      <alignment vertical="center" wrapText="1"/>
    </xf>
    <xf numFmtId="171" fontId="0" fillId="35" borderId="0" xfId="0" applyNumberFormat="1" applyFont="1" applyFill="1" applyAlignment="1" applyProtection="1">
      <alignment vertical="center"/>
    </xf>
    <xf numFmtId="0" fontId="54" fillId="35" borderId="0" xfId="0" applyFont="1" applyFill="1" applyBorder="1" applyAlignment="1" applyProtection="1">
      <alignment vertical="center"/>
    </xf>
    <xf numFmtId="0" fontId="64" fillId="35" borderId="0" xfId="0" applyFont="1" applyFill="1" applyAlignment="1" applyProtection="1">
      <alignment vertical="center"/>
    </xf>
    <xf numFmtId="0" fontId="39" fillId="35" borderId="0" xfId="0" applyFont="1" applyFill="1" applyBorder="1" applyAlignment="1" applyProtection="1">
      <alignment vertical="center"/>
    </xf>
    <xf numFmtId="0" fontId="32" fillId="0" borderId="0" xfId="0" applyFont="1" applyFill="1" applyProtection="1">
      <alignment vertical="center"/>
    </xf>
    <xf numFmtId="0" fontId="32" fillId="35" borderId="0" xfId="0" applyFont="1" applyFill="1" applyProtection="1">
      <alignment vertical="center"/>
    </xf>
    <xf numFmtId="172" fontId="0" fillId="36" borderId="4" xfId="0" applyNumberFormat="1" applyFont="1" applyFill="1" applyBorder="1" applyAlignment="1" applyProtection="1">
      <alignment vertical="center"/>
      <protection locked="0"/>
    </xf>
    <xf numFmtId="8" fontId="11" fillId="36" borderId="4" xfId="39" applyNumberFormat="1" applyFont="1" applyFill="1" applyBorder="1" applyAlignment="1" applyProtection="1">
      <alignment vertical="center"/>
      <protection locked="0"/>
    </xf>
    <xf numFmtId="0" fontId="0" fillId="36" borderId="4" xfId="0" applyFont="1" applyFill="1" applyBorder="1" applyAlignment="1" applyProtection="1">
      <alignment horizontal="center" vertical="center"/>
      <protection locked="0"/>
    </xf>
    <xf numFmtId="0" fontId="41" fillId="36" borderId="4" xfId="0" applyFont="1" applyFill="1" applyBorder="1" applyAlignment="1" applyProtection="1">
      <alignment vertical="center"/>
      <protection locked="0"/>
    </xf>
    <xf numFmtId="0" fontId="16" fillId="37" borderId="0" xfId="0" applyFont="1" applyFill="1" applyAlignment="1" applyProtection="1">
      <alignment vertical="center"/>
    </xf>
    <xf numFmtId="0" fontId="0" fillId="35" borderId="0" xfId="0" applyFont="1" applyFill="1" applyProtection="1">
      <alignment vertical="center"/>
    </xf>
    <xf numFmtId="0" fontId="32" fillId="38" borderId="4" xfId="0" applyFont="1" applyFill="1" applyBorder="1" applyAlignment="1" applyProtection="1">
      <alignment horizontal="center" vertical="center"/>
    </xf>
    <xf numFmtId="164" fontId="40" fillId="35" borderId="4" xfId="0" applyNumberFormat="1" applyFont="1" applyFill="1" applyBorder="1" applyProtection="1">
      <alignment vertical="center"/>
    </xf>
    <xf numFmtId="164" fontId="40" fillId="35" borderId="0" xfId="0" applyNumberFormat="1" applyFont="1" applyFill="1" applyBorder="1" applyProtection="1">
      <alignment vertical="center"/>
    </xf>
    <xf numFmtId="0" fontId="57" fillId="35" borderId="0" xfId="0" applyFont="1" applyFill="1" applyAlignment="1">
      <alignment vertical="center"/>
      <protection locked="0"/>
    </xf>
    <xf numFmtId="0" fontId="0" fillId="0" borderId="0" xfId="0" applyAlignment="1" applyProtection="1">
      <alignment vertical="center"/>
    </xf>
    <xf numFmtId="0" fontId="32" fillId="35" borderId="4" xfId="0" applyFont="1" applyFill="1" applyBorder="1" applyAlignment="1" applyProtection="1">
      <alignment horizontal="center" vertical="center" wrapText="1"/>
    </xf>
    <xf numFmtId="0" fontId="6" fillId="41" borderId="4" xfId="0" applyFont="1" applyFill="1" applyBorder="1" applyAlignment="1">
      <alignment horizontal="center" vertical="center" wrapText="1"/>
      <protection locked="0"/>
    </xf>
    <xf numFmtId="9" fontId="4" fillId="36" borderId="4" xfId="45" applyFont="1" applyFill="1" applyBorder="1" applyAlignment="1">
      <alignment vertical="center"/>
      <protection locked="0"/>
    </xf>
    <xf numFmtId="8" fontId="11" fillId="38" borderId="4" xfId="39" applyNumberFormat="1" applyFont="1" applyFill="1" applyBorder="1" applyAlignment="1" applyProtection="1">
      <alignment vertical="center"/>
    </xf>
    <xf numFmtId="0" fontId="0" fillId="35" borderId="4" xfId="0" applyFont="1" applyFill="1" applyBorder="1" applyAlignment="1" applyProtection="1">
      <alignment horizontal="center" vertical="center" wrapText="1"/>
    </xf>
    <xf numFmtId="9" fontId="32" fillId="38" borderId="4" xfId="45" applyFont="1" applyFill="1" applyBorder="1" applyAlignment="1" applyProtection="1">
      <alignment vertical="center"/>
    </xf>
    <xf numFmtId="0" fontId="5" fillId="48" borderId="4" xfId="0" applyFont="1" applyFill="1" applyBorder="1" applyAlignment="1" applyProtection="1">
      <alignment vertical="center" wrapText="1"/>
      <protection locked="0"/>
    </xf>
    <xf numFmtId="171" fontId="5" fillId="36" borderId="4" xfId="0" applyNumberFormat="1" applyFont="1" applyFill="1" applyBorder="1" applyAlignment="1" applyProtection="1">
      <alignment vertical="center" wrapText="1"/>
    </xf>
    <xf numFmtId="0" fontId="0" fillId="36" borderId="4" xfId="0" applyFont="1" applyFill="1" applyBorder="1" applyAlignment="1" applyProtection="1">
      <alignment horizontal="center" vertical="center"/>
    </xf>
    <xf numFmtId="0" fontId="40" fillId="0" borderId="0" xfId="0" applyFont="1" applyProtection="1">
      <alignment vertical="center"/>
    </xf>
    <xf numFmtId="0" fontId="0" fillId="36" borderId="2" xfId="0" applyFont="1" applyFill="1" applyBorder="1" applyAlignment="1">
      <alignment horizontal="center" vertical="center"/>
      <protection locked="0"/>
    </xf>
    <xf numFmtId="0" fontId="0" fillId="36" borderId="13"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0" fontId="46" fillId="37" borderId="0" xfId="0" applyFont="1" applyFill="1" applyAlignment="1" applyProtection="1">
      <alignment horizontal="center" vertical="center"/>
    </xf>
    <xf numFmtId="0" fontId="31" fillId="40" borderId="4" xfId="0" applyFont="1" applyFill="1" applyBorder="1" applyAlignment="1">
      <alignment vertical="center"/>
      <protection locked="0"/>
    </xf>
    <xf numFmtId="0" fontId="0" fillId="0" borderId="4" xfId="0" applyBorder="1" applyAlignment="1">
      <alignment vertical="center"/>
      <protection locked="0"/>
    </xf>
    <xf numFmtId="0" fontId="31" fillId="34" borderId="4" xfId="0" applyFont="1" applyFill="1" applyBorder="1" applyAlignment="1">
      <alignment vertical="center"/>
      <protection locked="0"/>
    </xf>
    <xf numFmtId="0" fontId="31" fillId="46" borderId="4" xfId="0" applyFont="1" applyFill="1" applyBorder="1" applyAlignment="1">
      <alignment vertical="center"/>
      <protection locked="0"/>
    </xf>
    <xf numFmtId="0" fontId="31" fillId="47" borderId="4" xfId="0" applyFont="1" applyFill="1" applyBorder="1" applyAlignment="1">
      <alignment vertical="center"/>
      <protection locked="0"/>
    </xf>
    <xf numFmtId="0" fontId="0" fillId="0" borderId="0" xfId="0" applyFont="1" applyAlignment="1" applyProtection="1">
      <alignment horizontal="center" vertical="center"/>
    </xf>
    <xf numFmtId="0" fontId="31" fillId="42" borderId="4" xfId="0" applyFont="1" applyFill="1" applyBorder="1" applyAlignment="1">
      <alignment vertical="center"/>
      <protection locked="0"/>
    </xf>
    <xf numFmtId="0" fontId="46" fillId="37" borderId="4" xfId="0" applyFont="1" applyFill="1" applyBorder="1" applyAlignment="1" applyProtection="1">
      <alignment horizontal="center" vertical="center"/>
    </xf>
    <xf numFmtId="0" fontId="5" fillId="0" borderId="2" xfId="0" applyFont="1" applyFill="1" applyBorder="1" applyAlignment="1" applyProtection="1">
      <alignment horizontal="left" vertical="center" wrapText="1"/>
    </xf>
    <xf numFmtId="0" fontId="12" fillId="0" borderId="10"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6" fillId="0" borderId="4" xfId="0" applyFont="1" applyFill="1" applyBorder="1" applyAlignment="1" applyProtection="1">
      <alignment vertical="center" wrapText="1"/>
    </xf>
    <xf numFmtId="0" fontId="50" fillId="34" borderId="4" xfId="0" applyFont="1" applyFill="1" applyBorder="1" applyAlignment="1">
      <alignment vertical="center"/>
      <protection locked="0"/>
    </xf>
    <xf numFmtId="0" fontId="71" fillId="41" borderId="2" xfId="0" applyFont="1" applyFill="1" applyBorder="1" applyAlignment="1" applyProtection="1">
      <alignment vertical="center"/>
    </xf>
    <xf numFmtId="0" fontId="72" fillId="0" borderId="13" xfId="0" applyFont="1" applyBorder="1" applyAlignment="1" applyProtection="1">
      <alignment vertical="center"/>
    </xf>
    <xf numFmtId="0" fontId="72" fillId="0" borderId="10" xfId="0" applyFont="1" applyBorder="1" applyAlignment="1" applyProtection="1">
      <alignment vertical="center"/>
    </xf>
    <xf numFmtId="0" fontId="50" fillId="35" borderId="0" xfId="0" applyFont="1" applyFill="1" applyAlignment="1" applyProtection="1">
      <alignment horizontal="center" vertical="center"/>
    </xf>
    <xf numFmtId="0" fontId="0" fillId="0" borderId="4" xfId="0" applyBorder="1" applyProtection="1">
      <alignment vertical="center"/>
    </xf>
    <xf numFmtId="0" fontId="5" fillId="0" borderId="6" xfId="0" applyFont="1" applyFill="1" applyBorder="1" applyAlignment="1" applyProtection="1">
      <alignment vertical="center" wrapText="1"/>
    </xf>
    <xf numFmtId="0" fontId="12" fillId="0" borderId="7" xfId="0" applyFont="1" applyFill="1" applyBorder="1" applyAlignment="1" applyProtection="1">
      <alignment vertical="center" wrapText="1"/>
    </xf>
    <xf numFmtId="0" fontId="13" fillId="0" borderId="0" xfId="0" applyFont="1" applyFill="1" applyBorder="1" applyAlignment="1" applyProtection="1">
      <alignment horizontal="center" vertical="center"/>
    </xf>
    <xf numFmtId="0" fontId="4" fillId="36" borderId="2" xfId="0" applyFont="1" applyFill="1" applyBorder="1" applyAlignment="1" applyProtection="1">
      <alignment vertical="center" wrapText="1"/>
      <protection locked="0"/>
    </xf>
    <xf numFmtId="0" fontId="0" fillId="0" borderId="10" xfId="0" applyBorder="1" applyAlignment="1">
      <alignment vertical="center" wrapText="1"/>
      <protection locked="0"/>
    </xf>
    <xf numFmtId="0" fontId="4" fillId="36" borderId="10" xfId="0" applyFont="1" applyFill="1" applyBorder="1" applyAlignment="1" applyProtection="1">
      <alignment vertical="center" wrapText="1"/>
      <protection locked="0"/>
    </xf>
    <xf numFmtId="0" fontId="5" fillId="0" borderId="10" xfId="0" applyFont="1" applyFill="1" applyBorder="1" applyAlignment="1" applyProtection="1">
      <alignment horizontal="left" vertical="center" wrapText="1"/>
    </xf>
    <xf numFmtId="0" fontId="6" fillId="0" borderId="2" xfId="0"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xf>
    <xf numFmtId="0" fontId="73" fillId="0" borderId="10" xfId="0" applyFont="1" applyBorder="1" applyAlignment="1" applyProtection="1">
      <alignment horizontal="center" vertical="center" wrapText="1"/>
    </xf>
    <xf numFmtId="0" fontId="32" fillId="35" borderId="4" xfId="0" applyFont="1" applyFill="1" applyBorder="1">
      <alignment vertical="center"/>
      <protection locked="0"/>
    </xf>
    <xf numFmtId="0" fontId="0" fillId="35" borderId="4" xfId="0" applyFont="1" applyFill="1" applyBorder="1">
      <alignment vertical="center"/>
      <protection locked="0"/>
    </xf>
    <xf numFmtId="0" fontId="71" fillId="41" borderId="13" xfId="0" applyFont="1" applyFill="1" applyBorder="1" applyAlignment="1" applyProtection="1">
      <alignment vertical="center"/>
    </xf>
    <xf numFmtId="0" fontId="71" fillId="41" borderId="10" xfId="0" applyFont="1" applyFill="1" applyBorder="1" applyAlignment="1" applyProtection="1">
      <alignment vertical="center"/>
    </xf>
    <xf numFmtId="0" fontId="39" fillId="0" borderId="0" xfId="0" applyFont="1" applyFill="1" applyAlignment="1" applyProtection="1">
      <alignment horizontal="center" vertical="center"/>
    </xf>
    <xf numFmtId="0" fontId="39" fillId="0" borderId="0" xfId="0" applyFont="1" applyFill="1" applyBorder="1" applyAlignment="1" applyProtection="1">
      <alignment horizontal="center" vertical="center"/>
    </xf>
    <xf numFmtId="0" fontId="5" fillId="36" borderId="2" xfId="0" applyFont="1" applyFill="1" applyBorder="1" applyAlignment="1" applyProtection="1">
      <alignment vertical="center" wrapText="1"/>
      <protection locked="0"/>
    </xf>
    <xf numFmtId="0" fontId="12" fillId="36" borderId="10" xfId="0" applyFont="1" applyFill="1" applyBorder="1" applyAlignment="1" applyProtection="1">
      <alignment vertical="center" wrapText="1"/>
      <protection locked="0"/>
    </xf>
    <xf numFmtId="0" fontId="6" fillId="0" borderId="2"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4"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35" borderId="0" xfId="0" applyFont="1" applyFill="1" applyAlignment="1" applyProtection="1">
      <alignment horizontal="center" vertical="center"/>
    </xf>
    <xf numFmtId="0" fontId="44" fillId="37" borderId="0" xfId="0" applyFont="1" applyFill="1" applyAlignment="1" applyProtection="1">
      <alignment horizontal="right" vertical="center"/>
    </xf>
    <xf numFmtId="0" fontId="53" fillId="37" borderId="0" xfId="0" applyFont="1" applyFill="1" applyAlignment="1" applyProtection="1">
      <alignment horizontal="right" vertical="center"/>
    </xf>
    <xf numFmtId="0" fontId="49" fillId="34" borderId="0" xfId="0" applyFont="1" applyFill="1" applyAlignment="1" applyProtection="1">
      <alignment horizontal="center" vertical="center"/>
    </xf>
    <xf numFmtId="0" fontId="42" fillId="36" borderId="4" xfId="33" applyNumberFormat="1" applyFont="1" applyFill="1" applyBorder="1" applyAlignment="1" applyProtection="1">
      <alignment vertical="center" wrapText="1"/>
    </xf>
    <xf numFmtId="0" fontId="0" fillId="36" borderId="4" xfId="0" applyFont="1" applyFill="1" applyBorder="1" applyAlignment="1">
      <alignment vertical="center" wrapText="1"/>
      <protection locked="0"/>
    </xf>
    <xf numFmtId="0" fontId="32" fillId="38" borderId="4" xfId="0" applyFont="1" applyFill="1" applyBorder="1" applyAlignment="1" applyProtection="1">
      <alignment horizontal="center" vertical="center"/>
    </xf>
    <xf numFmtId="0" fontId="49" fillId="34" borderId="0" xfId="0" applyFont="1" applyFill="1" applyAlignment="1">
      <alignment horizontal="center" vertical="center"/>
      <protection locked="0"/>
    </xf>
    <xf numFmtId="0" fontId="42" fillId="36" borderId="2" xfId="33" applyNumberFormat="1" applyFont="1" applyFill="1" applyBorder="1" applyAlignment="1" applyProtection="1">
      <alignment vertical="center" wrapText="1"/>
    </xf>
    <xf numFmtId="0" fontId="0" fillId="36" borderId="13" xfId="0" applyFont="1" applyFill="1" applyBorder="1" applyAlignment="1">
      <alignment vertical="center" wrapText="1"/>
      <protection locked="0"/>
    </xf>
    <xf numFmtId="0" fontId="0" fillId="36" borderId="10" xfId="0" applyFont="1" applyFill="1" applyBorder="1" applyAlignment="1">
      <alignment vertical="center" wrapText="1"/>
      <protection locked="0"/>
    </xf>
    <xf numFmtId="0" fontId="0" fillId="36" borderId="4" xfId="0" applyFill="1" applyBorder="1" applyAlignment="1">
      <alignment vertical="center" wrapText="1"/>
      <protection locked="0"/>
    </xf>
    <xf numFmtId="0" fontId="53" fillId="37" borderId="0" xfId="0" applyFont="1" applyFill="1" applyAlignment="1" applyProtection="1">
      <alignment horizontal="center" vertical="center"/>
    </xf>
    <xf numFmtId="0" fontId="41" fillId="36" borderId="4" xfId="39" applyNumberFormat="1" applyFont="1" applyFill="1" applyBorder="1" applyAlignment="1" applyProtection="1">
      <alignment vertical="center" wrapText="1"/>
      <protection locked="0"/>
    </xf>
    <xf numFmtId="0" fontId="41" fillId="0" borderId="4" xfId="0" applyFont="1" applyBorder="1" applyAlignment="1" applyProtection="1">
      <alignment vertical="center" wrapText="1"/>
      <protection locked="0"/>
    </xf>
    <xf numFmtId="0" fontId="32" fillId="35" borderId="2" xfId="0" applyFont="1" applyFill="1" applyBorder="1" applyAlignment="1">
      <alignment horizontal="center" vertical="center"/>
      <protection locked="0"/>
    </xf>
    <xf numFmtId="0" fontId="32" fillId="35" borderId="10" xfId="0" applyFont="1" applyFill="1" applyBorder="1" applyAlignment="1">
      <alignment horizontal="center" vertical="center"/>
      <protection locked="0"/>
    </xf>
    <xf numFmtId="0" fontId="0" fillId="0" borderId="4" xfId="0" applyBorder="1" applyAlignment="1" applyProtection="1">
      <alignment vertical="center" wrapText="1"/>
      <protection locked="0"/>
    </xf>
    <xf numFmtId="0" fontId="0" fillId="36" borderId="4" xfId="0" applyFont="1" applyFill="1" applyBorder="1" applyAlignment="1">
      <alignment vertical="center"/>
      <protection locked="0"/>
    </xf>
    <xf numFmtId="0" fontId="32" fillId="35" borderId="4" xfId="0" applyFont="1" applyFill="1" applyBorder="1" applyAlignment="1">
      <alignment horizontal="center" vertical="center" wrapText="1"/>
      <protection locked="0"/>
    </xf>
    <xf numFmtId="0" fontId="0" fillId="35" borderId="4" xfId="0" applyFont="1" applyFill="1" applyBorder="1" applyAlignment="1">
      <alignment horizontal="center" vertical="center" wrapText="1"/>
      <protection locked="0"/>
    </xf>
    <xf numFmtId="0" fontId="0" fillId="0" borderId="4" xfId="0" applyFont="1" applyBorder="1" applyAlignment="1">
      <alignment vertical="center"/>
      <protection locked="0"/>
    </xf>
    <xf numFmtId="0" fontId="32" fillId="35" borderId="2" xfId="0" applyFont="1" applyFill="1" applyBorder="1" applyAlignment="1">
      <alignment horizontal="center" vertical="center" wrapText="1"/>
      <protection locked="0"/>
    </xf>
    <xf numFmtId="0" fontId="32" fillId="35" borderId="13" xfId="0" applyFont="1" applyFill="1" applyBorder="1" applyAlignment="1">
      <alignment horizontal="center" vertical="center" wrapText="1"/>
      <protection locked="0"/>
    </xf>
    <xf numFmtId="0" fontId="32" fillId="35" borderId="10" xfId="0" applyFont="1" applyFill="1" applyBorder="1" applyAlignment="1">
      <alignment horizontal="center" vertical="center" wrapText="1"/>
      <protection locked="0"/>
    </xf>
    <xf numFmtId="0" fontId="41" fillId="36" borderId="2" xfId="0" applyFont="1" applyFill="1" applyBorder="1" applyAlignment="1" applyProtection="1">
      <alignment vertical="center" wrapText="1"/>
      <protection locked="0"/>
    </xf>
    <xf numFmtId="0" fontId="41" fillId="36" borderId="13" xfId="0" applyFont="1" applyFill="1" applyBorder="1" applyAlignment="1" applyProtection="1">
      <alignment vertical="center" wrapText="1"/>
      <protection locked="0"/>
    </xf>
    <xf numFmtId="0" fontId="41" fillId="36" borderId="10" xfId="0" applyFont="1" applyFill="1" applyBorder="1" applyAlignment="1" applyProtection="1">
      <alignment vertical="center" wrapText="1"/>
      <protection locked="0"/>
    </xf>
    <xf numFmtId="0" fontId="32" fillId="35" borderId="4" xfId="0" applyFont="1" applyFill="1" applyBorder="1" applyAlignment="1">
      <alignment horizontal="center" vertical="center"/>
      <protection locked="0"/>
    </xf>
    <xf numFmtId="0" fontId="0" fillId="0" borderId="4" xfId="0" applyBorder="1" applyAlignment="1">
      <alignment horizontal="center" vertical="center"/>
      <protection locked="0"/>
    </xf>
    <xf numFmtId="0" fontId="41" fillId="36" borderId="4" xfId="0" applyFont="1" applyFill="1" applyBorder="1" applyAlignment="1" applyProtection="1">
      <alignment vertical="center" wrapText="1"/>
      <protection locked="0"/>
    </xf>
    <xf numFmtId="0" fontId="74" fillId="46" borderId="0" xfId="0" applyFont="1" applyFill="1" applyAlignment="1" applyProtection="1">
      <alignment horizontal="center" vertical="center"/>
    </xf>
    <xf numFmtId="0" fontId="0" fillId="35" borderId="13" xfId="0" applyFont="1" applyFill="1" applyBorder="1" applyAlignment="1">
      <alignment horizontal="center" vertical="center" wrapText="1"/>
      <protection locked="0"/>
    </xf>
    <xf numFmtId="0" fontId="0" fillId="35" borderId="10" xfId="0" applyFont="1" applyFill="1" applyBorder="1" applyAlignment="1">
      <alignment horizontal="center" vertical="center" wrapText="1"/>
      <protection locked="0"/>
    </xf>
    <xf numFmtId="0" fontId="43" fillId="0" borderId="4" xfId="0" applyFont="1" applyBorder="1" applyAlignment="1" applyProtection="1">
      <alignment vertical="center"/>
    </xf>
    <xf numFmtId="0" fontId="41" fillId="36" borderId="2" xfId="0" applyFont="1" applyFill="1" applyBorder="1" applyAlignment="1">
      <alignment vertical="center" wrapText="1"/>
      <protection locked="0"/>
    </xf>
    <xf numFmtId="0" fontId="41" fillId="36" borderId="13" xfId="0" applyFont="1" applyFill="1" applyBorder="1" applyAlignment="1">
      <alignment vertical="center" wrapText="1"/>
      <protection locked="0"/>
    </xf>
    <xf numFmtId="0" fontId="41" fillId="36" borderId="10" xfId="0" applyFont="1" applyFill="1" applyBorder="1" applyAlignment="1">
      <alignment vertical="center" wrapText="1"/>
      <protection locked="0"/>
    </xf>
    <xf numFmtId="0" fontId="4" fillId="36" borderId="2" xfId="0" applyFont="1" applyFill="1" applyBorder="1" applyAlignment="1" applyProtection="1">
      <alignment vertical="center"/>
      <protection locked="0"/>
    </xf>
    <xf numFmtId="0" fontId="4" fillId="36" borderId="13" xfId="0" applyFont="1" applyFill="1" applyBorder="1" applyAlignment="1" applyProtection="1">
      <alignment vertical="center"/>
      <protection locked="0"/>
    </xf>
    <xf numFmtId="0" fontId="4" fillId="36" borderId="10" xfId="0" applyFont="1" applyFill="1" applyBorder="1" applyAlignment="1" applyProtection="1">
      <alignment vertical="center"/>
      <protection locked="0"/>
    </xf>
    <xf numFmtId="0" fontId="34" fillId="35" borderId="2" xfId="0" applyFont="1" applyFill="1" applyBorder="1" applyAlignment="1">
      <alignment horizontal="center" vertical="center"/>
      <protection locked="0"/>
    </xf>
    <xf numFmtId="0" fontId="34" fillId="35" borderId="13" xfId="0" applyFont="1" applyFill="1" applyBorder="1" applyAlignment="1">
      <alignment horizontal="center" vertical="center"/>
      <protection locked="0"/>
    </xf>
    <xf numFmtId="0" fontId="34" fillId="35" borderId="10" xfId="0" applyFont="1" applyFill="1" applyBorder="1" applyAlignment="1">
      <alignment horizontal="center" vertical="center"/>
      <protection locked="0"/>
    </xf>
    <xf numFmtId="0" fontId="0" fillId="35" borderId="6" xfId="0" applyFont="1" applyFill="1" applyBorder="1" applyAlignment="1" applyProtection="1">
      <alignment horizontal="center" vertical="center"/>
    </xf>
    <xf numFmtId="0" fontId="0" fillId="35" borderId="0" xfId="0" applyFill="1" applyAlignment="1" applyProtection="1">
      <alignment horizontal="center" vertical="center"/>
    </xf>
    <xf numFmtId="0" fontId="41" fillId="38" borderId="4" xfId="0" applyFont="1" applyFill="1" applyBorder="1" applyAlignment="1" applyProtection="1">
      <alignment vertical="center"/>
    </xf>
    <xf numFmtId="0" fontId="0" fillId="0" borderId="4" xfId="0" applyBorder="1" applyAlignment="1" applyProtection="1">
      <alignment vertical="center"/>
    </xf>
    <xf numFmtId="171" fontId="41" fillId="36" borderId="4" xfId="0" applyNumberFormat="1" applyFont="1" applyFill="1" applyBorder="1" applyAlignment="1">
      <alignment vertical="center"/>
      <protection locked="0"/>
    </xf>
    <xf numFmtId="0" fontId="41" fillId="36" borderId="4" xfId="0" applyFont="1" applyFill="1" applyBorder="1" applyAlignment="1">
      <alignment vertical="center"/>
      <protection locked="0"/>
    </xf>
    <xf numFmtId="0" fontId="34" fillId="35" borderId="4" xfId="0" applyFont="1" applyFill="1" applyBorder="1" applyAlignment="1" applyProtection="1">
      <alignment horizontal="center" vertical="center"/>
    </xf>
    <xf numFmtId="0" fontId="39" fillId="35" borderId="0" xfId="0" applyFont="1" applyFill="1" applyAlignment="1" applyProtection="1">
      <alignment horizontal="center" vertical="center"/>
    </xf>
    <xf numFmtId="0" fontId="0" fillId="0" borderId="0" xfId="0" applyAlignment="1" applyProtection="1">
      <alignment vertical="center"/>
    </xf>
    <xf numFmtId="0" fontId="0" fillId="0" borderId="4" xfId="0" applyBorder="1" applyAlignment="1">
      <alignment vertical="center" wrapText="1"/>
      <protection locked="0"/>
    </xf>
    <xf numFmtId="0" fontId="32" fillId="35" borderId="0" xfId="0" applyFont="1" applyFill="1" applyAlignment="1" applyProtection="1">
      <alignment horizontal="center" vertical="center"/>
    </xf>
    <xf numFmtId="0" fontId="51" fillId="35" borderId="2" xfId="0" applyFont="1" applyFill="1" applyBorder="1" applyAlignment="1">
      <alignment horizontal="center" vertical="center" wrapText="1"/>
      <protection locked="0"/>
    </xf>
    <xf numFmtId="0" fontId="63" fillId="0" borderId="13" xfId="0" applyFont="1" applyBorder="1" applyAlignment="1">
      <alignment horizontal="center" vertical="center" wrapText="1"/>
      <protection locked="0"/>
    </xf>
    <xf numFmtId="0" fontId="63" fillId="0" borderId="10" xfId="0" applyFont="1" applyBorder="1" applyAlignment="1">
      <alignment horizontal="center" vertical="center" wrapText="1"/>
      <protection locked="0"/>
    </xf>
    <xf numFmtId="0" fontId="34" fillId="35" borderId="4" xfId="0" applyFont="1" applyFill="1" applyBorder="1" applyAlignment="1">
      <alignment horizontal="center" vertical="center"/>
      <protection locked="0"/>
    </xf>
    <xf numFmtId="0" fontId="41" fillId="38" borderId="2" xfId="0" applyFont="1" applyFill="1" applyBorder="1" applyAlignment="1" applyProtection="1">
      <alignment vertical="center"/>
    </xf>
    <xf numFmtId="0" fontId="0" fillId="0" borderId="13" xfId="0" applyFont="1" applyBorder="1" applyAlignment="1" applyProtection="1">
      <alignment vertical="center"/>
    </xf>
    <xf numFmtId="0" fontId="0" fillId="0" borderId="10" xfId="0" applyFont="1" applyBorder="1" applyAlignment="1" applyProtection="1">
      <alignment vertical="center"/>
    </xf>
    <xf numFmtId="0" fontId="32" fillId="35" borderId="6" xfId="0" applyFont="1" applyFill="1" applyBorder="1" applyAlignment="1" applyProtection="1">
      <alignment horizontal="center" vertical="center"/>
    </xf>
    <xf numFmtId="0" fontId="0" fillId="0" borderId="13" xfId="0" applyBorder="1" applyAlignment="1">
      <alignment horizontal="center" vertical="center" wrapText="1"/>
      <protection locked="0"/>
    </xf>
    <xf numFmtId="0" fontId="0" fillId="0" borderId="10" xfId="0" applyBorder="1" applyAlignment="1">
      <alignment horizontal="center" vertical="center" wrapText="1"/>
      <protection locked="0"/>
    </xf>
    <xf numFmtId="0" fontId="49" fillId="47" borderId="0" xfId="0" applyFont="1" applyFill="1" applyAlignment="1" applyProtection="1">
      <alignment horizontal="center" vertical="center"/>
    </xf>
    <xf numFmtId="0" fontId="43" fillId="0" borderId="9" xfId="0" applyFont="1" applyBorder="1" applyAlignment="1">
      <alignment horizontal="center" vertical="center" wrapText="1"/>
      <protection locked="0"/>
    </xf>
    <xf numFmtId="0" fontId="43" fillId="0" borderId="8" xfId="0" applyFont="1" applyBorder="1" applyAlignment="1">
      <alignment horizontal="center" vertical="center" wrapText="1"/>
      <protection locked="0"/>
    </xf>
    <xf numFmtId="0" fontId="41" fillId="36" borderId="4" xfId="39" applyNumberFormat="1" applyFont="1" applyFill="1" applyBorder="1" applyAlignment="1" applyProtection="1">
      <alignment vertical="center" wrapText="1"/>
    </xf>
    <xf numFmtId="0" fontId="41" fillId="0" borderId="4" xfId="0" applyFont="1" applyBorder="1" applyAlignment="1">
      <alignment vertical="center" wrapText="1"/>
      <protection locked="0"/>
    </xf>
    <xf numFmtId="0" fontId="41" fillId="38" borderId="2" xfId="0" applyFont="1" applyFill="1" applyBorder="1" applyAlignment="1" applyProtection="1">
      <alignment vertical="center" wrapText="1"/>
    </xf>
    <xf numFmtId="0" fontId="41" fillId="38" borderId="13" xfId="0" applyFont="1" applyFill="1" applyBorder="1" applyAlignment="1" applyProtection="1">
      <alignment vertical="center" wrapText="1"/>
    </xf>
    <xf numFmtId="0" fontId="41" fillId="38" borderId="10" xfId="0" applyFont="1" applyFill="1" applyBorder="1" applyAlignment="1" applyProtection="1">
      <alignment vertical="center" wrapText="1"/>
    </xf>
    <xf numFmtId="0" fontId="41" fillId="0" borderId="13" xfId="0" applyFont="1" applyBorder="1" applyAlignment="1">
      <alignment vertical="center" wrapText="1"/>
      <protection locked="0"/>
    </xf>
    <xf numFmtId="0" fontId="41" fillId="0" borderId="10" xfId="0" applyFont="1" applyBorder="1" applyAlignment="1">
      <alignment vertical="center" wrapText="1"/>
      <protection locked="0"/>
    </xf>
    <xf numFmtId="0" fontId="49" fillId="46" borderId="0" xfId="0" applyFont="1" applyFill="1" applyAlignment="1" applyProtection="1">
      <alignment horizontal="center" vertical="center"/>
    </xf>
    <xf numFmtId="0" fontId="32" fillId="0" borderId="4" xfId="0" applyFont="1" applyBorder="1" applyAlignment="1">
      <alignment horizontal="center" vertical="center"/>
      <protection locked="0"/>
    </xf>
    <xf numFmtId="0" fontId="32" fillId="35" borderId="2" xfId="0" applyFont="1" applyFill="1" applyBorder="1" applyAlignment="1">
      <alignment horizontal="left" vertical="center" wrapText="1"/>
      <protection locked="0"/>
    </xf>
    <xf numFmtId="0" fontId="0" fillId="0" borderId="13" xfId="0" applyBorder="1" applyAlignment="1">
      <alignment vertical="center"/>
      <protection locked="0"/>
    </xf>
    <xf numFmtId="0" fontId="0" fillId="0" borderId="10" xfId="0" applyBorder="1" applyAlignment="1">
      <alignment vertical="center"/>
      <protection locked="0"/>
    </xf>
    <xf numFmtId="0" fontId="41" fillId="38" borderId="2" xfId="0" applyFont="1" applyFill="1" applyBorder="1" applyAlignment="1" applyProtection="1">
      <alignment horizontal="left" vertical="center"/>
    </xf>
    <xf numFmtId="0" fontId="0" fillId="0" borderId="13" xfId="0" applyBorder="1" applyAlignment="1" applyProtection="1">
      <alignment horizontal="left" vertical="center"/>
    </xf>
    <xf numFmtId="0" fontId="0" fillId="0" borderId="10" xfId="0" applyBorder="1" applyAlignment="1" applyProtection="1">
      <alignment horizontal="left" vertical="center"/>
    </xf>
    <xf numFmtId="0" fontId="41" fillId="38" borderId="4" xfId="0" applyFont="1" applyFill="1" applyBorder="1" applyAlignment="1" applyProtection="1">
      <alignment vertical="center" wrapText="1"/>
    </xf>
    <xf numFmtId="0" fontId="32" fillId="35" borderId="4" xfId="0" applyFont="1" applyFill="1" applyBorder="1" applyAlignment="1" applyProtection="1">
      <alignment horizontal="center" vertical="center" wrapText="1"/>
    </xf>
    <xf numFmtId="0" fontId="0" fillId="0" borderId="4" xfId="0" applyBorder="1" applyAlignment="1" applyProtection="1">
      <alignment vertical="center" wrapText="1"/>
    </xf>
    <xf numFmtId="171" fontId="41" fillId="36" borderId="4" xfId="0" applyNumberFormat="1" applyFont="1" applyFill="1" applyBorder="1" applyAlignment="1" applyProtection="1">
      <alignment vertical="center"/>
      <protection locked="0"/>
    </xf>
    <xf numFmtId="0" fontId="41" fillId="36" borderId="4" xfId="0" applyFont="1" applyFill="1" applyBorder="1" applyAlignment="1" applyProtection="1">
      <alignment vertical="center"/>
      <protection locked="0"/>
    </xf>
    <xf numFmtId="0" fontId="0" fillId="0" borderId="10" xfId="0" applyBorder="1" applyAlignment="1" applyProtection="1">
      <alignment vertical="center" wrapText="1"/>
      <protection locked="0"/>
    </xf>
    <xf numFmtId="0" fontId="34" fillId="35" borderId="9" xfId="0" applyFont="1" applyFill="1" applyBorder="1" applyAlignment="1" applyProtection="1">
      <alignment horizontal="center" vertical="center"/>
    </xf>
    <xf numFmtId="0" fontId="34" fillId="35" borderId="8" xfId="0" applyFont="1" applyFill="1" applyBorder="1" applyAlignment="1" applyProtection="1">
      <alignment horizontal="center" vertical="center"/>
    </xf>
    <xf numFmtId="0" fontId="34" fillId="35" borderId="32" xfId="0" applyFont="1" applyFill="1" applyBorder="1" applyAlignment="1" applyProtection="1">
      <alignment horizontal="center" vertical="center"/>
    </xf>
    <xf numFmtId="0" fontId="34" fillId="35" borderId="33" xfId="0" applyFont="1" applyFill="1" applyBorder="1" applyAlignment="1" applyProtection="1">
      <alignment horizontal="center" vertical="center"/>
    </xf>
    <xf numFmtId="0" fontId="34" fillId="35" borderId="34" xfId="0" applyFont="1" applyFill="1" applyBorder="1" applyAlignment="1" applyProtection="1">
      <alignment horizontal="center" vertical="center"/>
    </xf>
    <xf numFmtId="0" fontId="34" fillId="35" borderId="24" xfId="0" applyFont="1" applyFill="1" applyBorder="1" applyAlignment="1" applyProtection="1">
      <alignment horizontal="center" vertical="center"/>
    </xf>
    <xf numFmtId="0" fontId="34" fillId="35" borderId="25" xfId="0" applyFont="1" applyFill="1" applyBorder="1" applyAlignment="1" applyProtection="1">
      <alignment horizontal="center" vertical="center"/>
    </xf>
    <xf numFmtId="0" fontId="34" fillId="35" borderId="26" xfId="0" applyFont="1" applyFill="1" applyBorder="1" applyAlignment="1" applyProtection="1">
      <alignment horizontal="center" vertical="center"/>
    </xf>
    <xf numFmtId="0" fontId="34" fillId="35" borderId="1" xfId="0" applyFont="1" applyFill="1" applyBorder="1" applyAlignment="1" applyProtection="1">
      <alignment horizontal="center" vertical="center"/>
    </xf>
    <xf numFmtId="0" fontId="34" fillId="35" borderId="35" xfId="0" applyFont="1" applyFill="1" applyBorder="1" applyAlignment="1" applyProtection="1">
      <alignment horizontal="center" vertical="center"/>
    </xf>
    <xf numFmtId="0" fontId="34" fillId="35" borderId="23" xfId="0" applyFont="1" applyFill="1" applyBorder="1" applyAlignment="1" applyProtection="1">
      <alignment horizontal="center" vertical="center"/>
    </xf>
    <xf numFmtId="171" fontId="0" fillId="36" borderId="2" xfId="0" applyNumberFormat="1" applyFont="1" applyFill="1" applyBorder="1" applyAlignment="1" applyProtection="1">
      <alignment vertical="center"/>
      <protection locked="0"/>
    </xf>
    <xf numFmtId="171" fontId="0" fillId="36" borderId="13" xfId="0" applyNumberFormat="1" applyFont="1" applyFill="1" applyBorder="1" applyAlignment="1" applyProtection="1">
      <alignment vertical="center"/>
      <protection locked="0"/>
    </xf>
    <xf numFmtId="171" fontId="0" fillId="36" borderId="10" xfId="0" applyNumberFormat="1" applyFont="1" applyFill="1" applyBorder="1" applyAlignment="1" applyProtection="1">
      <alignment vertical="center"/>
      <protection locked="0"/>
    </xf>
    <xf numFmtId="0" fontId="6" fillId="41" borderId="4" xfId="0" applyFont="1" applyFill="1" applyBorder="1" applyAlignment="1">
      <alignment horizontal="center" vertical="center"/>
      <protection locked="0"/>
    </xf>
    <xf numFmtId="0" fontId="6" fillId="41" borderId="4" xfId="0" applyFont="1" applyFill="1" applyBorder="1" applyAlignment="1">
      <alignment horizontal="center" vertical="center" wrapText="1"/>
      <protection locked="0"/>
    </xf>
    <xf numFmtId="0" fontId="0" fillId="0" borderId="4" xfId="0" applyBorder="1" applyAlignment="1">
      <alignment horizontal="center" vertical="center" wrapText="1"/>
      <protection locked="0"/>
    </xf>
    <xf numFmtId="0" fontId="6" fillId="41" borderId="2" xfId="0" applyFont="1" applyFill="1" applyBorder="1" applyAlignment="1">
      <alignment horizontal="center" vertical="center" wrapText="1"/>
      <protection locked="0"/>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ustomBuiltin="1"/>
    <cellStyle name="Comma [0]" xfId="29" builtinId="6" customBuiltin="1"/>
    <cellStyle name="Currency" xfId="30" builtinId="4" customBuiltin="1"/>
    <cellStyle name="Currency [0]" xfId="31" builtinId="7" customBuiltin="1"/>
    <cellStyle name="Explanatory Text" xfId="32" builtinId="53" customBuiltin="1"/>
    <cellStyle name="Followed Hyperlink" xfId="33" builtinId="9"/>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Input" xfId="40" builtinId="20" customBuiltin="1"/>
    <cellStyle name="Linked Cell" xfId="41" builtinId="24" customBuiltin="1"/>
    <cellStyle name="Neutral" xfId="42" builtinId="28" customBuiltin="1"/>
    <cellStyle name="Normal" xfId="0" builtinId="0" customBuiltin="1"/>
    <cellStyle name="Note" xfId="43" builtinId="10" customBuiltin="1"/>
    <cellStyle name="Output" xfId="44" builtinId="21" customBuiltin="1"/>
    <cellStyle name="Percent" xfId="45" builtinId="5" customBuiltin="1"/>
    <cellStyle name="Title" xfId="46" builtinId="15" customBuiltin="1"/>
    <cellStyle name="Total" xfId="47" builtinId="25" customBuiltin="1"/>
    <cellStyle name="Warning Text" xfId="48" builtinId="11" customBuiltin="1"/>
  </cellStyles>
  <dxfs count="1281">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fgColor indexed="64"/>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bgColor rgb="FFFFC7CE"/>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strike val="0"/>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b val="0"/>
        <i val="0"/>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ont>
        <b val="0"/>
        <i val="0"/>
        <strike val="0"/>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auto="1"/>
        </left>
        <right style="thin">
          <color auto="1"/>
        </right>
        <top style="thin">
          <color auto="1"/>
        </top>
        <bottom style="thin">
          <color auto="1"/>
        </bottom>
        <vertical/>
        <horizontal/>
      </border>
    </dxf>
    <dxf>
      <font>
        <strike val="0"/>
      </font>
      <fill>
        <patternFill>
          <bgColor rgb="FFFF0000"/>
        </patternFill>
      </fill>
      <border>
        <left style="thin">
          <color auto="1"/>
        </left>
        <right style="thin">
          <color auto="1"/>
        </right>
        <top style="thin">
          <color auto="1"/>
        </top>
        <bottom style="thin">
          <color auto="1"/>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lightUp">
          <bgColor theme="0" tint="-0.24994659260841701"/>
        </patternFill>
      </fill>
    </dxf>
    <dxf>
      <fill>
        <patternFill>
          <bgColor rgb="FFFFC000"/>
        </patternFill>
      </fill>
    </dxf>
    <dxf>
      <fill>
        <patternFill patternType="lightUp">
          <bgColor theme="0" tint="-0.24994659260841701"/>
        </patternFill>
      </fill>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dxf>
    <dxf>
      <font>
        <b val="0"/>
        <i val="0"/>
        <strike val="0"/>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bgColor rgb="FF92D050"/>
        </patternFill>
      </fill>
    </dxf>
    <dxf>
      <fill>
        <patternFill>
          <bgColor rgb="FF00B0F0"/>
        </patternFill>
      </fill>
    </dxf>
    <dxf>
      <fill>
        <patternFill>
          <bgColor theme="0" tint="-0.24994659260841701"/>
        </patternFill>
      </fill>
    </dxf>
    <dxf>
      <font>
        <strike val="0"/>
        <color theme="0"/>
      </font>
      <fill>
        <patternFill patternType="solid">
          <fgColor indexed="64"/>
          <bgColor rgb="FFFF0000"/>
        </patternFill>
      </fill>
    </dxf>
    <dxf>
      <fill>
        <patternFill>
          <bgColor rgb="FF92D050"/>
        </patternFill>
      </fill>
    </dxf>
    <dxf>
      <fill>
        <patternFill>
          <bgColor rgb="FF00B0F0"/>
        </patternFill>
      </fill>
    </dxf>
    <dxf>
      <fill>
        <patternFill patternType="solid">
          <fgColor indexed="64"/>
          <bgColor rgb="FFFFC000"/>
        </patternFill>
      </fill>
    </dxf>
    <dxf>
      <fill>
        <patternFill patternType="lightUp">
          <bgColor theme="0" tint="-0.24994659260841701"/>
        </patternFill>
      </fill>
    </dxf>
    <dxf>
      <fill>
        <patternFill>
          <bgColor rgb="FFFFC000"/>
        </patternFill>
      </fill>
    </dxf>
    <dxf>
      <fill>
        <patternFill>
          <bgColor rgb="FFFFC000"/>
        </patternFill>
      </fill>
    </dxf>
    <dxf>
      <font>
        <strike val="0"/>
        <color theme="0"/>
      </font>
      <fill>
        <patternFill>
          <bgColor theme="4"/>
        </patternFill>
      </fill>
      <border>
        <left style="thin">
          <color auto="1"/>
        </left>
        <right style="thin">
          <color auto="1"/>
        </right>
        <top style="thin">
          <color auto="1"/>
        </top>
        <bottom style="thin">
          <color auto="1"/>
        </bottom>
        <vertical/>
        <horizontal/>
      </border>
    </dxf>
    <dxf>
      <font>
        <strike val="0"/>
        <color theme="0"/>
      </font>
      <fill>
        <patternFill>
          <bgColor theme="4"/>
        </patternFill>
      </fill>
      <border>
        <left style="thin">
          <color auto="1"/>
        </left>
        <right style="thin">
          <color auto="1"/>
        </right>
        <top style="thin">
          <color auto="1"/>
        </top>
        <bottom style="thin">
          <color auto="1"/>
        </bottom>
        <vertical/>
        <horizontal/>
      </border>
    </dxf>
    <dxf>
      <font>
        <strike val="0"/>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s>
  <tableStyles count="0" defaultTableStyle="TableStyleMedium9" defaultPivotStyle="PivotStyleLight16"/>
  <colors>
    <mruColors>
      <color rgb="FFFFFF93"/>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533400</xdr:colOff>
      <xdr:row>5</xdr:row>
      <xdr:rowOff>123825</xdr:rowOff>
    </xdr:from>
    <xdr:to>
      <xdr:col>16</xdr:col>
      <xdr:colOff>0</xdr:colOff>
      <xdr:row>11</xdr:row>
      <xdr:rowOff>19050</xdr:rowOff>
    </xdr:to>
    <xdr:pic>
      <xdr:nvPicPr>
        <xdr:cNvPr id="1027" name="Picture 2" descr="This is an image of the Australian Government Department of Health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181100"/>
          <a:ext cx="3562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Deloitt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Q61"/>
  <sheetViews>
    <sheetView showGridLines="0" tabSelected="1" zoomScaleNormal="100" workbookViewId="0">
      <pane ySplit="3" topLeftCell="A4" activePane="bottomLeft" state="frozen"/>
      <selection pane="bottomLeft"/>
    </sheetView>
  </sheetViews>
  <sheetFormatPr defaultRowHeight="12.75" customHeight="1" x14ac:dyDescent="0.2"/>
  <cols>
    <col min="1" max="1" width="3.7109375" customWidth="1"/>
    <col min="2" max="2" width="30.7109375" customWidth="1"/>
    <col min="3" max="3" width="15.7109375" customWidth="1"/>
    <col min="4" max="5" width="10.7109375" hidden="1" customWidth="1"/>
    <col min="6" max="6" width="10.7109375" customWidth="1"/>
    <col min="7" max="8" width="12.7109375" customWidth="1"/>
    <col min="9" max="9" width="15.7109375" customWidth="1"/>
    <col min="10" max="10" width="3.7109375" customWidth="1"/>
    <col min="11" max="13" width="20.7109375" customWidth="1"/>
    <col min="14" max="14" width="3.7109375" customWidth="1"/>
    <col min="15" max="16" width="30.7109375" customWidth="1"/>
    <col min="17" max="17" width="12.7109375" customWidth="1"/>
  </cols>
  <sheetData>
    <row r="1" spans="1:17" ht="23.25" x14ac:dyDescent="0.2">
      <c r="A1" s="318"/>
      <c r="B1" s="320" t="s">
        <v>33</v>
      </c>
      <c r="C1" s="318"/>
      <c r="D1" s="318"/>
      <c r="E1" s="318"/>
      <c r="F1" s="318"/>
      <c r="G1" s="318"/>
      <c r="H1" s="318"/>
      <c r="I1" s="318"/>
      <c r="J1" s="318"/>
      <c r="K1" s="318"/>
      <c r="L1" s="318"/>
      <c r="M1" s="318"/>
      <c r="N1" s="318"/>
      <c r="O1" s="318"/>
      <c r="P1" s="531" t="str">
        <f>References!H2</f>
        <v>Release 3</v>
      </c>
      <c r="Q1" s="179"/>
    </row>
    <row r="2" spans="1:17" ht="15.75" x14ac:dyDescent="0.2">
      <c r="A2" s="319"/>
      <c r="B2" s="322" t="str">
        <f>CONCATENATE("Name of medicine: ", MedicineBrand)</f>
        <v>Name of medicine:  (®)</v>
      </c>
      <c r="C2" s="319"/>
      <c r="D2" s="319"/>
      <c r="E2" s="319"/>
      <c r="F2" s="319"/>
      <c r="G2" s="319"/>
      <c r="H2" s="319"/>
      <c r="I2" s="319"/>
      <c r="J2" s="319"/>
      <c r="K2" s="319"/>
      <c r="L2" s="319"/>
      <c r="M2" s="319"/>
      <c r="N2" s="319"/>
      <c r="O2" s="319"/>
      <c r="P2" s="530" t="str">
        <f>References!H3</f>
        <v>Version 10 - 17/2/2020</v>
      </c>
      <c r="Q2" s="179"/>
    </row>
    <row r="3" spans="1:17" ht="15.75" x14ac:dyDescent="0.2">
      <c r="A3" s="319"/>
      <c r="B3" s="322" t="str">
        <f>CONCATENATE("Indication: ", Indication)</f>
        <v xml:space="preserve">Indication: </v>
      </c>
      <c r="C3" s="319"/>
      <c r="D3" s="319"/>
      <c r="E3" s="319"/>
      <c r="F3" s="319"/>
      <c r="G3" s="319"/>
      <c r="H3" s="319"/>
      <c r="I3" s="319"/>
      <c r="J3" s="319"/>
      <c r="K3" s="319"/>
      <c r="L3" s="319"/>
      <c r="M3" s="319"/>
      <c r="N3" s="319"/>
      <c r="O3" s="319"/>
      <c r="P3" s="319"/>
      <c r="Q3" s="179"/>
    </row>
    <row r="4" spans="1:17" s="575" customFormat="1" x14ac:dyDescent="0.2">
      <c r="A4" s="593"/>
      <c r="B4" s="593"/>
      <c r="C4" s="593"/>
      <c r="D4" s="593"/>
      <c r="E4" s="593"/>
      <c r="F4" s="593"/>
      <c r="G4" s="593"/>
      <c r="H4" s="593"/>
      <c r="I4" s="593"/>
      <c r="J4" s="593"/>
      <c r="K4" s="593"/>
      <c r="L4" s="593"/>
      <c r="M4" s="593"/>
      <c r="N4" s="593"/>
      <c r="O4" s="593"/>
      <c r="P4" s="593"/>
      <c r="Q4" s="593"/>
    </row>
    <row r="5" spans="1:17" ht="15.75" x14ac:dyDescent="0.2">
      <c r="A5" s="179"/>
      <c r="B5" s="132" t="s">
        <v>2</v>
      </c>
      <c r="C5" s="141"/>
      <c r="D5" s="141"/>
      <c r="E5" s="141"/>
      <c r="F5" s="141"/>
      <c r="G5" s="141"/>
      <c r="H5" s="141"/>
      <c r="I5" s="141"/>
      <c r="J5" s="141"/>
      <c r="K5" s="141"/>
      <c r="L5" s="141"/>
      <c r="M5" s="141"/>
      <c r="N5" s="141"/>
      <c r="O5" s="141"/>
      <c r="P5" s="141"/>
      <c r="Q5" s="179"/>
    </row>
    <row r="6" spans="1:17" x14ac:dyDescent="0.2">
      <c r="A6" s="179"/>
      <c r="B6" s="179"/>
      <c r="C6" s="179"/>
      <c r="D6" s="382"/>
      <c r="E6" s="382"/>
      <c r="F6" s="382"/>
      <c r="G6" s="179"/>
      <c r="H6" s="179"/>
      <c r="I6" s="179"/>
      <c r="J6" s="179"/>
      <c r="K6" s="179"/>
      <c r="L6" s="179"/>
      <c r="M6" s="179"/>
      <c r="N6" s="179"/>
      <c r="O6" s="179"/>
      <c r="P6" s="179"/>
      <c r="Q6" s="179"/>
    </row>
    <row r="7" spans="1:17" x14ac:dyDescent="0.2">
      <c r="A7" s="179"/>
      <c r="B7" t="s">
        <v>478</v>
      </c>
      <c r="D7" s="503"/>
      <c r="E7" s="503"/>
      <c r="F7" s="503"/>
      <c r="N7" s="179"/>
      <c r="O7" s="179"/>
      <c r="P7" s="179"/>
      <c r="Q7" s="179"/>
    </row>
    <row r="8" spans="1:17" ht="13.5" customHeight="1" x14ac:dyDescent="0.2">
      <c r="A8" s="179"/>
      <c r="B8" t="s">
        <v>479</v>
      </c>
      <c r="D8" s="503"/>
      <c r="E8" s="503"/>
      <c r="F8" s="503"/>
      <c r="N8" s="179"/>
      <c r="O8" s="179"/>
      <c r="P8" s="179"/>
      <c r="Q8" s="179"/>
    </row>
    <row r="9" spans="1:17" ht="13.5" customHeight="1" x14ac:dyDescent="0.2">
      <c r="A9" s="179"/>
      <c r="B9" t="s">
        <v>480</v>
      </c>
      <c r="D9" s="503"/>
      <c r="E9" s="503"/>
      <c r="F9" s="503"/>
      <c r="N9" s="179"/>
      <c r="O9" s="179"/>
      <c r="P9" s="179"/>
      <c r="Q9" s="179"/>
    </row>
    <row r="10" spans="1:17" ht="13.5" customHeight="1" x14ac:dyDescent="0.2">
      <c r="A10" s="179"/>
      <c r="B10" s="382"/>
      <c r="C10" s="179"/>
      <c r="D10" s="382"/>
      <c r="E10" s="382"/>
      <c r="F10" s="382"/>
      <c r="G10" s="179"/>
      <c r="H10" s="179"/>
      <c r="I10" s="179"/>
      <c r="J10" s="179"/>
      <c r="K10" s="179"/>
      <c r="L10" s="179"/>
      <c r="M10" s="179"/>
      <c r="N10" s="179"/>
      <c r="O10" s="179"/>
      <c r="P10" s="179"/>
      <c r="Q10" s="179"/>
    </row>
    <row r="11" spans="1:17" ht="12.75" customHeight="1" x14ac:dyDescent="0.2">
      <c r="A11" s="179"/>
      <c r="B11" s="384" t="s">
        <v>323</v>
      </c>
      <c r="D11" s="503"/>
      <c r="E11" s="503"/>
      <c r="F11" s="503"/>
      <c r="N11" s="179"/>
      <c r="O11" s="179"/>
      <c r="P11" s="179"/>
      <c r="Q11" s="179"/>
    </row>
    <row r="12" spans="1:17" x14ac:dyDescent="0.2">
      <c r="A12" s="179"/>
      <c r="B12" s="179"/>
      <c r="C12" s="179"/>
      <c r="D12" s="382"/>
      <c r="E12" s="382"/>
      <c r="F12" s="382"/>
      <c r="G12" s="179"/>
      <c r="H12" s="179"/>
      <c r="I12" s="179"/>
      <c r="J12" s="179"/>
      <c r="K12" s="179"/>
      <c r="L12" s="179"/>
      <c r="M12" s="179"/>
      <c r="N12" s="179"/>
      <c r="O12" s="179"/>
      <c r="P12" s="179"/>
      <c r="Q12" s="179"/>
    </row>
    <row r="13" spans="1:17" ht="15.75" customHeight="1" x14ac:dyDescent="0.2">
      <c r="A13" s="179"/>
      <c r="B13" s="132" t="s">
        <v>13</v>
      </c>
      <c r="C13" s="141"/>
      <c r="D13" s="421" t="s">
        <v>358</v>
      </c>
      <c r="E13" s="421" t="s">
        <v>361</v>
      </c>
      <c r="F13" s="421"/>
      <c r="G13" s="132" t="s">
        <v>358</v>
      </c>
      <c r="H13" s="132" t="s">
        <v>359</v>
      </c>
      <c r="I13" s="383" t="s">
        <v>402</v>
      </c>
      <c r="J13" s="132"/>
      <c r="K13" s="729" t="s">
        <v>356</v>
      </c>
      <c r="L13" s="729"/>
      <c r="M13" s="729"/>
      <c r="N13" s="132"/>
      <c r="O13" s="729" t="s">
        <v>293</v>
      </c>
      <c r="P13" s="729"/>
      <c r="Q13" s="179"/>
    </row>
    <row r="14" spans="1:17" x14ac:dyDescent="0.2">
      <c r="A14" s="179"/>
      <c r="B14" s="179"/>
      <c r="C14" s="179"/>
      <c r="D14" s="179"/>
      <c r="E14" s="179"/>
      <c r="F14" s="382"/>
      <c r="G14" s="179"/>
      <c r="H14" s="179"/>
      <c r="I14" s="179"/>
      <c r="J14" s="179"/>
      <c r="K14" s="179"/>
      <c r="L14" s="179"/>
      <c r="M14" s="179"/>
      <c r="N14" s="179"/>
      <c r="O14" s="179"/>
      <c r="P14" s="179"/>
      <c r="Q14" s="179"/>
    </row>
    <row r="15" spans="1:17" ht="15" x14ac:dyDescent="0.2">
      <c r="A15" s="179"/>
      <c r="B15" s="730" t="s">
        <v>88</v>
      </c>
      <c r="C15" s="731"/>
      <c r="D15" s="482">
        <v>2</v>
      </c>
      <c r="E15" s="482">
        <f>'1. Overview'!A1</f>
        <v>0</v>
      </c>
      <c r="F15" s="559"/>
      <c r="G15" s="487">
        <f t="shared" ref="G15:G34" si="0">D15</f>
        <v>2</v>
      </c>
      <c r="H15" s="487">
        <f t="shared" ref="H15:H34" si="1">E15</f>
        <v>0</v>
      </c>
      <c r="I15" s="489"/>
      <c r="J15" s="488"/>
      <c r="K15" s="726"/>
      <c r="L15" s="727"/>
      <c r="M15" s="728"/>
      <c r="N15" s="179"/>
      <c r="O15" s="361" t="s">
        <v>294</v>
      </c>
      <c r="P15" s="179"/>
      <c r="Q15" s="179"/>
    </row>
    <row r="16" spans="1:17" ht="15" x14ac:dyDescent="0.2">
      <c r="A16" s="179"/>
      <c r="B16" s="732" t="s">
        <v>980</v>
      </c>
      <c r="C16" s="731"/>
      <c r="D16" s="483">
        <f>IF(OR(D17=2,D18=2,D19=2),2,0)</f>
        <v>0</v>
      </c>
      <c r="E16" s="483">
        <f>'2. Patients'!A1</f>
        <v>0</v>
      </c>
      <c r="F16" s="559"/>
      <c r="G16" s="487">
        <f t="shared" si="0"/>
        <v>0</v>
      </c>
      <c r="H16" s="487">
        <f t="shared" si="1"/>
        <v>0</v>
      </c>
      <c r="I16" s="489"/>
      <c r="J16" s="488"/>
      <c r="K16" s="726"/>
      <c r="L16" s="727"/>
      <c r="M16" s="728"/>
      <c r="N16" s="179"/>
      <c r="O16" s="365"/>
      <c r="P16" s="538" t="s">
        <v>581</v>
      </c>
      <c r="Q16" s="179"/>
    </row>
    <row r="17" spans="1:17" ht="15" x14ac:dyDescent="0.2">
      <c r="A17" s="179"/>
      <c r="B17" s="732" t="s">
        <v>981</v>
      </c>
      <c r="C17" s="731"/>
      <c r="D17" s="483">
        <f>PxIncident*2</f>
        <v>0</v>
      </c>
      <c r="E17" s="483">
        <f>'2a. Patients - incident'!A1</f>
        <v>0</v>
      </c>
      <c r="F17" s="559"/>
      <c r="G17" s="487">
        <f t="shared" si="0"/>
        <v>0</v>
      </c>
      <c r="H17" s="487">
        <f t="shared" si="1"/>
        <v>0</v>
      </c>
      <c r="I17" s="489"/>
      <c r="J17" s="488"/>
      <c r="K17" s="726"/>
      <c r="L17" s="727"/>
      <c r="M17" s="728"/>
      <c r="N17" s="179"/>
      <c r="O17" s="366"/>
      <c r="P17" s="538" t="s">
        <v>583</v>
      </c>
      <c r="Q17" s="179"/>
    </row>
    <row r="18" spans="1:17" ht="15" x14ac:dyDescent="0.2">
      <c r="A18" s="179"/>
      <c r="B18" s="732" t="s">
        <v>982</v>
      </c>
      <c r="C18" s="731"/>
      <c r="D18" s="483">
        <f>PxPrevalent*2</f>
        <v>0</v>
      </c>
      <c r="E18" s="483">
        <f>'2b. Patients - prevalent'!A1</f>
        <v>0</v>
      </c>
      <c r="F18" s="559"/>
      <c r="G18" s="487">
        <f t="shared" si="0"/>
        <v>0</v>
      </c>
      <c r="H18" s="487">
        <f t="shared" si="1"/>
        <v>0</v>
      </c>
      <c r="I18" s="489"/>
      <c r="J18" s="488"/>
      <c r="K18" s="726"/>
      <c r="L18" s="727"/>
      <c r="M18" s="728"/>
      <c r="N18" s="179"/>
      <c r="O18" s="462"/>
      <c r="P18" s="538" t="s">
        <v>281</v>
      </c>
      <c r="Q18" s="179"/>
    </row>
    <row r="19" spans="1:17" ht="15" x14ac:dyDescent="0.2">
      <c r="A19" s="179"/>
      <c r="B19" s="732" t="s">
        <v>983</v>
      </c>
      <c r="C19" s="731"/>
      <c r="D19" s="483">
        <f>PxGrandfathered*2</f>
        <v>0</v>
      </c>
      <c r="E19" s="483">
        <f>'2c. Patients - GF'!A1</f>
        <v>0</v>
      </c>
      <c r="F19" s="559"/>
      <c r="G19" s="487">
        <f t="shared" si="0"/>
        <v>0</v>
      </c>
      <c r="H19" s="487">
        <f t="shared" si="1"/>
        <v>0</v>
      </c>
      <c r="I19" s="489"/>
      <c r="J19" s="488"/>
      <c r="K19" s="726"/>
      <c r="L19" s="727"/>
      <c r="M19" s="728"/>
      <c r="N19" s="179"/>
      <c r="O19" s="463"/>
      <c r="P19" s="538" t="s">
        <v>582</v>
      </c>
      <c r="Q19" s="179"/>
    </row>
    <row r="20" spans="1:17" ht="15" x14ac:dyDescent="0.2">
      <c r="A20" s="179"/>
      <c r="B20" s="733" t="s">
        <v>984</v>
      </c>
      <c r="C20" s="731"/>
      <c r="D20" s="484">
        <f>IF(OR(ScriptSourceCode=2,ScriptSourceCode=3),2,1)</f>
        <v>1</v>
      </c>
      <c r="E20" s="484">
        <f>'2d. Scripts - market'!A1</f>
        <v>0</v>
      </c>
      <c r="F20" s="559"/>
      <c r="G20" s="487">
        <f t="shared" si="0"/>
        <v>1</v>
      </c>
      <c r="H20" s="487">
        <f t="shared" si="1"/>
        <v>0</v>
      </c>
      <c r="I20" s="490" t="str">
        <f>IF(D20=1,"Copayment only","")</f>
        <v>Copayment only</v>
      </c>
      <c r="J20" s="488"/>
      <c r="K20" s="726"/>
      <c r="L20" s="727"/>
      <c r="M20" s="728"/>
      <c r="N20" s="179"/>
      <c r="O20" s="368"/>
      <c r="P20" s="538" t="s">
        <v>5</v>
      </c>
      <c r="Q20" s="179"/>
    </row>
    <row r="21" spans="1:17" ht="15" x14ac:dyDescent="0.2">
      <c r="A21" s="179"/>
      <c r="B21" s="733" t="s">
        <v>985</v>
      </c>
      <c r="C21" s="731"/>
      <c r="D21" s="484">
        <v>2</v>
      </c>
      <c r="E21" s="484">
        <f>'3a. Scripts - proposed'!A1</f>
        <v>0</v>
      </c>
      <c r="F21" s="559"/>
      <c r="G21" s="487">
        <f t="shared" si="0"/>
        <v>2</v>
      </c>
      <c r="H21" s="487">
        <f t="shared" si="1"/>
        <v>0</v>
      </c>
      <c r="I21" s="489"/>
      <c r="J21" s="488"/>
      <c r="K21" s="726"/>
      <c r="L21" s="727"/>
      <c r="M21" s="728"/>
      <c r="N21" s="179"/>
      <c r="O21" s="367"/>
      <c r="P21" s="538" t="s">
        <v>6</v>
      </c>
      <c r="Q21" s="179"/>
    </row>
    <row r="22" spans="1:17" ht="15" x14ac:dyDescent="0.2">
      <c r="A22" s="179"/>
      <c r="B22" s="734" t="s">
        <v>986</v>
      </c>
      <c r="C22" s="731"/>
      <c r="D22" s="485">
        <v>2</v>
      </c>
      <c r="E22" s="485">
        <f>'3b. Impact - proposed (pub)'!A1</f>
        <v>0</v>
      </c>
      <c r="F22" s="559"/>
      <c r="G22" s="487">
        <f t="shared" si="0"/>
        <v>2</v>
      </c>
      <c r="H22" s="487">
        <f t="shared" si="1"/>
        <v>0</v>
      </c>
      <c r="I22" s="489"/>
      <c r="J22" s="488"/>
      <c r="K22" s="726"/>
      <c r="L22" s="727"/>
      <c r="M22" s="728"/>
      <c r="N22" s="179"/>
      <c r="O22" s="179"/>
      <c r="P22" s="179"/>
      <c r="Q22" s="179"/>
    </row>
    <row r="23" spans="1:17" ht="15" x14ac:dyDescent="0.2">
      <c r="A23" s="179"/>
      <c r="B23" s="734" t="s">
        <v>987</v>
      </c>
      <c r="C23" s="731"/>
      <c r="D23" s="485">
        <f>IF(SPANewFlag=1,2,0)</f>
        <v>0</v>
      </c>
      <c r="E23" s="485">
        <f>'3c. Impact - proposed (eff)'!A1</f>
        <v>0</v>
      </c>
      <c r="F23" s="559"/>
      <c r="G23" s="487">
        <f t="shared" si="0"/>
        <v>0</v>
      </c>
      <c r="H23" s="487">
        <f t="shared" si="1"/>
        <v>0</v>
      </c>
      <c r="I23" s="489"/>
      <c r="J23" s="488"/>
      <c r="K23" s="726"/>
      <c r="L23" s="727"/>
      <c r="M23" s="728"/>
      <c r="N23" s="179"/>
      <c r="O23" s="382"/>
      <c r="P23" s="382"/>
      <c r="Q23" s="179"/>
    </row>
    <row r="24" spans="1:17" ht="15" x14ac:dyDescent="0.2">
      <c r="A24" s="179"/>
      <c r="B24" s="733" t="s">
        <v>988</v>
      </c>
      <c r="C24" s="731"/>
      <c r="D24" s="484">
        <f>IF('4a. Scripts - affected'!E39&lt;&gt;0,2,0)</f>
        <v>0</v>
      </c>
      <c r="E24" s="484">
        <f>'4a. Scripts - affected'!A1</f>
        <v>0</v>
      </c>
      <c r="F24" s="559"/>
      <c r="G24" s="487">
        <f t="shared" si="0"/>
        <v>0</v>
      </c>
      <c r="H24" s="487">
        <f t="shared" si="1"/>
        <v>0</v>
      </c>
      <c r="I24" s="489"/>
      <c r="J24" s="488"/>
      <c r="K24" s="726"/>
      <c r="L24" s="727"/>
      <c r="M24" s="728"/>
      <c r="N24" s="179"/>
      <c r="O24" s="382"/>
      <c r="P24" s="382"/>
      <c r="Q24" s="179"/>
    </row>
    <row r="25" spans="1:17" ht="15" x14ac:dyDescent="0.2">
      <c r="A25" s="179"/>
      <c r="B25" s="734" t="s">
        <v>989</v>
      </c>
      <c r="C25" s="731"/>
      <c r="D25" s="485">
        <f>IF(SUM('4b. Impact - affected (pub)'!D17:I17)&lt;&gt;0,2,0)</f>
        <v>0</v>
      </c>
      <c r="E25" s="485">
        <f>'4b. Impact - affected (pub)'!A1</f>
        <v>0</v>
      </c>
      <c r="F25" s="559"/>
      <c r="G25" s="487">
        <f t="shared" si="0"/>
        <v>0</v>
      </c>
      <c r="H25" s="487">
        <f t="shared" si="1"/>
        <v>0</v>
      </c>
      <c r="I25" s="489"/>
      <c r="J25" s="488"/>
      <c r="K25" s="726"/>
      <c r="L25" s="727"/>
      <c r="M25" s="728"/>
      <c r="N25" s="179"/>
      <c r="O25" s="382"/>
      <c r="P25" s="382"/>
      <c r="Q25" s="179"/>
    </row>
    <row r="26" spans="1:17" ht="15" x14ac:dyDescent="0.2">
      <c r="A26" s="179"/>
      <c r="B26" s="734" t="s">
        <v>990</v>
      </c>
      <c r="C26" s="731"/>
      <c r="D26" s="485">
        <f>IF(SPAChangeFlag=1,2,0)</f>
        <v>0</v>
      </c>
      <c r="E26" s="485">
        <f>'4c. Impact - affected (eff)'!A1</f>
        <v>0</v>
      </c>
      <c r="F26" s="559"/>
      <c r="G26" s="487">
        <f t="shared" si="0"/>
        <v>0</v>
      </c>
      <c r="H26" s="487">
        <f t="shared" si="1"/>
        <v>0</v>
      </c>
      <c r="I26" s="489"/>
      <c r="J26" s="488"/>
      <c r="K26" s="726"/>
      <c r="L26" s="727"/>
      <c r="M26" s="728"/>
      <c r="N26" s="179"/>
      <c r="O26" s="179"/>
      <c r="P26" s="179"/>
      <c r="Q26" s="179"/>
    </row>
    <row r="27" spans="1:17" ht="15" x14ac:dyDescent="0.2">
      <c r="A27" s="179"/>
      <c r="B27" s="734" t="s">
        <v>991</v>
      </c>
      <c r="C27" s="731"/>
      <c r="D27" s="485">
        <v>2</v>
      </c>
      <c r="E27" s="485">
        <v>2</v>
      </c>
      <c r="F27" s="559"/>
      <c r="G27" s="487">
        <f t="shared" si="0"/>
        <v>2</v>
      </c>
      <c r="H27" s="487">
        <f t="shared" si="1"/>
        <v>2</v>
      </c>
      <c r="I27" s="489"/>
      <c r="J27" s="488"/>
      <c r="K27" s="726"/>
      <c r="L27" s="727"/>
      <c r="M27" s="728"/>
      <c r="N27" s="179"/>
      <c r="O27" s="179"/>
      <c r="P27" s="179"/>
      <c r="Q27" s="179"/>
    </row>
    <row r="28" spans="1:17" ht="15" x14ac:dyDescent="0.2">
      <c r="A28" s="179"/>
      <c r="B28" s="734" t="s">
        <v>992</v>
      </c>
      <c r="C28" s="731"/>
      <c r="D28" s="485">
        <v>1</v>
      </c>
      <c r="E28" s="485">
        <f>'6. Net changes - SA'!A1</f>
        <v>0</v>
      </c>
      <c r="F28" s="559"/>
      <c r="G28" s="487">
        <f t="shared" si="0"/>
        <v>1</v>
      </c>
      <c r="H28" s="487">
        <f t="shared" si="1"/>
        <v>0</v>
      </c>
      <c r="I28" s="489"/>
      <c r="J28" s="488"/>
      <c r="K28" s="726"/>
      <c r="L28" s="727"/>
      <c r="M28" s="728"/>
      <c r="N28" s="179"/>
      <c r="O28" s="179"/>
      <c r="P28" s="179"/>
      <c r="Q28" s="179"/>
    </row>
    <row r="29" spans="1:17" ht="15" x14ac:dyDescent="0.2">
      <c r="A29" s="179"/>
      <c r="B29" s="734" t="s">
        <v>993</v>
      </c>
      <c r="C29" s="731"/>
      <c r="D29" s="485">
        <v>1</v>
      </c>
      <c r="E29" s="485">
        <f>'7. Net changes - MBS'!A1</f>
        <v>0</v>
      </c>
      <c r="F29" s="559"/>
      <c r="G29" s="487">
        <f t="shared" si="0"/>
        <v>1</v>
      </c>
      <c r="H29" s="487">
        <f t="shared" si="1"/>
        <v>0</v>
      </c>
      <c r="I29" s="489"/>
      <c r="J29" s="488"/>
      <c r="K29" s="726"/>
      <c r="L29" s="727"/>
      <c r="M29" s="728"/>
      <c r="N29" s="179"/>
      <c r="O29" s="179"/>
      <c r="P29" s="179"/>
      <c r="Q29" s="179"/>
    </row>
    <row r="30" spans="1:17" ht="15" x14ac:dyDescent="0.2">
      <c r="A30" s="179"/>
      <c r="B30" s="732" t="s">
        <v>994</v>
      </c>
      <c r="C30" s="731"/>
      <c r="D30" s="483">
        <v>1</v>
      </c>
      <c r="E30" s="483">
        <f>'8. ABS population'!A1</f>
        <v>0</v>
      </c>
      <c r="F30" s="559"/>
      <c r="G30" s="487">
        <f t="shared" si="0"/>
        <v>1</v>
      </c>
      <c r="H30" s="487">
        <f t="shared" si="1"/>
        <v>0</v>
      </c>
      <c r="I30" s="489"/>
      <c r="J30" s="488"/>
      <c r="K30" s="726"/>
      <c r="L30" s="727"/>
      <c r="M30" s="728"/>
      <c r="N30" s="179"/>
      <c r="O30" s="362" t="s">
        <v>4</v>
      </c>
      <c r="Q30" s="179"/>
    </row>
    <row r="31" spans="1:17" ht="15" x14ac:dyDescent="0.2">
      <c r="A31" s="179"/>
      <c r="B31" s="732" t="s">
        <v>995</v>
      </c>
      <c r="C31" s="731"/>
      <c r="D31" s="483">
        <v>1</v>
      </c>
      <c r="E31" s="483">
        <f>'9. AIHW population'!A1</f>
        <v>0</v>
      </c>
      <c r="F31" s="559"/>
      <c r="G31" s="487">
        <f t="shared" si="0"/>
        <v>1</v>
      </c>
      <c r="H31" s="487">
        <f t="shared" si="1"/>
        <v>0</v>
      </c>
      <c r="I31" s="489"/>
      <c r="J31" s="488"/>
      <c r="K31" s="726"/>
      <c r="L31" s="727"/>
      <c r="M31" s="728"/>
      <c r="N31" s="179"/>
      <c r="O31" s="532"/>
      <c r="P31" s="538" t="s">
        <v>693</v>
      </c>
      <c r="Q31" s="179"/>
    </row>
    <row r="32" spans="1:17" ht="15" x14ac:dyDescent="0.2">
      <c r="A32" s="179"/>
      <c r="B32" s="732" t="s">
        <v>996</v>
      </c>
      <c r="C32" s="731"/>
      <c r="D32" s="483">
        <v>1</v>
      </c>
      <c r="E32" s="483">
        <f>'10. Registry population'!A1</f>
        <v>0</v>
      </c>
      <c r="F32" s="559"/>
      <c r="G32" s="487">
        <f t="shared" si="0"/>
        <v>1</v>
      </c>
      <c r="H32" s="487">
        <f t="shared" si="1"/>
        <v>0</v>
      </c>
      <c r="I32" s="489"/>
      <c r="J32" s="488"/>
      <c r="K32" s="726"/>
      <c r="L32" s="727"/>
      <c r="M32" s="728"/>
      <c r="N32" s="179"/>
      <c r="O32" s="363"/>
      <c r="P32" s="538" t="s">
        <v>888</v>
      </c>
      <c r="Q32" s="179"/>
    </row>
    <row r="33" spans="1:17" ht="15" x14ac:dyDescent="0.2">
      <c r="A33" s="382"/>
      <c r="B33" s="732" t="s">
        <v>997</v>
      </c>
      <c r="C33" s="731"/>
      <c r="D33" s="483">
        <v>1</v>
      </c>
      <c r="E33" s="483">
        <f>'11. Prevalent population'!A1</f>
        <v>0</v>
      </c>
      <c r="F33" s="559"/>
      <c r="G33" s="487">
        <f t="shared" si="0"/>
        <v>1</v>
      </c>
      <c r="H33" s="487">
        <f t="shared" si="1"/>
        <v>0</v>
      </c>
      <c r="I33" s="489"/>
      <c r="J33" s="488"/>
      <c r="K33" s="429"/>
      <c r="L33" s="430"/>
      <c r="M33" s="431"/>
      <c r="N33" s="382"/>
      <c r="O33" s="58"/>
      <c r="P33" s="538" t="s">
        <v>12</v>
      </c>
      <c r="Q33" s="382"/>
    </row>
    <row r="34" spans="1:17" ht="15" x14ac:dyDescent="0.2">
      <c r="A34" s="179"/>
      <c r="B34" s="736" t="s">
        <v>530</v>
      </c>
      <c r="C34" s="731"/>
      <c r="D34" s="486">
        <v>1</v>
      </c>
      <c r="E34" s="486">
        <f>'12. Copies of data -&gt;'!A1</f>
        <v>0</v>
      </c>
      <c r="F34" s="559"/>
      <c r="G34" s="487">
        <f t="shared" si="0"/>
        <v>1</v>
      </c>
      <c r="H34" s="487">
        <f t="shared" si="1"/>
        <v>0</v>
      </c>
      <c r="I34" s="489"/>
      <c r="J34" s="488"/>
      <c r="K34" s="726"/>
      <c r="L34" s="727"/>
      <c r="M34" s="728"/>
      <c r="N34" s="179"/>
      <c r="O34" s="364"/>
      <c r="P34" s="538" t="s">
        <v>254</v>
      </c>
      <c r="Q34" s="179"/>
    </row>
    <row r="35" spans="1:17" x14ac:dyDescent="0.2">
      <c r="A35" s="179"/>
      <c r="B35" s="179"/>
      <c r="C35" s="179"/>
      <c r="D35" s="382"/>
      <c r="E35" s="382"/>
      <c r="F35" s="382"/>
      <c r="G35" s="179"/>
      <c r="H35" s="179"/>
      <c r="I35" s="179"/>
      <c r="J35" s="179"/>
      <c r="K35" s="179"/>
      <c r="L35" s="179"/>
      <c r="M35" s="179"/>
      <c r="N35" s="179"/>
      <c r="O35" s="179"/>
      <c r="P35" s="179"/>
      <c r="Q35" s="179"/>
    </row>
    <row r="36" spans="1:17" x14ac:dyDescent="0.2">
      <c r="A36" s="179"/>
      <c r="B36" s="179"/>
      <c r="C36" s="179"/>
      <c r="D36" s="382"/>
      <c r="E36" s="382"/>
      <c r="F36" s="382"/>
      <c r="G36" s="179"/>
      <c r="H36" s="179"/>
      <c r="I36" s="179"/>
      <c r="J36" s="179"/>
      <c r="K36" s="179"/>
      <c r="L36" s="179"/>
      <c r="M36" s="179"/>
      <c r="N36" s="179"/>
      <c r="O36" s="179"/>
      <c r="P36" s="179"/>
      <c r="Q36" s="179"/>
    </row>
    <row r="37" spans="1:17" ht="15.75" x14ac:dyDescent="0.2">
      <c r="A37" s="179"/>
      <c r="B37" s="132" t="s">
        <v>236</v>
      </c>
      <c r="C37" s="141"/>
      <c r="D37" s="141"/>
      <c r="E37" s="141"/>
      <c r="F37" s="141"/>
      <c r="G37" s="141"/>
      <c r="H37" s="141"/>
      <c r="I37" s="141"/>
      <c r="J37" s="141"/>
      <c r="K37" s="141"/>
      <c r="L37" s="141"/>
      <c r="M37" s="141"/>
      <c r="N37" s="141"/>
      <c r="O37" s="141"/>
      <c r="P37" s="141"/>
      <c r="Q37" s="179"/>
    </row>
    <row r="38" spans="1:17" x14ac:dyDescent="0.2">
      <c r="A38" s="179"/>
      <c r="B38" s="179"/>
      <c r="C38" s="179"/>
      <c r="D38" s="382"/>
      <c r="E38" s="382"/>
      <c r="F38" s="382"/>
      <c r="G38" s="179"/>
      <c r="H38" s="179"/>
      <c r="I38" s="179"/>
      <c r="J38" s="179"/>
      <c r="K38" s="179"/>
      <c r="L38" s="179"/>
      <c r="M38" s="179"/>
      <c r="N38" s="179"/>
      <c r="O38" s="179"/>
      <c r="P38" s="179"/>
      <c r="Q38" s="179"/>
    </row>
    <row r="39" spans="1:17" x14ac:dyDescent="0.2">
      <c r="A39" s="179"/>
      <c r="B39" s="360" t="s">
        <v>237</v>
      </c>
      <c r="C39" s="375"/>
      <c r="D39" s="316">
        <f>IF(C39&lt;&gt;"",VLOOKUP(C39,PxPopSourceCode,2,FALSE),0)</f>
        <v>0</v>
      </c>
      <c r="F39" s="382"/>
      <c r="G39" s="179"/>
      <c r="H39" s="179"/>
      <c r="I39" s="179"/>
      <c r="J39" s="179"/>
      <c r="K39" s="179"/>
      <c r="L39" s="179"/>
      <c r="M39" s="179"/>
      <c r="N39" s="179"/>
      <c r="O39" s="179"/>
      <c r="P39" s="179"/>
      <c r="Q39" s="179"/>
    </row>
    <row r="40" spans="1:17" x14ac:dyDescent="0.2">
      <c r="A40" s="179"/>
      <c r="B40" s="179"/>
      <c r="C40" s="179"/>
      <c r="D40" s="179"/>
      <c r="F40" s="382"/>
      <c r="G40" s="179"/>
      <c r="H40" s="179"/>
      <c r="I40" s="179"/>
      <c r="J40" s="179"/>
      <c r="K40" s="179"/>
      <c r="L40" s="179"/>
      <c r="M40" s="179"/>
      <c r="N40" s="179"/>
      <c r="O40" s="179"/>
      <c r="P40" s="179"/>
      <c r="Q40" s="179"/>
    </row>
    <row r="41" spans="1:17" x14ac:dyDescent="0.2">
      <c r="A41" s="179"/>
      <c r="B41" s="543"/>
      <c r="C41" s="369" t="str">
        <f>IF(AND(ScriptSourceCode&lt;&gt;1,ScriptSourceCode&lt;&gt;3),MsgNotRequired,"")</f>
        <v>** NOT REQUIRED **</v>
      </c>
      <c r="D41" s="179"/>
      <c r="F41" s="382"/>
      <c r="O41" s="179"/>
      <c r="P41" s="179"/>
      <c r="Q41" s="179"/>
    </row>
    <row r="42" spans="1:17" x14ac:dyDescent="0.2">
      <c r="A42" s="179"/>
      <c r="B42" s="360" t="s">
        <v>233</v>
      </c>
      <c r="C42" s="375"/>
      <c r="D42" s="316">
        <f>IF(C42="Yes",IF(AND(ScriptSourceCode&lt;&gt;1,ScriptSourceCode&lt;&gt;3),0,1),0)</f>
        <v>0</v>
      </c>
      <c r="G42" s="735" t="str">
        <f>IF(AND(PxIncident=1,PxPrevalent=1),MsgNote &amp; VLOOKUP("IncPrev",WarningMessages,2,FALSE),"")</f>
        <v/>
      </c>
      <c r="H42" s="735"/>
      <c r="I42" s="735"/>
      <c r="J42" s="735"/>
      <c r="K42" s="735"/>
      <c r="L42" s="735"/>
      <c r="M42" s="735"/>
      <c r="N42" s="735"/>
      <c r="O42" s="179"/>
      <c r="P42" s="179"/>
      <c r="Q42" s="179"/>
    </row>
    <row r="43" spans="1:17" x14ac:dyDescent="0.2">
      <c r="A43" s="179"/>
      <c r="B43" s="360" t="s">
        <v>234</v>
      </c>
      <c r="C43" s="375"/>
      <c r="D43" s="316">
        <f>IF(C43="Yes",IF(AND(ScriptSourceCode&lt;&gt;1,ScriptSourceCode&lt;&gt;3),0,1),0)</f>
        <v>0</v>
      </c>
      <c r="N43" s="179"/>
      <c r="O43" s="179"/>
      <c r="P43" s="179"/>
      <c r="Q43" s="179"/>
    </row>
    <row r="44" spans="1:17" x14ac:dyDescent="0.2">
      <c r="A44" s="179"/>
      <c r="B44" s="360" t="s">
        <v>1008</v>
      </c>
      <c r="C44" s="375"/>
      <c r="D44" s="316">
        <f>IF(C44="Yes",IF(AND(ScriptSourceCode&lt;&gt;1,ScriptSourceCode&lt;&gt;3),0,1),0)</f>
        <v>0</v>
      </c>
      <c r="G44" s="735" t="str">
        <f>IF(AND(PxPrevalent=1,PxGrandfathered=1),MsgNote &amp; VLOOKUP("PrevGF",WarningMessages,2,FALSE),"")</f>
        <v/>
      </c>
      <c r="H44" s="735"/>
      <c r="I44" s="735"/>
      <c r="J44" s="735"/>
      <c r="K44" s="735"/>
      <c r="L44" s="735"/>
      <c r="M44" s="735"/>
      <c r="N44" s="735"/>
      <c r="O44" s="179"/>
      <c r="P44" s="179"/>
      <c r="Q44" s="179"/>
    </row>
    <row r="45" spans="1:17" x14ac:dyDescent="0.2">
      <c r="A45" s="179"/>
      <c r="B45" s="179"/>
      <c r="C45" s="179"/>
      <c r="D45" s="179"/>
      <c r="F45" s="382"/>
      <c r="N45" s="179"/>
      <c r="O45" s="179"/>
      <c r="P45" s="179"/>
      <c r="Q45" s="179"/>
    </row>
    <row r="46" spans="1:17" x14ac:dyDescent="0.2">
      <c r="A46" s="179"/>
      <c r="B46" s="360" t="s">
        <v>1009</v>
      </c>
      <c r="C46" s="92" t="str">
        <f>IF(OR(ScriptSourceCode=2,ScriptSourceCode=3),"Normal","Copayment only")</f>
        <v>Copayment only</v>
      </c>
      <c r="D46" s="179"/>
      <c r="F46" s="382"/>
      <c r="G46" s="179"/>
      <c r="H46" s="179"/>
      <c r="I46" s="179"/>
      <c r="J46" s="179"/>
      <c r="K46" s="179"/>
      <c r="L46" s="179"/>
      <c r="M46" s="179"/>
      <c r="N46" s="179"/>
      <c r="O46" s="179"/>
      <c r="P46" s="179"/>
      <c r="Q46" s="179"/>
    </row>
    <row r="47" spans="1:17" x14ac:dyDescent="0.2">
      <c r="A47" s="179"/>
      <c r="B47" s="179"/>
      <c r="C47" s="179"/>
      <c r="D47" s="179"/>
      <c r="N47" s="179"/>
      <c r="O47" s="179"/>
      <c r="P47" s="179"/>
      <c r="Q47" s="179"/>
    </row>
    <row r="48" spans="1:17" ht="14.25" customHeight="1" x14ac:dyDescent="0.2">
      <c r="A48" s="179"/>
      <c r="B48" s="360" t="s">
        <v>908</v>
      </c>
      <c r="C48" s="375"/>
      <c r="D48" s="316" t="str">
        <f>IF(C48&lt;&gt;"",VLOOKUP(C48,MarketImpactCode,2,FALSE),"")</f>
        <v/>
      </c>
      <c r="G48" s="735" t="str">
        <f>IF(MarketImpact&lt;&gt;"",MsgNote &amp; VLOOKUP(MarketImpact,NewAdjunct,2,FALSE),"")</f>
        <v/>
      </c>
      <c r="H48" s="735"/>
      <c r="I48" s="735"/>
      <c r="J48" s="735"/>
      <c r="K48" s="735"/>
      <c r="L48" s="735"/>
      <c r="M48" s="735"/>
      <c r="N48" s="735"/>
      <c r="O48" s="179"/>
      <c r="P48" s="179"/>
      <c r="Q48" s="179"/>
    </row>
    <row r="49" spans="1:17" x14ac:dyDescent="0.2">
      <c r="A49" s="179"/>
      <c r="B49" s="179"/>
      <c r="C49" s="179"/>
      <c r="D49" s="179"/>
      <c r="F49" s="382"/>
      <c r="G49" s="179"/>
      <c r="H49" s="179"/>
      <c r="I49" s="179"/>
      <c r="J49" s="179"/>
      <c r="K49" s="179"/>
      <c r="L49" s="179"/>
      <c r="M49" s="179"/>
      <c r="N49" s="179"/>
      <c r="O49" s="179"/>
      <c r="P49" s="179"/>
      <c r="Q49" s="179"/>
    </row>
    <row r="50" spans="1:17" x14ac:dyDescent="0.2">
      <c r="A50" s="179"/>
      <c r="B50" s="360" t="s">
        <v>907</v>
      </c>
      <c r="C50" s="376"/>
      <c r="D50" s="316">
        <f>IF(C50="Yes",1,0)</f>
        <v>0</v>
      </c>
      <c r="F50" s="382"/>
      <c r="G50" s="179"/>
      <c r="H50" s="179"/>
      <c r="I50" s="179"/>
      <c r="J50" s="179"/>
      <c r="K50" s="179"/>
      <c r="L50" s="179"/>
      <c r="M50" s="179"/>
      <c r="N50" s="179"/>
      <c r="O50" s="179"/>
      <c r="P50" s="179"/>
      <c r="Q50" s="179"/>
    </row>
    <row r="51" spans="1:17" x14ac:dyDescent="0.2">
      <c r="A51" s="179"/>
      <c r="B51" s="179"/>
      <c r="C51" s="179"/>
      <c r="D51" s="382"/>
      <c r="E51" s="382"/>
      <c r="F51" s="382"/>
      <c r="G51" s="179"/>
      <c r="H51" s="179"/>
      <c r="I51" s="179"/>
      <c r="J51" s="179"/>
      <c r="K51" s="179"/>
      <c r="L51" s="179"/>
      <c r="M51" s="179"/>
      <c r="N51" s="179"/>
      <c r="O51" s="179"/>
      <c r="P51" s="179"/>
      <c r="Q51" s="179"/>
    </row>
    <row r="52" spans="1:17" x14ac:dyDescent="0.2">
      <c r="A52" s="179"/>
      <c r="B52" s="179"/>
      <c r="C52" s="179"/>
      <c r="D52" s="382"/>
      <c r="E52" s="382"/>
      <c r="F52" s="382"/>
      <c r="G52" s="179"/>
      <c r="H52" s="179"/>
      <c r="I52" s="179"/>
      <c r="J52" s="179"/>
      <c r="K52" s="179"/>
      <c r="L52" s="179"/>
      <c r="M52" s="179"/>
      <c r="N52" s="179"/>
      <c r="O52" s="179"/>
      <c r="P52" s="179"/>
      <c r="Q52" s="179"/>
    </row>
    <row r="53" spans="1:17" ht="15.75" x14ac:dyDescent="0.2">
      <c r="A53" s="179"/>
      <c r="B53" s="132" t="s">
        <v>3</v>
      </c>
      <c r="C53" s="141"/>
      <c r="D53" s="141"/>
      <c r="E53" s="141"/>
      <c r="F53" s="141"/>
      <c r="G53" s="141"/>
      <c r="H53" s="141"/>
      <c r="I53" s="141"/>
      <c r="J53" s="141"/>
      <c r="K53" s="141"/>
      <c r="L53" s="141"/>
      <c r="M53" s="141"/>
      <c r="N53" s="141"/>
      <c r="O53" s="141"/>
      <c r="P53" s="141"/>
      <c r="Q53" s="179"/>
    </row>
    <row r="54" spans="1:17" ht="15" customHeight="1" x14ac:dyDescent="0.2">
      <c r="A54" s="179"/>
      <c r="B54" s="179"/>
      <c r="C54" s="179"/>
      <c r="D54" s="382"/>
      <c r="E54" s="382"/>
      <c r="F54" s="382"/>
      <c r="G54" s="179"/>
      <c r="H54" s="179"/>
      <c r="I54" s="179"/>
      <c r="J54" s="179"/>
      <c r="K54" s="179"/>
      <c r="L54" s="179"/>
      <c r="M54" s="179"/>
      <c r="N54" s="179"/>
      <c r="O54" s="179"/>
      <c r="P54" s="179"/>
      <c r="Q54" s="179"/>
    </row>
    <row r="55" spans="1:17" x14ac:dyDescent="0.2">
      <c r="A55" s="179"/>
      <c r="B55" s="179" t="s">
        <v>1010</v>
      </c>
      <c r="C55" s="179"/>
      <c r="D55" s="382"/>
      <c r="E55" s="382"/>
      <c r="F55" s="382"/>
      <c r="G55" s="179"/>
      <c r="H55" s="179"/>
      <c r="I55" s="179"/>
      <c r="J55" s="179"/>
      <c r="K55" s="179"/>
      <c r="L55" s="179"/>
      <c r="M55" s="179"/>
      <c r="N55" s="179"/>
      <c r="O55" s="179"/>
      <c r="P55" s="179"/>
      <c r="Q55" s="179"/>
    </row>
    <row r="56" spans="1:17" ht="12.75" customHeight="1" x14ac:dyDescent="0.2">
      <c r="A56" s="179"/>
      <c r="B56" s="179" t="s">
        <v>31</v>
      </c>
      <c r="C56" s="179"/>
      <c r="D56" s="382"/>
      <c r="E56" s="382"/>
      <c r="F56" s="382"/>
      <c r="G56" s="179"/>
      <c r="H56" s="179"/>
      <c r="I56" s="179"/>
      <c r="J56" s="179"/>
      <c r="K56" s="179"/>
      <c r="L56" s="179"/>
      <c r="M56" s="179"/>
      <c r="N56" s="179"/>
      <c r="O56" s="179"/>
      <c r="P56" s="179"/>
      <c r="Q56" s="179"/>
    </row>
    <row r="57" spans="1:17" ht="12.75" customHeight="1" x14ac:dyDescent="0.2">
      <c r="A57" s="179"/>
      <c r="B57" s="179" t="s">
        <v>30</v>
      </c>
      <c r="C57" s="179"/>
      <c r="D57" s="382"/>
      <c r="E57" s="382"/>
      <c r="F57" s="382"/>
      <c r="G57" s="179"/>
      <c r="H57" s="179"/>
      <c r="I57" s="179"/>
      <c r="J57" s="179"/>
      <c r="K57" s="179"/>
      <c r="L57" s="179"/>
      <c r="M57" s="179"/>
      <c r="N57" s="179"/>
      <c r="O57" s="179"/>
      <c r="P57" s="179"/>
      <c r="Q57" s="179"/>
    </row>
    <row r="58" spans="1:17" x14ac:dyDescent="0.2">
      <c r="A58" s="179"/>
      <c r="B58" s="179" t="s">
        <v>697</v>
      </c>
      <c r="C58" s="179"/>
      <c r="D58" s="382"/>
      <c r="E58" s="382"/>
      <c r="F58" s="382"/>
      <c r="G58" s="179"/>
      <c r="H58" s="179"/>
      <c r="I58" s="179"/>
      <c r="J58" s="179"/>
      <c r="K58" s="179"/>
      <c r="L58" s="179"/>
      <c r="M58" s="179"/>
      <c r="N58" s="179"/>
      <c r="O58" s="179"/>
      <c r="P58" s="179"/>
      <c r="Q58" s="179"/>
    </row>
    <row r="59" spans="1:17" x14ac:dyDescent="0.2">
      <c r="A59" s="179"/>
      <c r="B59" s="179" t="s">
        <v>235</v>
      </c>
      <c r="C59" s="179"/>
      <c r="D59" s="382"/>
      <c r="E59" s="382"/>
      <c r="F59" s="382"/>
      <c r="G59" s="179"/>
      <c r="H59" s="179"/>
      <c r="I59" s="179"/>
      <c r="J59" s="179"/>
      <c r="K59" s="179"/>
      <c r="L59" s="179"/>
      <c r="M59" s="179"/>
      <c r="N59" s="179"/>
      <c r="O59" s="179"/>
      <c r="P59" s="179"/>
      <c r="Q59" s="179"/>
    </row>
    <row r="61" spans="1:17" s="575" customFormat="1" ht="12.75" customHeight="1" x14ac:dyDescent="0.2">
      <c r="B61" s="709"/>
      <c r="C61" s="141"/>
      <c r="D61" s="141"/>
      <c r="E61" s="141"/>
      <c r="F61" s="141"/>
      <c r="G61" s="141"/>
      <c r="H61" s="141"/>
      <c r="I61" s="141"/>
      <c r="J61" s="141"/>
      <c r="K61" s="141"/>
      <c r="L61" s="141"/>
      <c r="M61" s="141"/>
      <c r="N61" s="141"/>
      <c r="O61" s="141"/>
      <c r="P61" s="141"/>
    </row>
  </sheetData>
  <mergeCells count="44">
    <mergeCell ref="G48:N48"/>
    <mergeCell ref="G42:N42"/>
    <mergeCell ref="G44:N44"/>
    <mergeCell ref="K34:M34"/>
    <mergeCell ref="B30:C30"/>
    <mergeCell ref="B31:C31"/>
    <mergeCell ref="B32:C32"/>
    <mergeCell ref="B33:C33"/>
    <mergeCell ref="B34:C34"/>
    <mergeCell ref="B25:C25"/>
    <mergeCell ref="B26:C26"/>
    <mergeCell ref="B27:C27"/>
    <mergeCell ref="B28:C28"/>
    <mergeCell ref="B29:C29"/>
    <mergeCell ref="B20:C20"/>
    <mergeCell ref="B21:C21"/>
    <mergeCell ref="B22:C22"/>
    <mergeCell ref="B23:C23"/>
    <mergeCell ref="B24:C24"/>
    <mergeCell ref="B15:C15"/>
    <mergeCell ref="B16:C16"/>
    <mergeCell ref="B17:C17"/>
    <mergeCell ref="B18:C18"/>
    <mergeCell ref="B19:C19"/>
    <mergeCell ref="K13:M13"/>
    <mergeCell ref="O13:P13"/>
    <mergeCell ref="K15:M15"/>
    <mergeCell ref="K16:M16"/>
    <mergeCell ref="K17:M17"/>
    <mergeCell ref="K24:M24"/>
    <mergeCell ref="K25:M25"/>
    <mergeCell ref="K26:M26"/>
    <mergeCell ref="K27:M27"/>
    <mergeCell ref="K18:M18"/>
    <mergeCell ref="K19:M19"/>
    <mergeCell ref="K20:M20"/>
    <mergeCell ref="K21:M21"/>
    <mergeCell ref="K22:M22"/>
    <mergeCell ref="K23:M23"/>
    <mergeCell ref="K28:M28"/>
    <mergeCell ref="K29:M29"/>
    <mergeCell ref="K30:M30"/>
    <mergeCell ref="K31:M31"/>
    <mergeCell ref="K32:M32"/>
  </mergeCells>
  <conditionalFormatting sqref="G15:H34">
    <cfRule type="iconSet" priority="7">
      <iconSet iconSet="3Symbols" showValue="0">
        <cfvo type="percent" val="0"/>
        <cfvo type="percent" val="33"/>
        <cfvo type="percent" val="67"/>
      </iconSet>
    </cfRule>
  </conditionalFormatting>
  <conditionalFormatting sqref="C42:C44">
    <cfRule type="expression" dxfId="1280" priority="548">
      <formula>$C$41&lt;&gt;""</formula>
    </cfRule>
  </conditionalFormatting>
  <conditionalFormatting sqref="G42:N42">
    <cfRule type="notContainsBlanks" dxfId="1279" priority="3">
      <formula>LEN(TRIM(G42))&gt;0</formula>
    </cfRule>
  </conditionalFormatting>
  <conditionalFormatting sqref="G44:N44">
    <cfRule type="notContainsBlanks" dxfId="1278" priority="2">
      <formula>LEN(TRIM(G44))&gt;0</formula>
    </cfRule>
  </conditionalFormatting>
  <conditionalFormatting sqref="G48:N48">
    <cfRule type="notContainsBlanks" dxfId="1277" priority="1">
      <formula>LEN(TRIM(G48))&gt;0</formula>
    </cfRule>
  </conditionalFormatting>
  <dataValidations count="3">
    <dataValidation type="list" allowBlank="1" showInputMessage="1" showErrorMessage="1" sqref="C50 C42:C44">
      <formula1>Switch</formula1>
    </dataValidation>
    <dataValidation type="list" allowBlank="1" showInputMessage="1" showErrorMessage="1" sqref="C39">
      <formula1>PxPopSource</formula1>
    </dataValidation>
    <dataValidation type="list" allowBlank="1" showInputMessage="1" showErrorMessage="1" sqref="C48">
      <formula1>MarketImpactType</formula1>
    </dataValidation>
  </dataValidations>
  <hyperlinks>
    <hyperlink ref="B17" location="'2a. Patients - incident'!A1" display="2a. Patients - incident"/>
    <hyperlink ref="B22" location="'3b. Impact - new (PUB)'!A1" display="3b. Impact on new medicine (PUBLISHED PRICE)"/>
    <hyperlink ref="B25" location="'4b. Impact - changed (PUB)'!A1" display="4b. Impact on changed medicines (PUBLISHED PRICE)"/>
    <hyperlink ref="B28" location="'6. Net changes - DHS'!A1" display="6. Net changes - Department of Human Services (DHS)"/>
    <hyperlink ref="B29" location="'7. Net changes - MBS'!A1" display="7. Net changes - Medicare Benefits Schedule (MBS)"/>
    <hyperlink ref="B34" location="'12. Copies of data -&gt;'!A1" display="12. Copies of data"/>
    <hyperlink ref="B20" location="'2d. Scripts - market'!A1" display="2d. Scripts for market share-based model"/>
    <hyperlink ref="B23" location="'3c. Impact - new (EFF)'!A1" display="3c. Impact on new medicine (EFFECTIVE PRICE)"/>
    <hyperlink ref="B15" location="'1. Overview'!A1" display="1. Overview"/>
    <hyperlink ref="B26" location="'4c. Impact - changed (EFF)'!A1" display="4c. Impact on changed medicines (EFFECTIVE PRICE)"/>
    <hyperlink ref="B21" location="'3a. Scripts - new'!A1" display="3a. Volume of new medicine"/>
    <hyperlink ref="B24" location="'4a. Scripts - changed'!A1" display="4a. Volumes of changed medicines"/>
    <hyperlink ref="B27" location="'5. Impact - net'!A1" display="5. Net financial impact"/>
    <hyperlink ref="B30" location="'8. ABS population'!A1" display="8. ABS Data"/>
    <hyperlink ref="B31" location="'9. AIHW population'!A1" display="9. AIHW Data"/>
    <hyperlink ref="B32" location="'10. Registry population'!A1" display="10. General Population"/>
    <hyperlink ref="B16" location="'2. Patients'!A1" display="2. Patients - summary"/>
    <hyperlink ref="B18" location="'2b. Patients - prevalent'!A1" display="2b. Patients - prevalent"/>
    <hyperlink ref="B19" location="'2c. Patients - GF'!A1" display="2c. Patients - grand-fathered"/>
    <hyperlink ref="B33" location="'11. Prevalent population'!A1" display="11. Prevalent Populatio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pageSetUpPr fitToPage="1"/>
  </sheetPr>
  <dimension ref="A1:R29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9.140625" customWidth="1"/>
    <col min="15" max="16" width="15.7109375" hidden="1" customWidth="1"/>
    <col min="17" max="18" width="9.140625" hidden="1" customWidth="1"/>
  </cols>
  <sheetData>
    <row r="1" spans="1:13" ht="23.25" x14ac:dyDescent="0.2">
      <c r="A1" s="477">
        <f>IF((SUM(D24:I24)&lt;&gt;0),2,0)</f>
        <v>0</v>
      </c>
      <c r="B1" s="473"/>
      <c r="C1" s="474" t="s">
        <v>1021</v>
      </c>
      <c r="D1" s="474"/>
      <c r="E1" s="474"/>
      <c r="F1" s="473"/>
      <c r="G1" s="473"/>
      <c r="H1" s="473"/>
      <c r="I1" s="473"/>
      <c r="J1" s="473"/>
      <c r="K1" s="835" t="str">
        <f>IF(SPANewFlag=0,MsgNotRequired,IF(A1=0,MsgNotUsed,""))</f>
        <v>** NOT REQUIRED **</v>
      </c>
      <c r="L1" s="835"/>
      <c r="M1" s="835"/>
    </row>
    <row r="2" spans="1:13" ht="15.75" x14ac:dyDescent="0.2">
      <c r="A2" s="473"/>
      <c r="B2" s="473"/>
      <c r="C2" s="475" t="str">
        <f>CONCATENATE("Name of medicine: ", MedicineBrand)</f>
        <v>Name of medicine:  (®)</v>
      </c>
      <c r="D2" s="476"/>
      <c r="E2" s="476"/>
      <c r="F2" s="473"/>
      <c r="G2" s="473"/>
      <c r="H2" s="473"/>
      <c r="I2" s="473"/>
      <c r="J2" s="473"/>
      <c r="K2" s="473"/>
      <c r="L2" s="473"/>
      <c r="M2" s="473"/>
    </row>
    <row r="3" spans="1:13" ht="15.75" x14ac:dyDescent="0.2">
      <c r="A3" s="473"/>
      <c r="B3" s="473"/>
      <c r="C3" s="475" t="str">
        <f>CONCATENATE("Indication: ",Indication)</f>
        <v xml:space="preserve">Indication: </v>
      </c>
      <c r="D3" s="476"/>
      <c r="E3" s="476"/>
      <c r="F3" s="473"/>
      <c r="G3" s="473"/>
      <c r="H3" s="473"/>
      <c r="I3" s="473"/>
      <c r="J3" s="473"/>
      <c r="K3" s="473"/>
      <c r="L3" s="473"/>
      <c r="M3" s="473"/>
    </row>
    <row r="4" spans="1:13" s="575" customFormat="1" x14ac:dyDescent="0.2">
      <c r="A4" s="600"/>
      <c r="B4" s="600"/>
      <c r="C4" s="714"/>
      <c r="D4" s="714"/>
      <c r="E4" s="714"/>
      <c r="F4" s="600"/>
      <c r="G4" s="600"/>
      <c r="H4" s="600"/>
      <c r="I4" s="600"/>
      <c r="J4" s="600"/>
      <c r="K4" s="600"/>
      <c r="L4" s="600"/>
      <c r="M4" s="600"/>
    </row>
    <row r="5" spans="1:13" ht="15.75" x14ac:dyDescent="0.2">
      <c r="A5" s="173"/>
      <c r="B5" s="173"/>
      <c r="C5" s="174" t="s">
        <v>2</v>
      </c>
      <c r="D5" s="174"/>
      <c r="E5" s="174"/>
      <c r="F5" s="214"/>
      <c r="G5" s="178"/>
      <c r="H5" s="178"/>
      <c r="I5" s="178"/>
      <c r="J5" s="178"/>
      <c r="K5" s="178"/>
      <c r="L5" s="178"/>
      <c r="M5" s="178"/>
    </row>
    <row r="6" spans="1:13" ht="14.25" x14ac:dyDescent="0.2">
      <c r="A6" s="171"/>
      <c r="B6" s="171"/>
      <c r="C6" s="209"/>
      <c r="D6" s="209"/>
      <c r="E6" s="209"/>
      <c r="F6" s="215"/>
      <c r="G6" s="171"/>
      <c r="H6" s="171"/>
      <c r="I6" s="171"/>
      <c r="J6" s="171"/>
      <c r="K6" s="171"/>
      <c r="L6" s="171"/>
      <c r="M6" s="171"/>
    </row>
    <row r="7" spans="1:13" x14ac:dyDescent="0.2">
      <c r="A7" s="171"/>
      <c r="B7" s="171"/>
      <c r="C7" s="572" t="s">
        <v>899</v>
      </c>
      <c r="D7" s="6"/>
      <c r="E7" s="6"/>
      <c r="F7" s="121"/>
      <c r="G7" s="121"/>
      <c r="H7" s="121"/>
      <c r="I7" s="121"/>
      <c r="J7" s="121"/>
      <c r="K7" s="121"/>
      <c r="L7" s="121"/>
      <c r="M7" s="121"/>
    </row>
    <row r="8" spans="1:13" x14ac:dyDescent="0.2">
      <c r="A8" s="171"/>
      <c r="B8" s="171"/>
      <c r="C8" s="36"/>
      <c r="D8" s="36"/>
      <c r="E8" s="36"/>
      <c r="F8" s="229"/>
      <c r="G8" s="229"/>
      <c r="H8" s="229"/>
      <c r="I8" s="229"/>
      <c r="J8" s="229"/>
      <c r="K8" s="229"/>
      <c r="L8" s="229"/>
      <c r="M8" s="229"/>
    </row>
    <row r="9" spans="1:13" x14ac:dyDescent="0.2">
      <c r="A9" s="171"/>
      <c r="B9" s="171"/>
      <c r="C9" s="6"/>
      <c r="D9" s="6"/>
      <c r="E9" s="6"/>
      <c r="F9" s="6"/>
      <c r="G9" s="6"/>
      <c r="H9" s="6"/>
      <c r="I9" s="6"/>
      <c r="J9" s="6"/>
      <c r="K9" s="6"/>
      <c r="L9" s="6"/>
      <c r="M9" s="6"/>
    </row>
    <row r="10" spans="1:13" ht="15.75" x14ac:dyDescent="0.2">
      <c r="A10" s="176"/>
      <c r="B10" s="176"/>
      <c r="C10" s="174" t="s">
        <v>946</v>
      </c>
      <c r="D10" s="174"/>
      <c r="E10" s="174"/>
      <c r="F10" s="214"/>
      <c r="G10" s="178"/>
      <c r="H10" s="178"/>
      <c r="I10" s="178"/>
      <c r="J10" s="178"/>
      <c r="K10" s="178"/>
      <c r="L10" s="178"/>
      <c r="M10" s="178"/>
    </row>
    <row r="11" spans="1:13" ht="15.75" x14ac:dyDescent="0.2">
      <c r="A11" s="171"/>
      <c r="B11" s="171"/>
      <c r="C11" s="193"/>
      <c r="D11" s="193"/>
      <c r="E11" s="193"/>
      <c r="F11" s="215"/>
      <c r="G11" s="171"/>
      <c r="H11" s="171"/>
      <c r="I11" s="171"/>
      <c r="J11" s="171"/>
      <c r="K11" s="171"/>
      <c r="L11" s="171"/>
      <c r="M11" s="171"/>
    </row>
    <row r="12" spans="1:13" x14ac:dyDescent="0.2">
      <c r="A12" s="171"/>
      <c r="B12" s="171"/>
      <c r="C12" s="211" t="s">
        <v>900</v>
      </c>
      <c r="D12" s="211"/>
      <c r="E12" s="211"/>
      <c r="F12" s="211"/>
      <c r="G12" s="211"/>
      <c r="H12" s="211"/>
      <c r="I12" s="211"/>
      <c r="J12" s="211"/>
      <c r="K12" s="211"/>
      <c r="L12" s="211"/>
      <c r="M12" s="211"/>
    </row>
    <row r="13" spans="1:13" x14ac:dyDescent="0.2">
      <c r="A13" s="171"/>
      <c r="B13" s="171"/>
      <c r="C13" s="213"/>
      <c r="D13" s="213"/>
      <c r="E13" s="213"/>
      <c r="F13" s="171"/>
      <c r="G13" s="171"/>
      <c r="H13" s="171"/>
      <c r="I13" s="171"/>
      <c r="J13" s="171"/>
      <c r="K13" s="171"/>
      <c r="L13" s="171"/>
      <c r="M13" s="213"/>
    </row>
    <row r="14" spans="1:13" ht="15.75" x14ac:dyDescent="0.2">
      <c r="A14" s="171"/>
      <c r="B14" s="171"/>
      <c r="C14" s="193" t="s">
        <v>119</v>
      </c>
      <c r="D14" s="112">
        <f>FirstYear</f>
        <v>0</v>
      </c>
      <c r="E14" s="112">
        <f>D14+1</f>
        <v>1</v>
      </c>
      <c r="F14" s="112">
        <f>E14+1</f>
        <v>2</v>
      </c>
      <c r="G14" s="112">
        <f>F14+1</f>
        <v>3</v>
      </c>
      <c r="H14" s="112">
        <f>G14+1</f>
        <v>4</v>
      </c>
      <c r="I14" s="112">
        <f>H14+1</f>
        <v>5</v>
      </c>
      <c r="J14" s="171"/>
      <c r="K14" s="171"/>
      <c r="L14" s="171"/>
      <c r="M14" s="171"/>
    </row>
    <row r="15" spans="1:13" x14ac:dyDescent="0.2">
      <c r="A15" s="171"/>
      <c r="B15" s="171"/>
      <c r="C15" s="115" t="s">
        <v>104</v>
      </c>
      <c r="D15" s="397">
        <f>D31+D43+D55+D67+D79+D91+D103+D115+D127+D139+D151+D163+D175+D187+D199+D211+D223+D235+D247+D259</f>
        <v>0</v>
      </c>
      <c r="E15" s="397">
        <f t="shared" ref="E15:I16" si="0">E31+E43+E55+E67+E79+E91+E103+E115+E127+E139+E151+E163+E175+E187+E199+E211+E223+E235+E247+E259</f>
        <v>0</v>
      </c>
      <c r="F15" s="397">
        <f t="shared" si="0"/>
        <v>0</v>
      </c>
      <c r="G15" s="397">
        <f t="shared" si="0"/>
        <v>0</v>
      </c>
      <c r="H15" s="397">
        <f t="shared" si="0"/>
        <v>0</v>
      </c>
      <c r="I15" s="397">
        <f t="shared" si="0"/>
        <v>0</v>
      </c>
      <c r="J15" s="171"/>
      <c r="K15" s="171"/>
      <c r="L15" s="171"/>
      <c r="M15" s="171"/>
    </row>
    <row r="16" spans="1:13" x14ac:dyDescent="0.2">
      <c r="A16" s="171"/>
      <c r="B16" s="171"/>
      <c r="C16" s="11" t="s">
        <v>129</v>
      </c>
      <c r="D16" s="397">
        <f>D32+D44+D56+D68+D80+D92+D104+D116+D128+D140+D152+D164+D176+D188+D200+D212+D224+D236+D248+D260</f>
        <v>0</v>
      </c>
      <c r="E16" s="397">
        <f t="shared" si="0"/>
        <v>0</v>
      </c>
      <c r="F16" s="397">
        <f t="shared" si="0"/>
        <v>0</v>
      </c>
      <c r="G16" s="397">
        <f t="shared" si="0"/>
        <v>0</v>
      </c>
      <c r="H16" s="397">
        <f t="shared" si="0"/>
        <v>0</v>
      </c>
      <c r="I16" s="397">
        <f t="shared" si="0"/>
        <v>0</v>
      </c>
      <c r="J16" s="171"/>
      <c r="K16" s="171"/>
      <c r="L16" s="171"/>
      <c r="M16" s="171"/>
    </row>
    <row r="17" spans="1:13" x14ac:dyDescent="0.2">
      <c r="A17" s="171"/>
      <c r="B17" s="171"/>
      <c r="C17" s="11" t="s">
        <v>106</v>
      </c>
      <c r="D17" s="398">
        <f t="shared" ref="D17:I17" si="1">D15+D16</f>
        <v>0</v>
      </c>
      <c r="E17" s="398">
        <f t="shared" si="1"/>
        <v>0</v>
      </c>
      <c r="F17" s="398">
        <f t="shared" si="1"/>
        <v>0</v>
      </c>
      <c r="G17" s="398">
        <f t="shared" si="1"/>
        <v>0</v>
      </c>
      <c r="H17" s="398">
        <f t="shared" si="1"/>
        <v>0</v>
      </c>
      <c r="I17" s="398">
        <f t="shared" si="1"/>
        <v>0</v>
      </c>
      <c r="J17" s="171"/>
      <c r="K17" s="171"/>
      <c r="L17" s="171"/>
      <c r="M17" s="171"/>
    </row>
    <row r="18" spans="1:13" x14ac:dyDescent="0.2">
      <c r="A18" s="171"/>
      <c r="B18" s="171"/>
      <c r="C18" s="20"/>
      <c r="D18" s="20"/>
      <c r="E18" s="20"/>
      <c r="F18" s="19"/>
      <c r="G18" s="19"/>
      <c r="H18" s="19"/>
      <c r="I18" s="19"/>
      <c r="J18" s="19"/>
      <c r="K18" s="19"/>
      <c r="L18" s="19"/>
      <c r="M18" s="171"/>
    </row>
    <row r="19" spans="1:13" ht="15.75" x14ac:dyDescent="0.2">
      <c r="A19" s="171"/>
      <c r="B19" s="171"/>
      <c r="C19" s="193" t="s">
        <v>120</v>
      </c>
      <c r="D19" s="112">
        <f>FirstYear</f>
        <v>0</v>
      </c>
      <c r="E19" s="112">
        <f>D19+1</f>
        <v>1</v>
      </c>
      <c r="F19" s="112">
        <f>E19+1</f>
        <v>2</v>
      </c>
      <c r="G19" s="112">
        <f>F19+1</f>
        <v>3</v>
      </c>
      <c r="H19" s="112">
        <f>G19+1</f>
        <v>4</v>
      </c>
      <c r="I19" s="112">
        <f>H19+1</f>
        <v>5</v>
      </c>
      <c r="J19" s="171"/>
      <c r="K19" s="171"/>
      <c r="L19" s="171"/>
      <c r="M19" s="171"/>
    </row>
    <row r="20" spans="1:13" x14ac:dyDescent="0.2">
      <c r="A20" s="171"/>
      <c r="B20" s="171"/>
      <c r="C20" s="115" t="s">
        <v>105</v>
      </c>
      <c r="D20" s="396">
        <f>D36+D48+D60+D72+D84+D96+D108+D120+D132+D144+D156+D168+D180+D192+D204+D216+D228+D240+D252+D264</f>
        <v>0</v>
      </c>
      <c r="E20" s="396">
        <f t="shared" ref="E20:I21" si="2">E36+E48+E60+E72+E84+E96+E108+E120+E132+E144+E156+E168+E180+E192+E204+E216+E228+E240+E252+E264</f>
        <v>0</v>
      </c>
      <c r="F20" s="396">
        <f t="shared" si="2"/>
        <v>0</v>
      </c>
      <c r="G20" s="396">
        <f t="shared" si="2"/>
        <v>0</v>
      </c>
      <c r="H20" s="396">
        <f t="shared" si="2"/>
        <v>0</v>
      </c>
      <c r="I20" s="396">
        <f t="shared" si="2"/>
        <v>0</v>
      </c>
      <c r="J20" s="171"/>
      <c r="K20" s="171"/>
      <c r="L20" s="171"/>
      <c r="M20" s="171"/>
    </row>
    <row r="21" spans="1:13" x14ac:dyDescent="0.2">
      <c r="A21" s="171"/>
      <c r="B21" s="171"/>
      <c r="C21" s="11" t="s">
        <v>129</v>
      </c>
      <c r="D21" s="396">
        <f>D37+D49+D61+D73+D85+D97+D109+D121+D133+D145+D157+D169+D181+D193+D205+D217+D229+D241+D253+D265</f>
        <v>0</v>
      </c>
      <c r="E21" s="396">
        <f t="shared" si="2"/>
        <v>0</v>
      </c>
      <c r="F21" s="396">
        <f t="shared" si="2"/>
        <v>0</v>
      </c>
      <c r="G21" s="396">
        <f t="shared" si="2"/>
        <v>0</v>
      </c>
      <c r="H21" s="396">
        <f t="shared" si="2"/>
        <v>0</v>
      </c>
      <c r="I21" s="396">
        <f t="shared" si="2"/>
        <v>0</v>
      </c>
      <c r="J21" s="171"/>
      <c r="K21" s="171"/>
      <c r="L21" s="171"/>
      <c r="M21" s="171"/>
    </row>
    <row r="22" spans="1:13" x14ac:dyDescent="0.2">
      <c r="A22" s="171"/>
      <c r="B22" s="171"/>
      <c r="C22" s="11" t="s">
        <v>107</v>
      </c>
      <c r="D22" s="400">
        <f t="shared" ref="D22:I22" si="3">D20+D21</f>
        <v>0</v>
      </c>
      <c r="E22" s="400">
        <f t="shared" si="3"/>
        <v>0</v>
      </c>
      <c r="F22" s="400">
        <f t="shared" si="3"/>
        <v>0</v>
      </c>
      <c r="G22" s="400">
        <f t="shared" si="3"/>
        <v>0</v>
      </c>
      <c r="H22" s="400">
        <f t="shared" si="3"/>
        <v>0</v>
      </c>
      <c r="I22" s="400">
        <f t="shared" si="3"/>
        <v>0</v>
      </c>
      <c r="J22" s="171"/>
      <c r="K22" s="171"/>
      <c r="L22" s="171"/>
      <c r="M22" s="171"/>
    </row>
    <row r="23" spans="1:13" x14ac:dyDescent="0.2">
      <c r="A23" s="171"/>
      <c r="B23" s="171"/>
      <c r="C23" s="20"/>
      <c r="D23" s="20"/>
      <c r="E23" s="20"/>
      <c r="F23" s="19"/>
      <c r="G23" s="19"/>
      <c r="H23" s="19"/>
      <c r="I23" s="19"/>
      <c r="J23" s="19"/>
      <c r="K23" s="19"/>
      <c r="L23" s="19"/>
      <c r="M23" s="171"/>
    </row>
    <row r="24" spans="1:13" x14ac:dyDescent="0.2">
      <c r="A24" s="171"/>
      <c r="B24" s="171"/>
      <c r="C24" s="386" t="s">
        <v>919</v>
      </c>
      <c r="D24" s="399">
        <f>D22+D17</f>
        <v>0</v>
      </c>
      <c r="E24" s="399">
        <f t="shared" ref="E24:I24" si="4">E22+E17</f>
        <v>0</v>
      </c>
      <c r="F24" s="399">
        <f t="shared" si="4"/>
        <v>0</v>
      </c>
      <c r="G24" s="399">
        <f t="shared" si="4"/>
        <v>0</v>
      </c>
      <c r="H24" s="399">
        <f t="shared" si="4"/>
        <v>0</v>
      </c>
      <c r="I24" s="399">
        <f t="shared" si="4"/>
        <v>0</v>
      </c>
      <c r="J24" s="19"/>
      <c r="K24" s="19"/>
      <c r="L24" s="19"/>
      <c r="M24" s="171"/>
    </row>
    <row r="25" spans="1:13" x14ac:dyDescent="0.2">
      <c r="A25" s="171"/>
      <c r="B25" s="171"/>
      <c r="C25" s="20"/>
      <c r="D25" s="20"/>
      <c r="E25" s="20"/>
      <c r="F25" s="19"/>
      <c r="G25" s="19"/>
      <c r="H25" s="19"/>
      <c r="I25" s="19"/>
      <c r="J25" s="19"/>
      <c r="K25" s="19"/>
      <c r="L25" s="19"/>
      <c r="M25" s="171"/>
    </row>
    <row r="26" spans="1:13" ht="15.75" x14ac:dyDescent="0.2">
      <c r="A26" s="171"/>
      <c r="B26" s="171"/>
      <c r="C26" s="174" t="s">
        <v>947</v>
      </c>
      <c r="D26" s="174"/>
      <c r="E26" s="174"/>
      <c r="F26" s="188"/>
      <c r="G26" s="188"/>
      <c r="H26" s="188"/>
      <c r="I26" s="188"/>
      <c r="J26" s="188"/>
      <c r="K26" s="188"/>
      <c r="L26" s="188"/>
      <c r="M26" s="178"/>
    </row>
    <row r="27" spans="1:13" x14ac:dyDescent="0.2">
      <c r="A27" s="171"/>
      <c r="B27" s="171"/>
      <c r="C27" s="20"/>
      <c r="D27" s="20"/>
      <c r="E27" s="20"/>
      <c r="F27" s="19"/>
      <c r="G27" s="19"/>
      <c r="H27" s="19"/>
      <c r="I27" s="19"/>
      <c r="J27" s="19"/>
      <c r="K27" s="19"/>
      <c r="L27" s="19"/>
      <c r="M27" s="19"/>
    </row>
    <row r="28" spans="1:13" ht="15" x14ac:dyDescent="0.2">
      <c r="A28" s="171"/>
      <c r="B28" s="422">
        <v>1</v>
      </c>
      <c r="C28" s="221" t="str">
        <f>INDEX(PBSScriptsNew,B28,1)</f>
        <v>** NOT USED **</v>
      </c>
      <c r="D28" s="207"/>
      <c r="E28" s="207"/>
      <c r="F28" s="207"/>
      <c r="G28" s="207"/>
      <c r="H28" s="207"/>
      <c r="I28" s="207"/>
      <c r="J28" s="189"/>
      <c r="K28" s="188"/>
      <c r="L28" s="782" t="str">
        <f>IF(C28&lt;&gt;MsgNotUsed,"Co-payment group " &amp; INDEX(CoPayBandMS,B28),"")</f>
        <v/>
      </c>
      <c r="M28" s="782"/>
    </row>
    <row r="29" spans="1:13" outlineLevel="1" x14ac:dyDescent="0.2">
      <c r="A29" s="171"/>
      <c r="B29" s="352">
        <f>INDEX(SANew,B28,5)</f>
        <v>0</v>
      </c>
      <c r="C29" s="20"/>
      <c r="D29" s="419">
        <v>2</v>
      </c>
      <c r="E29" s="419">
        <v>3</v>
      </c>
      <c r="F29" s="201">
        <v>4</v>
      </c>
      <c r="G29" s="201">
        <v>5</v>
      </c>
      <c r="H29" s="201">
        <v>6</v>
      </c>
      <c r="I29" s="201">
        <v>7</v>
      </c>
      <c r="J29" s="171"/>
      <c r="K29" s="19"/>
      <c r="L29" s="19"/>
      <c r="M29" s="19"/>
    </row>
    <row r="30" spans="1:13" outlineLevel="1" x14ac:dyDescent="0.2">
      <c r="A30" s="171"/>
      <c r="B30" s="224"/>
      <c r="C30" s="171"/>
      <c r="D30" s="112">
        <f>FirstYear</f>
        <v>0</v>
      </c>
      <c r="E30" s="112">
        <f>D30+1</f>
        <v>1</v>
      </c>
      <c r="F30" s="112">
        <f>E30+1</f>
        <v>2</v>
      </c>
      <c r="G30" s="112">
        <f>F30+1</f>
        <v>3</v>
      </c>
      <c r="H30" s="112">
        <f>G30+1</f>
        <v>4</v>
      </c>
      <c r="I30" s="112">
        <f>H30+1</f>
        <v>5</v>
      </c>
      <c r="J30" s="171"/>
      <c r="K30" s="171"/>
      <c r="L30" s="171"/>
      <c r="M30" s="176"/>
    </row>
    <row r="31" spans="1:13" outlineLevel="1" x14ac:dyDescent="0.2">
      <c r="A31" s="171"/>
      <c r="B31" s="422">
        <v>1</v>
      </c>
      <c r="C31" s="115" t="s">
        <v>104</v>
      </c>
      <c r="D31" s="396">
        <f t="shared" ref="D31:I31" si="5">INDEX(PBSScriptsNew,$B28,D29)*INDEX(DPMQCoPayNewEff,$B28,$B31)</f>
        <v>0</v>
      </c>
      <c r="E31" s="396">
        <f t="shared" si="5"/>
        <v>0</v>
      </c>
      <c r="F31" s="396">
        <f t="shared" si="5"/>
        <v>0</v>
      </c>
      <c r="G31" s="396">
        <f t="shared" si="5"/>
        <v>0</v>
      </c>
      <c r="H31" s="396">
        <f t="shared" si="5"/>
        <v>0</v>
      </c>
      <c r="I31" s="396">
        <f t="shared" si="5"/>
        <v>0</v>
      </c>
      <c r="J31" s="171"/>
      <c r="K31" s="171"/>
      <c r="L31" s="171"/>
      <c r="M31" s="176"/>
    </row>
    <row r="32" spans="1:13" outlineLevel="1" x14ac:dyDescent="0.2">
      <c r="A32" s="171"/>
      <c r="B32" s="422">
        <v>3</v>
      </c>
      <c r="C32" s="11" t="s">
        <v>129</v>
      </c>
      <c r="D32" s="396">
        <f t="shared" ref="D32:I32" si="6">INDEX(PBSScriptsNew,$B28,D29)*(INDEX(DPMQCoPayNewEff,$B28,$B32)/INDEX(CoPayCountNew,$B28))</f>
        <v>0</v>
      </c>
      <c r="E32" s="396">
        <f t="shared" si="6"/>
        <v>0</v>
      </c>
      <c r="F32" s="396">
        <f t="shared" si="6"/>
        <v>0</v>
      </c>
      <c r="G32" s="396">
        <f t="shared" si="6"/>
        <v>0</v>
      </c>
      <c r="H32" s="396">
        <f t="shared" si="6"/>
        <v>0</v>
      </c>
      <c r="I32" s="396">
        <f t="shared" si="6"/>
        <v>0</v>
      </c>
      <c r="J32" s="171"/>
      <c r="K32" s="763" t="str">
        <f>IF(B29&lt;&gt;0,MsgNote&amp;IF(B29="Yes",INDEX(CoPayMethod,1),INDEX(CoPayMethod,2)),"")</f>
        <v/>
      </c>
      <c r="L32" s="763"/>
      <c r="M32" s="763"/>
    </row>
    <row r="33" spans="1:13" outlineLevel="1" x14ac:dyDescent="0.2">
      <c r="A33" s="171"/>
      <c r="B33" s="224"/>
      <c r="C33" s="11" t="s">
        <v>106</v>
      </c>
      <c r="D33" s="396">
        <f t="shared" ref="D33:I33" si="7">D31+D32</f>
        <v>0</v>
      </c>
      <c r="E33" s="396">
        <f t="shared" si="7"/>
        <v>0</v>
      </c>
      <c r="F33" s="396">
        <f t="shared" si="7"/>
        <v>0</v>
      </c>
      <c r="G33" s="396">
        <f t="shared" si="7"/>
        <v>0</v>
      </c>
      <c r="H33" s="396">
        <f t="shared" si="7"/>
        <v>0</v>
      </c>
      <c r="I33" s="396">
        <f t="shared" si="7"/>
        <v>0</v>
      </c>
      <c r="J33" s="171"/>
      <c r="K33" s="171"/>
      <c r="L33" s="171"/>
      <c r="M33" s="176"/>
    </row>
    <row r="34" spans="1:13" outlineLevel="1" x14ac:dyDescent="0.2">
      <c r="A34" s="172"/>
      <c r="B34" s="202"/>
      <c r="C34" s="172"/>
      <c r="D34" s="172"/>
      <c r="E34" s="172"/>
      <c r="F34" s="172"/>
      <c r="G34" s="172"/>
      <c r="H34" s="172"/>
      <c r="I34" s="172"/>
      <c r="J34" s="171"/>
      <c r="K34" s="171"/>
      <c r="L34" s="171"/>
      <c r="M34" s="176"/>
    </row>
    <row r="35" spans="1:13" ht="15.75" outlineLevel="1" x14ac:dyDescent="0.2">
      <c r="A35" s="172"/>
      <c r="B35" s="202"/>
      <c r="C35" s="193"/>
      <c r="D35" s="112">
        <f>FirstYear</f>
        <v>0</v>
      </c>
      <c r="E35" s="112">
        <f>D35+1</f>
        <v>1</v>
      </c>
      <c r="F35" s="112">
        <f>E35+1</f>
        <v>2</v>
      </c>
      <c r="G35" s="112">
        <f>F35+1</f>
        <v>3</v>
      </c>
      <c r="H35" s="112">
        <f>G35+1</f>
        <v>4</v>
      </c>
      <c r="I35" s="112">
        <f>H35+1</f>
        <v>5</v>
      </c>
      <c r="J35" s="171"/>
      <c r="K35" s="171"/>
      <c r="L35" s="171"/>
      <c r="M35" s="176"/>
    </row>
    <row r="36" spans="1:13" outlineLevel="1" x14ac:dyDescent="0.2">
      <c r="A36" s="172"/>
      <c r="B36" s="422">
        <v>1</v>
      </c>
      <c r="C36" s="115" t="s">
        <v>105</v>
      </c>
      <c r="D36" s="396">
        <f t="shared" ref="D36:I36" si="8">INDEX(RPBSScriptsNew,$B28,D29)*INDEX(DPMQCoPayNewEff,$B28,$B36)</f>
        <v>0</v>
      </c>
      <c r="E36" s="396">
        <f t="shared" si="8"/>
        <v>0</v>
      </c>
      <c r="F36" s="396">
        <f t="shared" si="8"/>
        <v>0</v>
      </c>
      <c r="G36" s="396">
        <f t="shared" si="8"/>
        <v>0</v>
      </c>
      <c r="H36" s="396">
        <f t="shared" si="8"/>
        <v>0</v>
      </c>
      <c r="I36" s="396">
        <f t="shared" si="8"/>
        <v>0</v>
      </c>
      <c r="J36" s="171"/>
      <c r="K36" s="171"/>
      <c r="L36" s="171"/>
      <c r="M36" s="176"/>
    </row>
    <row r="37" spans="1:13" outlineLevel="1" x14ac:dyDescent="0.2">
      <c r="A37" s="172"/>
      <c r="B37" s="422">
        <v>4</v>
      </c>
      <c r="C37" s="11" t="s">
        <v>129</v>
      </c>
      <c r="D37" s="396">
        <f t="shared" ref="D37:I37" si="9">INDEX(RPBSScriptsNew,$B28,D29)*(INDEX(DPMQCoPayNewEff,$B28,$B37)/INDEX(CoPayCountNew,$B28))</f>
        <v>0</v>
      </c>
      <c r="E37" s="396">
        <f t="shared" si="9"/>
        <v>0</v>
      </c>
      <c r="F37" s="396">
        <f t="shared" si="9"/>
        <v>0</v>
      </c>
      <c r="G37" s="396">
        <f t="shared" si="9"/>
        <v>0</v>
      </c>
      <c r="H37" s="396">
        <f t="shared" si="9"/>
        <v>0</v>
      </c>
      <c r="I37" s="396">
        <f t="shared" si="9"/>
        <v>0</v>
      </c>
      <c r="J37" s="171"/>
      <c r="K37" s="171"/>
      <c r="L37" s="171"/>
      <c r="M37" s="176"/>
    </row>
    <row r="38" spans="1:13" outlineLevel="1" x14ac:dyDescent="0.2">
      <c r="A38" s="172"/>
      <c r="B38" s="202"/>
      <c r="C38" s="11" t="s">
        <v>107</v>
      </c>
      <c r="D38" s="396">
        <f t="shared" ref="D38:I38" si="10">D36+D37</f>
        <v>0</v>
      </c>
      <c r="E38" s="396">
        <f t="shared" si="10"/>
        <v>0</v>
      </c>
      <c r="F38" s="396">
        <f t="shared" si="10"/>
        <v>0</v>
      </c>
      <c r="G38" s="396">
        <f t="shared" si="10"/>
        <v>0</v>
      </c>
      <c r="H38" s="396">
        <f t="shared" si="10"/>
        <v>0</v>
      </c>
      <c r="I38" s="396">
        <f t="shared" si="10"/>
        <v>0</v>
      </c>
      <c r="J38" s="171"/>
      <c r="K38" s="171"/>
      <c r="L38" s="171"/>
      <c r="M38" s="176"/>
    </row>
    <row r="39" spans="1:13" x14ac:dyDescent="0.2">
      <c r="A39" s="171"/>
      <c r="B39" s="224"/>
      <c r="C39" s="20"/>
      <c r="D39" s="20"/>
      <c r="E39" s="20"/>
      <c r="F39" s="19"/>
      <c r="G39" s="19"/>
      <c r="H39" s="19"/>
      <c r="I39" s="19"/>
      <c r="J39" s="19"/>
      <c r="K39" s="19"/>
      <c r="L39" s="19"/>
      <c r="M39" s="577"/>
    </row>
    <row r="40" spans="1:13" ht="15" x14ac:dyDescent="0.2">
      <c r="A40" s="171"/>
      <c r="B40" s="423">
        <v>2</v>
      </c>
      <c r="C40" s="221" t="str">
        <f>INDEX(PBSScriptsNew,B40,1)</f>
        <v>** NOT USED **</v>
      </c>
      <c r="D40" s="207"/>
      <c r="E40" s="207"/>
      <c r="F40" s="207"/>
      <c r="G40" s="207"/>
      <c r="H40" s="207"/>
      <c r="I40" s="207"/>
      <c r="J40" s="189"/>
      <c r="K40" s="188"/>
      <c r="L40" s="782" t="str">
        <f>IF(C40&lt;&gt;MsgNotUsed,"Co-payment group " &amp; INDEX(CoPayBandMS,B40),"")</f>
        <v/>
      </c>
      <c r="M40" s="782"/>
    </row>
    <row r="41" spans="1:13" outlineLevel="1" x14ac:dyDescent="0.2">
      <c r="A41" s="171"/>
      <c r="B41" s="352">
        <f>INDEX(SANew,B40,5)</f>
        <v>0</v>
      </c>
      <c r="C41" s="20"/>
      <c r="D41" s="419">
        <v>2</v>
      </c>
      <c r="E41" s="419">
        <v>3</v>
      </c>
      <c r="F41" s="201">
        <v>4</v>
      </c>
      <c r="G41" s="201">
        <v>5</v>
      </c>
      <c r="H41" s="201">
        <v>6</v>
      </c>
      <c r="I41" s="201">
        <v>7</v>
      </c>
      <c r="J41" s="19"/>
      <c r="K41" s="19"/>
      <c r="L41" s="19"/>
      <c r="M41" s="19"/>
    </row>
    <row r="42" spans="1:13" outlineLevel="1" x14ac:dyDescent="0.2">
      <c r="A42" s="171"/>
      <c r="B42" s="224"/>
      <c r="C42" s="171"/>
      <c r="D42" s="112">
        <f>FirstYear</f>
        <v>0</v>
      </c>
      <c r="E42" s="112">
        <f>D42+1</f>
        <v>1</v>
      </c>
      <c r="F42" s="112">
        <f>E42+1</f>
        <v>2</v>
      </c>
      <c r="G42" s="112">
        <f>F42+1</f>
        <v>3</v>
      </c>
      <c r="H42" s="112">
        <f>G42+1</f>
        <v>4</v>
      </c>
      <c r="I42" s="112">
        <f>H42+1</f>
        <v>5</v>
      </c>
      <c r="J42" s="171"/>
      <c r="K42" s="171"/>
      <c r="L42" s="171"/>
      <c r="M42" s="176"/>
    </row>
    <row r="43" spans="1:13" outlineLevel="1" x14ac:dyDescent="0.2">
      <c r="A43" s="171"/>
      <c r="B43" s="422">
        <v>1</v>
      </c>
      <c r="C43" s="115" t="s">
        <v>104</v>
      </c>
      <c r="D43" s="396">
        <f t="shared" ref="D43:I43" si="11">INDEX(PBSScriptsNew,$B40,D41)*INDEX(DPMQCoPayNewEff,$B40,$B43)</f>
        <v>0</v>
      </c>
      <c r="E43" s="396">
        <f t="shared" si="11"/>
        <v>0</v>
      </c>
      <c r="F43" s="396">
        <f t="shared" si="11"/>
        <v>0</v>
      </c>
      <c r="G43" s="396">
        <f t="shared" si="11"/>
        <v>0</v>
      </c>
      <c r="H43" s="396">
        <f t="shared" si="11"/>
        <v>0</v>
      </c>
      <c r="I43" s="396">
        <f t="shared" si="11"/>
        <v>0</v>
      </c>
      <c r="J43" s="171"/>
      <c r="K43" s="171"/>
      <c r="L43" s="171"/>
      <c r="M43" s="176"/>
    </row>
    <row r="44" spans="1:13" outlineLevel="1" x14ac:dyDescent="0.2">
      <c r="A44" s="171"/>
      <c r="B44" s="422">
        <v>3</v>
      </c>
      <c r="C44" s="11" t="s">
        <v>129</v>
      </c>
      <c r="D44" s="396">
        <f t="shared" ref="D44:I44" si="12">INDEX(PBSScriptsNew,$B40,D41)*(INDEX(DPMQCoPayNewEff,$B40,$B44)/INDEX(CoPayCountNew,$B40))</f>
        <v>0</v>
      </c>
      <c r="E44" s="396">
        <f t="shared" si="12"/>
        <v>0</v>
      </c>
      <c r="F44" s="396">
        <f t="shared" si="12"/>
        <v>0</v>
      </c>
      <c r="G44" s="396">
        <f t="shared" si="12"/>
        <v>0</v>
      </c>
      <c r="H44" s="396">
        <f t="shared" si="12"/>
        <v>0</v>
      </c>
      <c r="I44" s="396">
        <f t="shared" si="12"/>
        <v>0</v>
      </c>
      <c r="J44" s="171"/>
      <c r="K44" s="763" t="str">
        <f>IF(B41&lt;&gt;0,MsgNote&amp;IF(B41="Yes",INDEX(CoPayMethod,1),INDEX(CoPayMethod,2)),"")</f>
        <v/>
      </c>
      <c r="L44" s="763"/>
      <c r="M44" s="763"/>
    </row>
    <row r="45" spans="1:13" outlineLevel="1" x14ac:dyDescent="0.2">
      <c r="A45" s="171"/>
      <c r="B45" s="224"/>
      <c r="C45" s="11" t="s">
        <v>106</v>
      </c>
      <c r="D45" s="396">
        <f t="shared" ref="D45:I45" si="13">D43+D44</f>
        <v>0</v>
      </c>
      <c r="E45" s="396">
        <f t="shared" si="13"/>
        <v>0</v>
      </c>
      <c r="F45" s="396">
        <f t="shared" si="13"/>
        <v>0</v>
      </c>
      <c r="G45" s="396">
        <f t="shared" si="13"/>
        <v>0</v>
      </c>
      <c r="H45" s="396">
        <f t="shared" si="13"/>
        <v>0</v>
      </c>
      <c r="I45" s="396">
        <f t="shared" si="13"/>
        <v>0</v>
      </c>
      <c r="J45" s="171"/>
      <c r="K45" s="171"/>
      <c r="L45" s="171"/>
      <c r="M45" s="176"/>
    </row>
    <row r="46" spans="1:13" outlineLevel="1" x14ac:dyDescent="0.2">
      <c r="A46" s="171"/>
      <c r="B46" s="202"/>
      <c r="C46" s="19"/>
      <c r="D46" s="19"/>
      <c r="E46" s="19"/>
      <c r="F46" s="19"/>
      <c r="G46" s="19"/>
      <c r="H46" s="19"/>
      <c r="I46" s="19"/>
      <c r="J46" s="171"/>
      <c r="K46" s="171"/>
      <c r="L46" s="171"/>
      <c r="M46" s="176"/>
    </row>
    <row r="47" spans="1:13" ht="15.75" outlineLevel="1" x14ac:dyDescent="0.2">
      <c r="A47" s="171"/>
      <c r="B47" s="202"/>
      <c r="C47" s="193"/>
      <c r="D47" s="112">
        <f>FirstYear</f>
        <v>0</v>
      </c>
      <c r="E47" s="112">
        <f>D47+1</f>
        <v>1</v>
      </c>
      <c r="F47" s="112">
        <f>E47+1</f>
        <v>2</v>
      </c>
      <c r="G47" s="112">
        <f>F47+1</f>
        <v>3</v>
      </c>
      <c r="H47" s="112">
        <f>G47+1</f>
        <v>4</v>
      </c>
      <c r="I47" s="112">
        <f>H47+1</f>
        <v>5</v>
      </c>
      <c r="J47" s="171"/>
      <c r="K47" s="171"/>
      <c r="L47" s="171"/>
      <c r="M47" s="176"/>
    </row>
    <row r="48" spans="1:13" outlineLevel="1" x14ac:dyDescent="0.2">
      <c r="A48" s="171"/>
      <c r="B48" s="422">
        <v>1</v>
      </c>
      <c r="C48" s="115" t="s">
        <v>105</v>
      </c>
      <c r="D48" s="396">
        <f t="shared" ref="D48:I48" si="14">INDEX(RPBSScriptsNew,$B40,D41)*INDEX(DPMQCoPayNewEff,$B40,$B48)</f>
        <v>0</v>
      </c>
      <c r="E48" s="396">
        <f t="shared" si="14"/>
        <v>0</v>
      </c>
      <c r="F48" s="396">
        <f t="shared" si="14"/>
        <v>0</v>
      </c>
      <c r="G48" s="396">
        <f t="shared" si="14"/>
        <v>0</v>
      </c>
      <c r="H48" s="396">
        <f t="shared" si="14"/>
        <v>0</v>
      </c>
      <c r="I48" s="396">
        <f t="shared" si="14"/>
        <v>0</v>
      </c>
      <c r="J48" s="171"/>
      <c r="K48" s="171"/>
      <c r="L48" s="171"/>
      <c r="M48" s="176"/>
    </row>
    <row r="49" spans="1:13" outlineLevel="1" x14ac:dyDescent="0.2">
      <c r="A49" s="171"/>
      <c r="B49" s="422">
        <v>4</v>
      </c>
      <c r="C49" s="11" t="s">
        <v>129</v>
      </c>
      <c r="D49" s="396">
        <f t="shared" ref="D49:I49" si="15">INDEX(RPBSScriptsNew,$B40,D41)*(INDEX(DPMQCoPayNewEff,$B40,$B49)/INDEX(CoPayCountNew,$B40))</f>
        <v>0</v>
      </c>
      <c r="E49" s="396">
        <f t="shared" si="15"/>
        <v>0</v>
      </c>
      <c r="F49" s="396">
        <f t="shared" si="15"/>
        <v>0</v>
      </c>
      <c r="G49" s="396">
        <f t="shared" si="15"/>
        <v>0</v>
      </c>
      <c r="H49" s="396">
        <f t="shared" si="15"/>
        <v>0</v>
      </c>
      <c r="I49" s="396">
        <f t="shared" si="15"/>
        <v>0</v>
      </c>
      <c r="J49" s="171"/>
      <c r="K49" s="171"/>
      <c r="L49" s="171"/>
      <c r="M49" s="176"/>
    </row>
    <row r="50" spans="1:13" outlineLevel="1" x14ac:dyDescent="0.2">
      <c r="A50" s="171"/>
      <c r="B50" s="224"/>
      <c r="C50" s="11" t="s">
        <v>107</v>
      </c>
      <c r="D50" s="396">
        <f t="shared" ref="D50:I50" si="16">D48+D49</f>
        <v>0</v>
      </c>
      <c r="E50" s="396">
        <f t="shared" si="16"/>
        <v>0</v>
      </c>
      <c r="F50" s="396">
        <f t="shared" si="16"/>
        <v>0</v>
      </c>
      <c r="G50" s="396">
        <f t="shared" si="16"/>
        <v>0</v>
      </c>
      <c r="H50" s="396">
        <f t="shared" si="16"/>
        <v>0</v>
      </c>
      <c r="I50" s="396">
        <f t="shared" si="16"/>
        <v>0</v>
      </c>
      <c r="J50" s="171"/>
      <c r="K50" s="171"/>
      <c r="L50" s="171"/>
      <c r="M50" s="176"/>
    </row>
    <row r="51" spans="1:13" x14ac:dyDescent="0.2">
      <c r="A51" s="171"/>
      <c r="B51" s="224"/>
      <c r="C51" s="19"/>
      <c r="D51" s="19"/>
      <c r="E51" s="19"/>
      <c r="F51" s="19"/>
      <c r="G51" s="19"/>
      <c r="H51" s="19"/>
      <c r="I51" s="19"/>
      <c r="J51" s="19"/>
      <c r="K51" s="19"/>
      <c r="L51" s="19"/>
      <c r="M51" s="577"/>
    </row>
    <row r="52" spans="1:13" ht="15" x14ac:dyDescent="0.2">
      <c r="A52" s="171"/>
      <c r="B52" s="423">
        <v>3</v>
      </c>
      <c r="C52" s="221" t="str">
        <f>INDEX(PBSScriptsNew,B52,1)</f>
        <v>** NOT USED **</v>
      </c>
      <c r="D52" s="207"/>
      <c r="E52" s="207"/>
      <c r="F52" s="207"/>
      <c r="G52" s="207"/>
      <c r="H52" s="207"/>
      <c r="I52" s="207"/>
      <c r="J52" s="189"/>
      <c r="K52" s="188"/>
      <c r="L52" s="782" t="str">
        <f>IF(C52&lt;&gt;MsgNotUsed,"Co-payment group " &amp; INDEX(CoPayBandMS,B52),"")</f>
        <v/>
      </c>
      <c r="M52" s="782"/>
    </row>
    <row r="53" spans="1:13" outlineLevel="1" x14ac:dyDescent="0.2">
      <c r="A53" s="171"/>
      <c r="B53" s="352">
        <f>INDEX(SANew,B52,5)</f>
        <v>0</v>
      </c>
      <c r="C53" s="20"/>
      <c r="D53" s="419">
        <v>2</v>
      </c>
      <c r="E53" s="419">
        <v>3</v>
      </c>
      <c r="F53" s="201">
        <v>4</v>
      </c>
      <c r="G53" s="201">
        <v>5</v>
      </c>
      <c r="H53" s="201">
        <v>6</v>
      </c>
      <c r="I53" s="201">
        <v>7</v>
      </c>
      <c r="J53" s="19"/>
      <c r="K53" s="19"/>
      <c r="L53" s="19"/>
      <c r="M53" s="19"/>
    </row>
    <row r="54" spans="1:13" outlineLevel="1" x14ac:dyDescent="0.2">
      <c r="A54" s="171"/>
      <c r="B54" s="224"/>
      <c r="C54" s="171"/>
      <c r="D54" s="112">
        <f>FirstYear</f>
        <v>0</v>
      </c>
      <c r="E54" s="112">
        <f>D54+1</f>
        <v>1</v>
      </c>
      <c r="F54" s="112">
        <f>E54+1</f>
        <v>2</v>
      </c>
      <c r="G54" s="112">
        <f>F54+1</f>
        <v>3</v>
      </c>
      <c r="H54" s="112">
        <f>G54+1</f>
        <v>4</v>
      </c>
      <c r="I54" s="112">
        <f>H54+1</f>
        <v>5</v>
      </c>
      <c r="J54" s="171"/>
      <c r="K54" s="171"/>
      <c r="L54" s="171"/>
      <c r="M54" s="176"/>
    </row>
    <row r="55" spans="1:13" outlineLevel="1" x14ac:dyDescent="0.2">
      <c r="A55" s="171"/>
      <c r="B55" s="422">
        <v>1</v>
      </c>
      <c r="C55" s="115" t="s">
        <v>104</v>
      </c>
      <c r="D55" s="396">
        <f t="shared" ref="D55:I55" si="17">INDEX(PBSScriptsNew,$B52,D53)*INDEX(DPMQCoPayNewEff,$B52,$B55)</f>
        <v>0</v>
      </c>
      <c r="E55" s="396">
        <f t="shared" si="17"/>
        <v>0</v>
      </c>
      <c r="F55" s="396">
        <f t="shared" si="17"/>
        <v>0</v>
      </c>
      <c r="G55" s="396">
        <f t="shared" si="17"/>
        <v>0</v>
      </c>
      <c r="H55" s="396">
        <f t="shared" si="17"/>
        <v>0</v>
      </c>
      <c r="I55" s="396">
        <f t="shared" si="17"/>
        <v>0</v>
      </c>
      <c r="J55" s="171"/>
      <c r="K55" s="171"/>
      <c r="L55" s="171"/>
      <c r="M55" s="176"/>
    </row>
    <row r="56" spans="1:13" outlineLevel="1" x14ac:dyDescent="0.2">
      <c r="A56" s="171"/>
      <c r="B56" s="422">
        <v>3</v>
      </c>
      <c r="C56" s="11" t="s">
        <v>129</v>
      </c>
      <c r="D56" s="396">
        <f t="shared" ref="D56:I56" si="18">INDEX(PBSScriptsNew,$B52,D53)*(INDEX(DPMQCoPayNewEff,$B52,$B56)/INDEX(CoPayCountNew,$B52))</f>
        <v>0</v>
      </c>
      <c r="E56" s="396">
        <f t="shared" si="18"/>
        <v>0</v>
      </c>
      <c r="F56" s="396">
        <f t="shared" si="18"/>
        <v>0</v>
      </c>
      <c r="G56" s="396">
        <f t="shared" si="18"/>
        <v>0</v>
      </c>
      <c r="H56" s="396">
        <f t="shared" si="18"/>
        <v>0</v>
      </c>
      <c r="I56" s="396">
        <f t="shared" si="18"/>
        <v>0</v>
      </c>
      <c r="J56" s="171"/>
      <c r="K56" s="763" t="str">
        <f>IF(B53&lt;&gt;0,MsgNote&amp;IF(B53="Yes",INDEX(CoPayMethod,1),INDEX(CoPayMethod,2)),"")</f>
        <v/>
      </c>
      <c r="L56" s="763"/>
      <c r="M56" s="763"/>
    </row>
    <row r="57" spans="1:13" outlineLevel="1" x14ac:dyDescent="0.2">
      <c r="A57" s="171"/>
      <c r="B57" s="224"/>
      <c r="C57" s="11" t="s">
        <v>106</v>
      </c>
      <c r="D57" s="396">
        <f t="shared" ref="D57:I57" si="19">D55+D56</f>
        <v>0</v>
      </c>
      <c r="E57" s="396">
        <f t="shared" si="19"/>
        <v>0</v>
      </c>
      <c r="F57" s="396">
        <f t="shared" si="19"/>
        <v>0</v>
      </c>
      <c r="G57" s="396">
        <f t="shared" si="19"/>
        <v>0</v>
      </c>
      <c r="H57" s="396">
        <f t="shared" si="19"/>
        <v>0</v>
      </c>
      <c r="I57" s="396">
        <f t="shared" si="19"/>
        <v>0</v>
      </c>
      <c r="J57" s="171"/>
      <c r="K57" s="171"/>
      <c r="L57" s="171"/>
      <c r="M57" s="176"/>
    </row>
    <row r="58" spans="1:13" outlineLevel="1" x14ac:dyDescent="0.2">
      <c r="A58" s="172"/>
      <c r="B58" s="202"/>
      <c r="C58" s="172"/>
      <c r="D58" s="172"/>
      <c r="E58" s="172"/>
      <c r="F58" s="172"/>
      <c r="G58" s="172"/>
      <c r="H58" s="172"/>
      <c r="I58" s="172"/>
      <c r="J58" s="172"/>
      <c r="K58" s="498"/>
      <c r="L58" s="498"/>
      <c r="M58" s="176"/>
    </row>
    <row r="59" spans="1:13" ht="15.75" outlineLevel="1" x14ac:dyDescent="0.2">
      <c r="A59" s="172"/>
      <c r="B59" s="202"/>
      <c r="C59" s="193"/>
      <c r="D59" s="112">
        <f>FirstYear</f>
        <v>0</v>
      </c>
      <c r="E59" s="112">
        <f>D59+1</f>
        <v>1</v>
      </c>
      <c r="F59" s="112">
        <f>E59+1</f>
        <v>2</v>
      </c>
      <c r="G59" s="112">
        <f>F59+1</f>
        <v>3</v>
      </c>
      <c r="H59" s="112">
        <f>G59+1</f>
        <v>4</v>
      </c>
      <c r="I59" s="112">
        <f>H59+1</f>
        <v>5</v>
      </c>
      <c r="J59" s="172"/>
      <c r="K59" s="498"/>
      <c r="L59" s="498"/>
      <c r="M59" s="176"/>
    </row>
    <row r="60" spans="1:13" outlineLevel="1" x14ac:dyDescent="0.2">
      <c r="A60" s="172"/>
      <c r="B60" s="422">
        <v>1</v>
      </c>
      <c r="C60" s="115" t="s">
        <v>105</v>
      </c>
      <c r="D60" s="396">
        <f t="shared" ref="D60:I60" si="20">INDEX(RPBSScriptsNew,$B52,D53)*INDEX(DPMQCoPayNewEff,$B52,$B60)</f>
        <v>0</v>
      </c>
      <c r="E60" s="396">
        <f t="shared" si="20"/>
        <v>0</v>
      </c>
      <c r="F60" s="396">
        <f t="shared" si="20"/>
        <v>0</v>
      </c>
      <c r="G60" s="396">
        <f t="shared" si="20"/>
        <v>0</v>
      </c>
      <c r="H60" s="396">
        <f t="shared" si="20"/>
        <v>0</v>
      </c>
      <c r="I60" s="396">
        <f t="shared" si="20"/>
        <v>0</v>
      </c>
      <c r="J60" s="172"/>
      <c r="K60" s="498"/>
      <c r="L60" s="498"/>
      <c r="M60" s="176"/>
    </row>
    <row r="61" spans="1:13" outlineLevel="1" x14ac:dyDescent="0.2">
      <c r="A61" s="172"/>
      <c r="B61" s="422">
        <v>4</v>
      </c>
      <c r="C61" s="11" t="s">
        <v>129</v>
      </c>
      <c r="D61" s="396">
        <f t="shared" ref="D61:I61" si="21">INDEX(RPBSScriptsNew,$B52,D53)*(INDEX(DPMQCoPayNewEff,$B52,$B61)/INDEX(CoPayCountNew,$B52))</f>
        <v>0</v>
      </c>
      <c r="E61" s="396">
        <f t="shared" si="21"/>
        <v>0</v>
      </c>
      <c r="F61" s="396">
        <f t="shared" si="21"/>
        <v>0</v>
      </c>
      <c r="G61" s="396">
        <f t="shared" si="21"/>
        <v>0</v>
      </c>
      <c r="H61" s="396">
        <f t="shared" si="21"/>
        <v>0</v>
      </c>
      <c r="I61" s="396">
        <f t="shared" si="21"/>
        <v>0</v>
      </c>
      <c r="J61" s="172"/>
      <c r="K61" s="498"/>
      <c r="L61" s="498"/>
      <c r="M61" s="176"/>
    </row>
    <row r="62" spans="1:13" outlineLevel="1" x14ac:dyDescent="0.2">
      <c r="A62" s="172"/>
      <c r="B62" s="202"/>
      <c r="C62" s="11" t="s">
        <v>107</v>
      </c>
      <c r="D62" s="396">
        <f t="shared" ref="D62:I62" si="22">D60+D61</f>
        <v>0</v>
      </c>
      <c r="E62" s="396">
        <f t="shared" si="22"/>
        <v>0</v>
      </c>
      <c r="F62" s="396">
        <f t="shared" si="22"/>
        <v>0</v>
      </c>
      <c r="G62" s="396">
        <f t="shared" si="22"/>
        <v>0</v>
      </c>
      <c r="H62" s="396">
        <f t="shared" si="22"/>
        <v>0</v>
      </c>
      <c r="I62" s="396">
        <f t="shared" si="22"/>
        <v>0</v>
      </c>
      <c r="J62" s="172"/>
      <c r="K62" s="498"/>
      <c r="L62" s="498"/>
      <c r="M62" s="176"/>
    </row>
    <row r="63" spans="1:13" x14ac:dyDescent="0.2">
      <c r="A63" s="171"/>
      <c r="B63" s="224"/>
      <c r="C63" s="20"/>
      <c r="D63" s="20"/>
      <c r="E63" s="20"/>
      <c r="F63" s="19"/>
      <c r="G63" s="19"/>
      <c r="H63" s="19"/>
      <c r="I63" s="19"/>
      <c r="J63" s="19"/>
      <c r="K63" s="19"/>
      <c r="L63" s="19"/>
      <c r="M63" s="577"/>
    </row>
    <row r="64" spans="1:13" ht="15" x14ac:dyDescent="0.2">
      <c r="A64" s="171"/>
      <c r="B64" s="423">
        <v>4</v>
      </c>
      <c r="C64" s="221" t="str">
        <f>INDEX(PBSScriptsNew,B64,1)</f>
        <v>** NOT USED **</v>
      </c>
      <c r="D64" s="207"/>
      <c r="E64" s="207"/>
      <c r="F64" s="207"/>
      <c r="G64" s="207"/>
      <c r="H64" s="207"/>
      <c r="I64" s="207"/>
      <c r="J64" s="189"/>
      <c r="K64" s="188"/>
      <c r="L64" s="782" t="str">
        <f>IF(C64&lt;&gt;MsgNotUsed,"Co-payment group " &amp; INDEX(CoPayBandMS,B64),"")</f>
        <v/>
      </c>
      <c r="M64" s="782"/>
    </row>
    <row r="65" spans="1:13" outlineLevel="1" x14ac:dyDescent="0.2">
      <c r="A65" s="171"/>
      <c r="B65" s="352">
        <f>INDEX(SANew,B64,5)</f>
        <v>0</v>
      </c>
      <c r="C65" s="20"/>
      <c r="D65" s="419">
        <v>2</v>
      </c>
      <c r="E65" s="419">
        <v>3</v>
      </c>
      <c r="F65" s="201">
        <v>4</v>
      </c>
      <c r="G65" s="201">
        <v>5</v>
      </c>
      <c r="H65" s="201">
        <v>6</v>
      </c>
      <c r="I65" s="201">
        <v>7</v>
      </c>
      <c r="J65" s="171"/>
      <c r="K65" s="19"/>
      <c r="L65" s="19"/>
      <c r="M65" s="19"/>
    </row>
    <row r="66" spans="1:13" outlineLevel="1" x14ac:dyDescent="0.2">
      <c r="A66" s="171"/>
      <c r="B66" s="224"/>
      <c r="C66" s="171"/>
      <c r="D66" s="112">
        <f>FirstYear</f>
        <v>0</v>
      </c>
      <c r="E66" s="112">
        <f>D66+1</f>
        <v>1</v>
      </c>
      <c r="F66" s="112">
        <f>E66+1</f>
        <v>2</v>
      </c>
      <c r="G66" s="112">
        <f>F66+1</f>
        <v>3</v>
      </c>
      <c r="H66" s="112">
        <f>G66+1</f>
        <v>4</v>
      </c>
      <c r="I66" s="112">
        <f>H66+1</f>
        <v>5</v>
      </c>
      <c r="J66" s="171"/>
      <c r="K66" s="171"/>
      <c r="L66" s="171"/>
      <c r="M66" s="176"/>
    </row>
    <row r="67" spans="1:13" outlineLevel="1" x14ac:dyDescent="0.2">
      <c r="A67" s="171"/>
      <c r="B67" s="422">
        <v>1</v>
      </c>
      <c r="C67" s="115" t="s">
        <v>104</v>
      </c>
      <c r="D67" s="396">
        <f t="shared" ref="D67:I67" si="23">INDEX(PBSScriptsNew,$B64,D65)*INDEX(DPMQCoPayNewEff,$B64,$B67)</f>
        <v>0</v>
      </c>
      <c r="E67" s="396">
        <f t="shared" si="23"/>
        <v>0</v>
      </c>
      <c r="F67" s="396">
        <f t="shared" si="23"/>
        <v>0</v>
      </c>
      <c r="G67" s="396">
        <f t="shared" si="23"/>
        <v>0</v>
      </c>
      <c r="H67" s="396">
        <f t="shared" si="23"/>
        <v>0</v>
      </c>
      <c r="I67" s="396">
        <f t="shared" si="23"/>
        <v>0</v>
      </c>
      <c r="J67" s="171"/>
      <c r="K67" s="171"/>
      <c r="L67" s="171"/>
      <c r="M67" s="176"/>
    </row>
    <row r="68" spans="1:13" outlineLevel="1" x14ac:dyDescent="0.2">
      <c r="A68" s="171"/>
      <c r="B68" s="422">
        <v>3</v>
      </c>
      <c r="C68" s="11" t="s">
        <v>129</v>
      </c>
      <c r="D68" s="396">
        <f t="shared" ref="D68:I68" si="24">INDEX(PBSScriptsNew,$B64,D65)*(INDEX(DPMQCoPayNewEff,$B64,$B68)/INDEX(CoPayCountNew,$B64))</f>
        <v>0</v>
      </c>
      <c r="E68" s="396">
        <f t="shared" si="24"/>
        <v>0</v>
      </c>
      <c r="F68" s="396">
        <f t="shared" si="24"/>
        <v>0</v>
      </c>
      <c r="G68" s="396">
        <f t="shared" si="24"/>
        <v>0</v>
      </c>
      <c r="H68" s="396">
        <f t="shared" si="24"/>
        <v>0</v>
      </c>
      <c r="I68" s="396">
        <f t="shared" si="24"/>
        <v>0</v>
      </c>
      <c r="J68" s="171"/>
      <c r="K68" s="763" t="str">
        <f>IF(B65&lt;&gt;0,MsgNote&amp;IF(B65="Yes",INDEX(CoPayMethod,1),INDEX(CoPayMethod,2)),"")</f>
        <v/>
      </c>
      <c r="L68" s="763"/>
      <c r="M68" s="763"/>
    </row>
    <row r="69" spans="1:13" outlineLevel="1" x14ac:dyDescent="0.2">
      <c r="A69" s="171"/>
      <c r="B69" s="224"/>
      <c r="C69" s="11" t="s">
        <v>106</v>
      </c>
      <c r="D69" s="396">
        <f t="shared" ref="D69:I69" si="25">D67+D68</f>
        <v>0</v>
      </c>
      <c r="E69" s="396">
        <f t="shared" si="25"/>
        <v>0</v>
      </c>
      <c r="F69" s="396">
        <f t="shared" si="25"/>
        <v>0</v>
      </c>
      <c r="G69" s="396">
        <f t="shared" si="25"/>
        <v>0</v>
      </c>
      <c r="H69" s="396">
        <f t="shared" si="25"/>
        <v>0</v>
      </c>
      <c r="I69" s="396">
        <f t="shared" si="25"/>
        <v>0</v>
      </c>
      <c r="J69" s="171"/>
      <c r="K69" s="171"/>
      <c r="L69" s="171"/>
      <c r="M69" s="176"/>
    </row>
    <row r="70" spans="1:13" outlineLevel="1" x14ac:dyDescent="0.2">
      <c r="A70" s="171"/>
      <c r="B70" s="202"/>
      <c r="C70" s="19"/>
      <c r="D70" s="19"/>
      <c r="E70" s="19"/>
      <c r="F70" s="19"/>
      <c r="G70" s="19"/>
      <c r="H70" s="19"/>
      <c r="I70" s="19"/>
      <c r="J70" s="19"/>
      <c r="K70" s="19"/>
      <c r="L70" s="19"/>
      <c r="M70" s="51"/>
    </row>
    <row r="71" spans="1:13" ht="15.75" outlineLevel="1" x14ac:dyDescent="0.2">
      <c r="A71" s="171"/>
      <c r="B71" s="202"/>
      <c r="C71" s="193"/>
      <c r="D71" s="112">
        <f>FirstYear</f>
        <v>0</v>
      </c>
      <c r="E71" s="112">
        <f>D71+1</f>
        <v>1</v>
      </c>
      <c r="F71" s="112">
        <f>E71+1</f>
        <v>2</v>
      </c>
      <c r="G71" s="112">
        <f>F71+1</f>
        <v>3</v>
      </c>
      <c r="H71" s="112">
        <f>G71+1</f>
        <v>4</v>
      </c>
      <c r="I71" s="112">
        <f>H71+1</f>
        <v>5</v>
      </c>
      <c r="J71" s="19"/>
      <c r="K71" s="19"/>
      <c r="L71" s="19"/>
      <c r="M71" s="51"/>
    </row>
    <row r="72" spans="1:13" outlineLevel="1" x14ac:dyDescent="0.2">
      <c r="A72" s="171"/>
      <c r="B72" s="422">
        <v>1</v>
      </c>
      <c r="C72" s="115" t="s">
        <v>105</v>
      </c>
      <c r="D72" s="396">
        <f t="shared" ref="D72:I72" si="26">INDEX(RPBSScriptsNew,$B64,D65)*INDEX(DPMQCoPayNewEff,$B64,$B72)</f>
        <v>0</v>
      </c>
      <c r="E72" s="396">
        <f t="shared" si="26"/>
        <v>0</v>
      </c>
      <c r="F72" s="396">
        <f t="shared" si="26"/>
        <v>0</v>
      </c>
      <c r="G72" s="396">
        <f t="shared" si="26"/>
        <v>0</v>
      </c>
      <c r="H72" s="396">
        <f t="shared" si="26"/>
        <v>0</v>
      </c>
      <c r="I72" s="396">
        <f t="shared" si="26"/>
        <v>0</v>
      </c>
      <c r="J72" s="19"/>
      <c r="K72" s="19"/>
      <c r="L72" s="19"/>
      <c r="M72" s="51"/>
    </row>
    <row r="73" spans="1:13" outlineLevel="1" x14ac:dyDescent="0.2">
      <c r="A73" s="171"/>
      <c r="B73" s="422">
        <v>4</v>
      </c>
      <c r="C73" s="11" t="s">
        <v>129</v>
      </c>
      <c r="D73" s="396">
        <f t="shared" ref="D73:I73" si="27">INDEX(RPBSScriptsNew,$B64,D65)*(INDEX(DPMQCoPayNewEff,$B64,$B73)/INDEX(CoPayCountNew,$B64))</f>
        <v>0</v>
      </c>
      <c r="E73" s="396">
        <f t="shared" si="27"/>
        <v>0</v>
      </c>
      <c r="F73" s="396">
        <f t="shared" si="27"/>
        <v>0</v>
      </c>
      <c r="G73" s="396">
        <f t="shared" si="27"/>
        <v>0</v>
      </c>
      <c r="H73" s="396">
        <f t="shared" si="27"/>
        <v>0</v>
      </c>
      <c r="I73" s="396">
        <f t="shared" si="27"/>
        <v>0</v>
      </c>
      <c r="J73" s="19"/>
      <c r="K73" s="19"/>
      <c r="L73" s="19"/>
      <c r="M73" s="51"/>
    </row>
    <row r="74" spans="1:13" outlineLevel="1" x14ac:dyDescent="0.2">
      <c r="A74" s="171"/>
      <c r="B74" s="224"/>
      <c r="C74" s="11" t="s">
        <v>107</v>
      </c>
      <c r="D74" s="396">
        <f t="shared" ref="D74:I74" si="28">D72+D73</f>
        <v>0</v>
      </c>
      <c r="E74" s="396">
        <f t="shared" si="28"/>
        <v>0</v>
      </c>
      <c r="F74" s="396">
        <f t="shared" si="28"/>
        <v>0</v>
      </c>
      <c r="G74" s="396">
        <f t="shared" si="28"/>
        <v>0</v>
      </c>
      <c r="H74" s="396">
        <f t="shared" si="28"/>
        <v>0</v>
      </c>
      <c r="I74" s="396">
        <f t="shared" si="28"/>
        <v>0</v>
      </c>
      <c r="J74" s="19"/>
      <c r="K74" s="19"/>
      <c r="L74" s="19"/>
      <c r="M74" s="51"/>
    </row>
    <row r="75" spans="1:13" x14ac:dyDescent="0.2">
      <c r="A75" s="171"/>
      <c r="B75" s="224"/>
      <c r="C75" s="20"/>
      <c r="D75" s="20"/>
      <c r="E75" s="20"/>
      <c r="F75" s="19"/>
      <c r="G75" s="19"/>
      <c r="H75" s="19"/>
      <c r="I75" s="19"/>
      <c r="J75" s="19"/>
      <c r="K75" s="19"/>
      <c r="L75" s="19"/>
      <c r="M75" s="577"/>
    </row>
    <row r="76" spans="1:13" ht="15" x14ac:dyDescent="0.2">
      <c r="A76" s="171"/>
      <c r="B76" s="423">
        <v>5</v>
      </c>
      <c r="C76" s="221" t="str">
        <f>INDEX(PBSScriptsNew,B76,1)</f>
        <v>** NOT USED **</v>
      </c>
      <c r="D76" s="207"/>
      <c r="E76" s="207"/>
      <c r="F76" s="207"/>
      <c r="G76" s="207"/>
      <c r="H76" s="207"/>
      <c r="I76" s="207"/>
      <c r="J76" s="189"/>
      <c r="K76" s="188"/>
      <c r="L76" s="782" t="str">
        <f>IF(C76&lt;&gt;MsgNotUsed,"Co-payment group " &amp; INDEX(CoPayBandMS,B76),"")</f>
        <v/>
      </c>
      <c r="M76" s="782"/>
    </row>
    <row r="77" spans="1:13" outlineLevel="1" x14ac:dyDescent="0.2">
      <c r="A77" s="171"/>
      <c r="B77" s="352">
        <f>INDEX(SANew,B76,5)</f>
        <v>0</v>
      </c>
      <c r="C77" s="20"/>
      <c r="D77" s="419">
        <v>2</v>
      </c>
      <c r="E77" s="419">
        <v>3</v>
      </c>
      <c r="F77" s="201">
        <v>4</v>
      </c>
      <c r="G77" s="201">
        <v>5</v>
      </c>
      <c r="H77" s="201">
        <v>6</v>
      </c>
      <c r="I77" s="201">
        <v>7</v>
      </c>
      <c r="J77" s="19"/>
      <c r="K77" s="19"/>
      <c r="L77" s="19"/>
      <c r="M77" s="19"/>
    </row>
    <row r="78" spans="1:13" outlineLevel="1" x14ac:dyDescent="0.2">
      <c r="A78" s="171"/>
      <c r="B78" s="224"/>
      <c r="C78" s="171"/>
      <c r="D78" s="112">
        <f>FirstYear</f>
        <v>0</v>
      </c>
      <c r="E78" s="112">
        <f>D78+1</f>
        <v>1</v>
      </c>
      <c r="F78" s="112">
        <f>E78+1</f>
        <v>2</v>
      </c>
      <c r="G78" s="112">
        <f>F78+1</f>
        <v>3</v>
      </c>
      <c r="H78" s="112">
        <f>G78+1</f>
        <v>4</v>
      </c>
      <c r="I78" s="112">
        <f>H78+1</f>
        <v>5</v>
      </c>
      <c r="J78" s="171"/>
      <c r="K78" s="171"/>
      <c r="L78" s="171"/>
      <c r="M78" s="176"/>
    </row>
    <row r="79" spans="1:13" outlineLevel="1" x14ac:dyDescent="0.2">
      <c r="A79" s="171"/>
      <c r="B79" s="422">
        <v>1</v>
      </c>
      <c r="C79" s="115" t="s">
        <v>104</v>
      </c>
      <c r="D79" s="396">
        <f t="shared" ref="D79:I79" si="29">INDEX(PBSScriptsNew,$B76,D77)*INDEX(DPMQCoPayNewEff,$B76,$B79)</f>
        <v>0</v>
      </c>
      <c r="E79" s="396">
        <f t="shared" si="29"/>
        <v>0</v>
      </c>
      <c r="F79" s="396">
        <f t="shared" si="29"/>
        <v>0</v>
      </c>
      <c r="G79" s="396">
        <f t="shared" si="29"/>
        <v>0</v>
      </c>
      <c r="H79" s="396">
        <f t="shared" si="29"/>
        <v>0</v>
      </c>
      <c r="I79" s="396">
        <f t="shared" si="29"/>
        <v>0</v>
      </c>
      <c r="J79" s="171"/>
      <c r="K79" s="171"/>
      <c r="L79" s="171"/>
      <c r="M79" s="176"/>
    </row>
    <row r="80" spans="1:13" outlineLevel="1" x14ac:dyDescent="0.2">
      <c r="A80" s="171"/>
      <c r="B80" s="422">
        <v>3</v>
      </c>
      <c r="C80" s="11" t="s">
        <v>129</v>
      </c>
      <c r="D80" s="396">
        <f t="shared" ref="D80:I80" si="30">INDEX(PBSScriptsNew,$B76,D77)*(INDEX(DPMQCoPayNewEff,$B76,$B80)/INDEX(CoPayCountNew,$B76))</f>
        <v>0</v>
      </c>
      <c r="E80" s="396">
        <f t="shared" si="30"/>
        <v>0</v>
      </c>
      <c r="F80" s="396">
        <f t="shared" si="30"/>
        <v>0</v>
      </c>
      <c r="G80" s="396">
        <f t="shared" si="30"/>
        <v>0</v>
      </c>
      <c r="H80" s="396">
        <f t="shared" si="30"/>
        <v>0</v>
      </c>
      <c r="I80" s="396">
        <f t="shared" si="30"/>
        <v>0</v>
      </c>
      <c r="J80" s="171"/>
      <c r="K80" s="763" t="str">
        <f>IF(B77&lt;&gt;0,MsgNote&amp;IF(B77="Yes",INDEX(CoPayMethod,1),INDEX(CoPayMethod,2)),"")</f>
        <v/>
      </c>
      <c r="L80" s="763"/>
      <c r="M80" s="763"/>
    </row>
    <row r="81" spans="1:13" outlineLevel="1" x14ac:dyDescent="0.2">
      <c r="A81" s="171"/>
      <c r="B81" s="224"/>
      <c r="C81" s="11" t="s">
        <v>106</v>
      </c>
      <c r="D81" s="396">
        <f t="shared" ref="D81:I81" si="31">D79+D80</f>
        <v>0</v>
      </c>
      <c r="E81" s="396">
        <f t="shared" si="31"/>
        <v>0</v>
      </c>
      <c r="F81" s="396">
        <f t="shared" si="31"/>
        <v>0</v>
      </c>
      <c r="G81" s="396">
        <f t="shared" si="31"/>
        <v>0</v>
      </c>
      <c r="H81" s="396">
        <f t="shared" si="31"/>
        <v>0</v>
      </c>
      <c r="I81" s="396">
        <f t="shared" si="31"/>
        <v>0</v>
      </c>
      <c r="J81" s="171"/>
      <c r="K81" s="19"/>
      <c r="L81" s="19"/>
      <c r="M81" s="51"/>
    </row>
    <row r="82" spans="1:13" outlineLevel="1" x14ac:dyDescent="0.2">
      <c r="A82" s="171"/>
      <c r="B82" s="202"/>
      <c r="C82" s="20"/>
      <c r="D82" s="20"/>
      <c r="E82" s="20"/>
      <c r="F82" s="19"/>
      <c r="G82" s="19"/>
      <c r="H82" s="19"/>
      <c r="I82" s="19"/>
      <c r="J82" s="19"/>
      <c r="K82" s="19"/>
      <c r="L82" s="19"/>
      <c r="M82" s="51"/>
    </row>
    <row r="83" spans="1:13" ht="15.75" outlineLevel="1" x14ac:dyDescent="0.2">
      <c r="A83" s="171"/>
      <c r="B83" s="202"/>
      <c r="C83" s="193"/>
      <c r="D83" s="112">
        <f>FirstYear</f>
        <v>0</v>
      </c>
      <c r="E83" s="112">
        <f>D83+1</f>
        <v>1</v>
      </c>
      <c r="F83" s="112">
        <f>E83+1</f>
        <v>2</v>
      </c>
      <c r="G83" s="112">
        <f>F83+1</f>
        <v>3</v>
      </c>
      <c r="H83" s="112">
        <f>G83+1</f>
        <v>4</v>
      </c>
      <c r="I83" s="112">
        <f>H83+1</f>
        <v>5</v>
      </c>
      <c r="J83" s="19"/>
      <c r="K83" s="19"/>
      <c r="L83" s="19"/>
      <c r="M83" s="51"/>
    </row>
    <row r="84" spans="1:13" outlineLevel="1" x14ac:dyDescent="0.2">
      <c r="A84" s="171"/>
      <c r="B84" s="422">
        <v>1</v>
      </c>
      <c r="C84" s="115" t="s">
        <v>105</v>
      </c>
      <c r="D84" s="396">
        <f t="shared" ref="D84:I84" si="32">INDEX(RPBSScriptsNew,$B76,D77)*INDEX(DPMQCoPayNewEff,$B76,$B84)</f>
        <v>0</v>
      </c>
      <c r="E84" s="396">
        <f t="shared" si="32"/>
        <v>0</v>
      </c>
      <c r="F84" s="396">
        <f t="shared" si="32"/>
        <v>0</v>
      </c>
      <c r="G84" s="396">
        <f t="shared" si="32"/>
        <v>0</v>
      </c>
      <c r="H84" s="396">
        <f t="shared" si="32"/>
        <v>0</v>
      </c>
      <c r="I84" s="396">
        <f t="shared" si="32"/>
        <v>0</v>
      </c>
      <c r="J84" s="19"/>
      <c r="K84" s="19"/>
      <c r="L84" s="19"/>
      <c r="M84" s="51"/>
    </row>
    <row r="85" spans="1:13" outlineLevel="1" x14ac:dyDescent="0.2">
      <c r="A85" s="171"/>
      <c r="B85" s="422">
        <v>4</v>
      </c>
      <c r="C85" s="11" t="s">
        <v>129</v>
      </c>
      <c r="D85" s="396">
        <f t="shared" ref="D85:I85" si="33">INDEX(RPBSScriptsNew,$B76,D77)*(INDEX(DPMQCoPayNewEff,$B76,$B85)/INDEX(CoPayCountNew,$B76))</f>
        <v>0</v>
      </c>
      <c r="E85" s="396">
        <f t="shared" si="33"/>
        <v>0</v>
      </c>
      <c r="F85" s="396">
        <f t="shared" si="33"/>
        <v>0</v>
      </c>
      <c r="G85" s="396">
        <f t="shared" si="33"/>
        <v>0</v>
      </c>
      <c r="H85" s="396">
        <f t="shared" si="33"/>
        <v>0</v>
      </c>
      <c r="I85" s="396">
        <f t="shared" si="33"/>
        <v>0</v>
      </c>
      <c r="J85" s="19"/>
      <c r="K85" s="19"/>
      <c r="L85" s="19"/>
      <c r="M85" s="51"/>
    </row>
    <row r="86" spans="1:13" outlineLevel="1" x14ac:dyDescent="0.2">
      <c r="A86" s="171"/>
      <c r="B86" s="224"/>
      <c r="C86" s="11" t="s">
        <v>107</v>
      </c>
      <c r="D86" s="396">
        <f t="shared" ref="D86:I86" si="34">D84+D85</f>
        <v>0</v>
      </c>
      <c r="E86" s="396">
        <f t="shared" si="34"/>
        <v>0</v>
      </c>
      <c r="F86" s="396">
        <f t="shared" si="34"/>
        <v>0</v>
      </c>
      <c r="G86" s="396">
        <f t="shared" si="34"/>
        <v>0</v>
      </c>
      <c r="H86" s="396">
        <f t="shared" si="34"/>
        <v>0</v>
      </c>
      <c r="I86" s="396">
        <f t="shared" si="34"/>
        <v>0</v>
      </c>
      <c r="J86" s="19"/>
      <c r="K86" s="19"/>
      <c r="L86" s="19"/>
      <c r="M86" s="51"/>
    </row>
    <row r="87" spans="1:13" x14ac:dyDescent="0.2">
      <c r="A87" s="171"/>
      <c r="B87" s="224"/>
      <c r="C87" s="171"/>
      <c r="D87" s="171"/>
      <c r="E87" s="171"/>
      <c r="F87" s="171"/>
      <c r="G87" s="171"/>
      <c r="H87" s="171"/>
      <c r="I87" s="171"/>
      <c r="J87" s="171"/>
      <c r="K87" s="171"/>
      <c r="L87" s="171"/>
      <c r="M87" s="577"/>
    </row>
    <row r="88" spans="1:13" ht="15" x14ac:dyDescent="0.2">
      <c r="A88" s="171"/>
      <c r="B88" s="423">
        <v>6</v>
      </c>
      <c r="C88" s="221" t="str">
        <f>INDEX(PBSScriptsNew,B88,1)</f>
        <v>** NOT USED **</v>
      </c>
      <c r="D88" s="207"/>
      <c r="E88" s="207"/>
      <c r="F88" s="207"/>
      <c r="G88" s="207"/>
      <c r="H88" s="207"/>
      <c r="I88" s="207"/>
      <c r="J88" s="189"/>
      <c r="K88" s="188"/>
      <c r="L88" s="782" t="str">
        <f>IF(C88&lt;&gt;MsgNotUsed,"Co-payment group " &amp; INDEX(CoPayBandMS,B88),"")</f>
        <v/>
      </c>
      <c r="M88" s="782"/>
    </row>
    <row r="89" spans="1:13" outlineLevel="1" x14ac:dyDescent="0.2">
      <c r="A89" s="171"/>
      <c r="B89" s="352">
        <f>INDEX(SANew,B88,5)</f>
        <v>0</v>
      </c>
      <c r="C89" s="20"/>
      <c r="D89" s="419">
        <v>2</v>
      </c>
      <c r="E89" s="419">
        <v>3</v>
      </c>
      <c r="F89" s="201">
        <v>4</v>
      </c>
      <c r="G89" s="201">
        <v>5</v>
      </c>
      <c r="H89" s="201">
        <v>6</v>
      </c>
      <c r="I89" s="201">
        <v>7</v>
      </c>
      <c r="J89" s="19"/>
      <c r="K89" s="19"/>
      <c r="L89" s="19"/>
      <c r="M89" s="19"/>
    </row>
    <row r="90" spans="1:13" outlineLevel="1" x14ac:dyDescent="0.2">
      <c r="A90" s="171"/>
      <c r="B90" s="224"/>
      <c r="C90" s="171"/>
      <c r="D90" s="112">
        <f>FirstYear</f>
        <v>0</v>
      </c>
      <c r="E90" s="112">
        <f>D90+1</f>
        <v>1</v>
      </c>
      <c r="F90" s="112">
        <f>E90+1</f>
        <v>2</v>
      </c>
      <c r="G90" s="112">
        <f>F90+1</f>
        <v>3</v>
      </c>
      <c r="H90" s="112">
        <f>G90+1</f>
        <v>4</v>
      </c>
      <c r="I90" s="112">
        <f>H90+1</f>
        <v>5</v>
      </c>
      <c r="J90" s="171"/>
      <c r="K90" s="171"/>
      <c r="L90" s="171"/>
      <c r="M90" s="176"/>
    </row>
    <row r="91" spans="1:13" outlineLevel="1" x14ac:dyDescent="0.2">
      <c r="A91" s="171"/>
      <c r="B91" s="422">
        <v>1</v>
      </c>
      <c r="C91" s="115" t="s">
        <v>104</v>
      </c>
      <c r="D91" s="396">
        <f t="shared" ref="D91:I91" si="35">INDEX(PBSScriptsNew,$B88,D89)*INDEX(DPMQCoPayNewEff,$B88,$B91)</f>
        <v>0</v>
      </c>
      <c r="E91" s="396">
        <f t="shared" si="35"/>
        <v>0</v>
      </c>
      <c r="F91" s="396">
        <f t="shared" si="35"/>
        <v>0</v>
      </c>
      <c r="G91" s="396">
        <f t="shared" si="35"/>
        <v>0</v>
      </c>
      <c r="H91" s="396">
        <f t="shared" si="35"/>
        <v>0</v>
      </c>
      <c r="I91" s="396">
        <f t="shared" si="35"/>
        <v>0</v>
      </c>
      <c r="J91" s="171"/>
      <c r="K91" s="171"/>
      <c r="L91" s="171"/>
      <c r="M91" s="176"/>
    </row>
    <row r="92" spans="1:13" outlineLevel="1" x14ac:dyDescent="0.2">
      <c r="A92" s="171"/>
      <c r="B92" s="422">
        <v>3</v>
      </c>
      <c r="C92" s="11" t="s">
        <v>129</v>
      </c>
      <c r="D92" s="396">
        <f t="shared" ref="D92:I92" si="36">INDEX(PBSScriptsNew,$B88,D89)*(INDEX(DPMQCoPayNewEff,$B88,$B92)/INDEX(CoPayCountNew,$B88))</f>
        <v>0</v>
      </c>
      <c r="E92" s="396">
        <f t="shared" si="36"/>
        <v>0</v>
      </c>
      <c r="F92" s="396">
        <f t="shared" si="36"/>
        <v>0</v>
      </c>
      <c r="G92" s="396">
        <f t="shared" si="36"/>
        <v>0</v>
      </c>
      <c r="H92" s="396">
        <f t="shared" si="36"/>
        <v>0</v>
      </c>
      <c r="I92" s="396">
        <f t="shared" si="36"/>
        <v>0</v>
      </c>
      <c r="J92" s="171"/>
      <c r="K92" s="763" t="str">
        <f>IF(B89&lt;&gt;0,MsgNote&amp;IF(B89="Yes",INDEX(CoPayMethod,1),INDEX(CoPayMethod,2)),"")</f>
        <v/>
      </c>
      <c r="L92" s="763"/>
      <c r="M92" s="763"/>
    </row>
    <row r="93" spans="1:13" outlineLevel="1" x14ac:dyDescent="0.2">
      <c r="A93" s="171"/>
      <c r="B93" s="224"/>
      <c r="C93" s="11" t="s">
        <v>106</v>
      </c>
      <c r="D93" s="396">
        <f t="shared" ref="D93:I93" si="37">D91+D92</f>
        <v>0</v>
      </c>
      <c r="E93" s="396">
        <f t="shared" si="37"/>
        <v>0</v>
      </c>
      <c r="F93" s="396">
        <f t="shared" si="37"/>
        <v>0</v>
      </c>
      <c r="G93" s="396">
        <f t="shared" si="37"/>
        <v>0</v>
      </c>
      <c r="H93" s="396">
        <f t="shared" si="37"/>
        <v>0</v>
      </c>
      <c r="I93" s="396">
        <f t="shared" si="37"/>
        <v>0</v>
      </c>
      <c r="J93" s="171"/>
      <c r="K93" s="171"/>
      <c r="L93" s="171"/>
      <c r="M93" s="176"/>
    </row>
    <row r="94" spans="1:13" outlineLevel="1" x14ac:dyDescent="0.2">
      <c r="A94" s="171"/>
      <c r="B94" s="202"/>
      <c r="C94" s="171"/>
      <c r="D94" s="171"/>
      <c r="E94" s="171"/>
      <c r="F94" s="171"/>
      <c r="G94" s="171"/>
      <c r="H94" s="171"/>
      <c r="I94" s="171"/>
      <c r="J94" s="171"/>
      <c r="K94" s="171"/>
      <c r="L94" s="171"/>
      <c r="M94" s="176"/>
    </row>
    <row r="95" spans="1:13" ht="15.75" outlineLevel="1" x14ac:dyDescent="0.2">
      <c r="A95" s="171"/>
      <c r="B95" s="202"/>
      <c r="C95" s="193"/>
      <c r="D95" s="112">
        <f>FirstYear</f>
        <v>0</v>
      </c>
      <c r="E95" s="112">
        <f>D95+1</f>
        <v>1</v>
      </c>
      <c r="F95" s="112">
        <f>E95+1</f>
        <v>2</v>
      </c>
      <c r="G95" s="112">
        <f>F95+1</f>
        <v>3</v>
      </c>
      <c r="H95" s="112">
        <f>G95+1</f>
        <v>4</v>
      </c>
      <c r="I95" s="112">
        <f>H95+1</f>
        <v>5</v>
      </c>
      <c r="J95" s="171"/>
      <c r="K95" s="171"/>
      <c r="L95" s="171"/>
      <c r="M95" s="176"/>
    </row>
    <row r="96" spans="1:13" outlineLevel="1" x14ac:dyDescent="0.2">
      <c r="A96" s="171"/>
      <c r="B96" s="422">
        <v>1</v>
      </c>
      <c r="C96" s="115" t="s">
        <v>105</v>
      </c>
      <c r="D96" s="396">
        <f t="shared" ref="D96:I96" si="38">INDEX(RPBSScriptsNew,$B88,D89)*INDEX(DPMQCoPayNewEff,$B88,$B96)</f>
        <v>0</v>
      </c>
      <c r="E96" s="396">
        <f t="shared" si="38"/>
        <v>0</v>
      </c>
      <c r="F96" s="396">
        <f t="shared" si="38"/>
        <v>0</v>
      </c>
      <c r="G96" s="396">
        <f t="shared" si="38"/>
        <v>0</v>
      </c>
      <c r="H96" s="396">
        <f t="shared" si="38"/>
        <v>0</v>
      </c>
      <c r="I96" s="396">
        <f t="shared" si="38"/>
        <v>0</v>
      </c>
      <c r="J96" s="171"/>
      <c r="K96" s="171"/>
      <c r="L96" s="171"/>
      <c r="M96" s="176"/>
    </row>
    <row r="97" spans="1:13" outlineLevel="1" x14ac:dyDescent="0.2">
      <c r="A97" s="171"/>
      <c r="B97" s="422">
        <v>4</v>
      </c>
      <c r="C97" s="11" t="s">
        <v>129</v>
      </c>
      <c r="D97" s="396">
        <f t="shared" ref="D97:I97" si="39">INDEX(RPBSScriptsNew,$B88,D89)*(INDEX(DPMQCoPayNewEff,$B88,$B97)/INDEX(CoPayCountNew,$B88))</f>
        <v>0</v>
      </c>
      <c r="E97" s="396">
        <f t="shared" si="39"/>
        <v>0</v>
      </c>
      <c r="F97" s="396">
        <f t="shared" si="39"/>
        <v>0</v>
      </c>
      <c r="G97" s="396">
        <f t="shared" si="39"/>
        <v>0</v>
      </c>
      <c r="H97" s="396">
        <f t="shared" si="39"/>
        <v>0</v>
      </c>
      <c r="I97" s="396">
        <f t="shared" si="39"/>
        <v>0</v>
      </c>
      <c r="J97" s="171"/>
      <c r="K97" s="171"/>
      <c r="L97" s="171"/>
      <c r="M97" s="176"/>
    </row>
    <row r="98" spans="1:13" outlineLevel="1" x14ac:dyDescent="0.2">
      <c r="A98" s="171"/>
      <c r="B98" s="224"/>
      <c r="C98" s="11" t="s">
        <v>107</v>
      </c>
      <c r="D98" s="396">
        <f t="shared" ref="D98:I98" si="40">D96+D97</f>
        <v>0</v>
      </c>
      <c r="E98" s="396">
        <f t="shared" si="40"/>
        <v>0</v>
      </c>
      <c r="F98" s="396">
        <f t="shared" si="40"/>
        <v>0</v>
      </c>
      <c r="G98" s="396">
        <f t="shared" si="40"/>
        <v>0</v>
      </c>
      <c r="H98" s="396">
        <f t="shared" si="40"/>
        <v>0</v>
      </c>
      <c r="I98" s="396">
        <f t="shared" si="40"/>
        <v>0</v>
      </c>
      <c r="J98" s="171"/>
      <c r="K98" s="171"/>
      <c r="L98" s="171"/>
      <c r="M98" s="176"/>
    </row>
    <row r="99" spans="1:13" x14ac:dyDescent="0.2">
      <c r="A99" s="171"/>
      <c r="B99" s="224"/>
      <c r="C99" s="171"/>
      <c r="D99" s="171"/>
      <c r="E99" s="171"/>
      <c r="F99" s="171"/>
      <c r="G99" s="171"/>
      <c r="H99" s="171"/>
      <c r="I99" s="171"/>
      <c r="J99" s="171"/>
      <c r="K99" s="171"/>
      <c r="L99" s="171"/>
      <c r="M99" s="577"/>
    </row>
    <row r="100" spans="1:13" ht="15" x14ac:dyDescent="0.2">
      <c r="A100" s="171"/>
      <c r="B100" s="423">
        <v>7</v>
      </c>
      <c r="C100" s="221" t="str">
        <f>INDEX(PBSScriptsNew,B100,1)</f>
        <v>** NOT USED **</v>
      </c>
      <c r="D100" s="207"/>
      <c r="E100" s="207"/>
      <c r="F100" s="207"/>
      <c r="G100" s="207"/>
      <c r="H100" s="207"/>
      <c r="I100" s="207"/>
      <c r="J100" s="189"/>
      <c r="K100" s="188"/>
      <c r="L100" s="782" t="str">
        <f>IF(C100&lt;&gt;MsgNotUsed,"Co-payment group " &amp; INDEX(CoPayBandMS,B100),"")</f>
        <v/>
      </c>
      <c r="M100" s="782"/>
    </row>
    <row r="101" spans="1:13" outlineLevel="1" x14ac:dyDescent="0.2">
      <c r="A101" s="171"/>
      <c r="B101" s="352">
        <f>INDEX(SANew,B100,5)</f>
        <v>0</v>
      </c>
      <c r="C101" s="20"/>
      <c r="D101" s="419">
        <v>2</v>
      </c>
      <c r="E101" s="419">
        <v>3</v>
      </c>
      <c r="F101" s="201">
        <v>4</v>
      </c>
      <c r="G101" s="201">
        <v>5</v>
      </c>
      <c r="H101" s="201">
        <v>6</v>
      </c>
      <c r="I101" s="201">
        <v>7</v>
      </c>
      <c r="J101" s="19"/>
      <c r="K101" s="19"/>
      <c r="L101" s="19"/>
      <c r="M101" s="19"/>
    </row>
    <row r="102" spans="1:13" outlineLevel="1" x14ac:dyDescent="0.2">
      <c r="A102" s="171"/>
      <c r="B102" s="224"/>
      <c r="C102" s="171"/>
      <c r="D102" s="112">
        <f>FirstYear</f>
        <v>0</v>
      </c>
      <c r="E102" s="112">
        <f>D102+1</f>
        <v>1</v>
      </c>
      <c r="F102" s="112">
        <f>E102+1</f>
        <v>2</v>
      </c>
      <c r="G102" s="112">
        <f>F102+1</f>
        <v>3</v>
      </c>
      <c r="H102" s="112">
        <f>G102+1</f>
        <v>4</v>
      </c>
      <c r="I102" s="112">
        <f>H102+1</f>
        <v>5</v>
      </c>
      <c r="J102" s="171"/>
      <c r="K102" s="171"/>
      <c r="L102" s="171"/>
      <c r="M102" s="176"/>
    </row>
    <row r="103" spans="1:13" outlineLevel="1" x14ac:dyDescent="0.2">
      <c r="A103" s="171"/>
      <c r="B103" s="422">
        <v>1</v>
      </c>
      <c r="C103" s="115" t="s">
        <v>104</v>
      </c>
      <c r="D103" s="396">
        <f t="shared" ref="D103:I103" si="41">INDEX(PBSScriptsNew,$B100,D101)*INDEX(DPMQCoPayNewEff,$B100,$B103)</f>
        <v>0</v>
      </c>
      <c r="E103" s="396">
        <f t="shared" si="41"/>
        <v>0</v>
      </c>
      <c r="F103" s="396">
        <f t="shared" si="41"/>
        <v>0</v>
      </c>
      <c r="G103" s="396">
        <f t="shared" si="41"/>
        <v>0</v>
      </c>
      <c r="H103" s="396">
        <f t="shared" si="41"/>
        <v>0</v>
      </c>
      <c r="I103" s="396">
        <f t="shared" si="41"/>
        <v>0</v>
      </c>
      <c r="J103" s="171"/>
      <c r="K103" s="171"/>
      <c r="L103" s="171"/>
      <c r="M103" s="176"/>
    </row>
    <row r="104" spans="1:13" outlineLevel="1" x14ac:dyDescent="0.2">
      <c r="A104" s="171"/>
      <c r="B104" s="422">
        <v>3</v>
      </c>
      <c r="C104" s="11" t="s">
        <v>129</v>
      </c>
      <c r="D104" s="396">
        <f t="shared" ref="D104:I104" si="42">INDEX(PBSScriptsNew,$B100,D101)*(INDEX(DPMQCoPayNewEff,$B100,$B104)/INDEX(CoPayCountNew,$B100))</f>
        <v>0</v>
      </c>
      <c r="E104" s="396">
        <f t="shared" si="42"/>
        <v>0</v>
      </c>
      <c r="F104" s="396">
        <f t="shared" si="42"/>
        <v>0</v>
      </c>
      <c r="G104" s="396">
        <f t="shared" si="42"/>
        <v>0</v>
      </c>
      <c r="H104" s="396">
        <f t="shared" si="42"/>
        <v>0</v>
      </c>
      <c r="I104" s="396">
        <f t="shared" si="42"/>
        <v>0</v>
      </c>
      <c r="J104" s="171"/>
      <c r="K104" s="763" t="str">
        <f>IF(B101&lt;&gt;0,MsgNote&amp;IF(B101="Yes",INDEX(CoPayMethod,1),INDEX(CoPayMethod,2)),"")</f>
        <v/>
      </c>
      <c r="L104" s="763"/>
      <c r="M104" s="763"/>
    </row>
    <row r="105" spans="1:13" outlineLevel="1" x14ac:dyDescent="0.2">
      <c r="A105" s="171"/>
      <c r="B105" s="224"/>
      <c r="C105" s="11" t="s">
        <v>106</v>
      </c>
      <c r="D105" s="396">
        <f t="shared" ref="D105:I105" si="43">D103+D104</f>
        <v>0</v>
      </c>
      <c r="E105" s="396">
        <f t="shared" si="43"/>
        <v>0</v>
      </c>
      <c r="F105" s="396">
        <f t="shared" si="43"/>
        <v>0</v>
      </c>
      <c r="G105" s="396">
        <f t="shared" si="43"/>
        <v>0</v>
      </c>
      <c r="H105" s="396">
        <f t="shared" si="43"/>
        <v>0</v>
      </c>
      <c r="I105" s="396">
        <f t="shared" si="43"/>
        <v>0</v>
      </c>
      <c r="J105" s="171"/>
      <c r="K105" s="171"/>
      <c r="L105" s="171"/>
      <c r="M105" s="176"/>
    </row>
    <row r="106" spans="1:13" outlineLevel="1" x14ac:dyDescent="0.2">
      <c r="A106" s="171"/>
      <c r="B106" s="202"/>
      <c r="C106" s="171"/>
      <c r="D106" s="171"/>
      <c r="E106" s="171"/>
      <c r="F106" s="171"/>
      <c r="G106" s="171"/>
      <c r="H106" s="171"/>
      <c r="I106" s="171"/>
      <c r="J106" s="171"/>
      <c r="K106" s="171"/>
      <c r="L106" s="171"/>
      <c r="M106" s="176"/>
    </row>
    <row r="107" spans="1:13" ht="15.75" outlineLevel="1" x14ac:dyDescent="0.2">
      <c r="A107" s="171"/>
      <c r="B107" s="202"/>
      <c r="C107" s="193"/>
      <c r="D107" s="112">
        <f>FirstYear</f>
        <v>0</v>
      </c>
      <c r="E107" s="112">
        <f>D107+1</f>
        <v>1</v>
      </c>
      <c r="F107" s="112">
        <f>E107+1</f>
        <v>2</v>
      </c>
      <c r="G107" s="112">
        <f>F107+1</f>
        <v>3</v>
      </c>
      <c r="H107" s="112">
        <f>G107+1</f>
        <v>4</v>
      </c>
      <c r="I107" s="112">
        <f>H107+1</f>
        <v>5</v>
      </c>
      <c r="J107" s="171"/>
      <c r="K107" s="171"/>
      <c r="L107" s="171"/>
      <c r="M107" s="176"/>
    </row>
    <row r="108" spans="1:13" outlineLevel="1" x14ac:dyDescent="0.2">
      <c r="A108" s="171"/>
      <c r="B108" s="422">
        <v>1</v>
      </c>
      <c r="C108" s="115" t="s">
        <v>105</v>
      </c>
      <c r="D108" s="396">
        <f t="shared" ref="D108:I108" si="44">INDEX(RPBSScriptsNew,$B100,D101)*INDEX(DPMQCoPayNewEff,$B100,$B108)</f>
        <v>0</v>
      </c>
      <c r="E108" s="396">
        <f t="shared" si="44"/>
        <v>0</v>
      </c>
      <c r="F108" s="396">
        <f t="shared" si="44"/>
        <v>0</v>
      </c>
      <c r="G108" s="396">
        <f t="shared" si="44"/>
        <v>0</v>
      </c>
      <c r="H108" s="396">
        <f t="shared" si="44"/>
        <v>0</v>
      </c>
      <c r="I108" s="396">
        <f t="shared" si="44"/>
        <v>0</v>
      </c>
      <c r="J108" s="171"/>
      <c r="K108" s="171"/>
      <c r="L108" s="171"/>
      <c r="M108" s="176"/>
    </row>
    <row r="109" spans="1:13" outlineLevel="1" x14ac:dyDescent="0.2">
      <c r="A109" s="171"/>
      <c r="B109" s="422">
        <v>4</v>
      </c>
      <c r="C109" s="11" t="s">
        <v>129</v>
      </c>
      <c r="D109" s="396">
        <f t="shared" ref="D109:I109" si="45">INDEX(RPBSScriptsNew,$B100,D101)*(INDEX(DPMQCoPayNewEff,$B100,$B109)/INDEX(CoPayCountNew,$B100))</f>
        <v>0</v>
      </c>
      <c r="E109" s="396">
        <f t="shared" si="45"/>
        <v>0</v>
      </c>
      <c r="F109" s="396">
        <f t="shared" si="45"/>
        <v>0</v>
      </c>
      <c r="G109" s="396">
        <f t="shared" si="45"/>
        <v>0</v>
      </c>
      <c r="H109" s="396">
        <f t="shared" si="45"/>
        <v>0</v>
      </c>
      <c r="I109" s="396">
        <f t="shared" si="45"/>
        <v>0</v>
      </c>
      <c r="J109" s="171"/>
      <c r="K109" s="171"/>
      <c r="L109" s="171"/>
      <c r="M109" s="176"/>
    </row>
    <row r="110" spans="1:13" outlineLevel="1" x14ac:dyDescent="0.2">
      <c r="A110" s="171"/>
      <c r="B110" s="224"/>
      <c r="C110" s="11" t="s">
        <v>107</v>
      </c>
      <c r="D110" s="396">
        <f t="shared" ref="D110:I110" si="46">D108+D109</f>
        <v>0</v>
      </c>
      <c r="E110" s="396">
        <f t="shared" si="46"/>
        <v>0</v>
      </c>
      <c r="F110" s="396">
        <f t="shared" si="46"/>
        <v>0</v>
      </c>
      <c r="G110" s="396">
        <f t="shared" si="46"/>
        <v>0</v>
      </c>
      <c r="H110" s="396">
        <f t="shared" si="46"/>
        <v>0</v>
      </c>
      <c r="I110" s="396">
        <f t="shared" si="46"/>
        <v>0</v>
      </c>
      <c r="J110" s="171"/>
      <c r="K110" s="171"/>
      <c r="L110" s="171"/>
      <c r="M110" s="176"/>
    </row>
    <row r="111" spans="1:13" x14ac:dyDescent="0.2">
      <c r="A111" s="171"/>
      <c r="B111" s="224"/>
      <c r="C111" s="171"/>
      <c r="D111" s="171"/>
      <c r="E111" s="171"/>
      <c r="F111" s="171"/>
      <c r="G111" s="171"/>
      <c r="H111" s="171"/>
      <c r="I111" s="171"/>
      <c r="J111" s="171"/>
      <c r="K111" s="171"/>
      <c r="L111" s="171"/>
      <c r="M111" s="577"/>
    </row>
    <row r="112" spans="1:13" ht="15" x14ac:dyDescent="0.2">
      <c r="A112" s="171"/>
      <c r="B112" s="423">
        <v>8</v>
      </c>
      <c r="C112" s="221" t="str">
        <f>INDEX(PBSScriptsNew,B112,1)</f>
        <v>** NOT USED **</v>
      </c>
      <c r="D112" s="207"/>
      <c r="E112" s="207"/>
      <c r="F112" s="207"/>
      <c r="G112" s="207"/>
      <c r="H112" s="207"/>
      <c r="I112" s="207"/>
      <c r="J112" s="189"/>
      <c r="K112" s="188"/>
      <c r="L112" s="782" t="str">
        <f>IF(C112&lt;&gt;MsgNotUsed,"Co-payment group " &amp; INDEX(CoPayBandMS,B112),"")</f>
        <v/>
      </c>
      <c r="M112" s="782"/>
    </row>
    <row r="113" spans="1:13" outlineLevel="1" x14ac:dyDescent="0.2">
      <c r="A113" s="171"/>
      <c r="B113" s="352">
        <f>INDEX(SANew,B112,5)</f>
        <v>0</v>
      </c>
      <c r="C113" s="20"/>
      <c r="D113" s="419">
        <v>2</v>
      </c>
      <c r="E113" s="419">
        <v>3</v>
      </c>
      <c r="F113" s="201">
        <v>4</v>
      </c>
      <c r="G113" s="201">
        <v>5</v>
      </c>
      <c r="H113" s="201">
        <v>6</v>
      </c>
      <c r="I113" s="201">
        <v>7</v>
      </c>
      <c r="J113" s="19"/>
      <c r="K113" s="19"/>
      <c r="L113" s="19"/>
      <c r="M113" s="19"/>
    </row>
    <row r="114" spans="1:13" outlineLevel="1" x14ac:dyDescent="0.2">
      <c r="A114" s="171"/>
      <c r="B114" s="224"/>
      <c r="C114" s="171"/>
      <c r="D114" s="112">
        <f>FirstYear</f>
        <v>0</v>
      </c>
      <c r="E114" s="112">
        <f>D114+1</f>
        <v>1</v>
      </c>
      <c r="F114" s="112">
        <f>E114+1</f>
        <v>2</v>
      </c>
      <c r="G114" s="112">
        <f>F114+1</f>
        <v>3</v>
      </c>
      <c r="H114" s="112">
        <f>G114+1</f>
        <v>4</v>
      </c>
      <c r="I114" s="112">
        <f>H114+1</f>
        <v>5</v>
      </c>
      <c r="J114" s="171"/>
      <c r="K114" s="171"/>
      <c r="L114" s="171"/>
      <c r="M114" s="176"/>
    </row>
    <row r="115" spans="1:13" outlineLevel="1" x14ac:dyDescent="0.2">
      <c r="A115" s="171"/>
      <c r="B115" s="422">
        <v>1</v>
      </c>
      <c r="C115" s="115" t="s">
        <v>104</v>
      </c>
      <c r="D115" s="396">
        <f t="shared" ref="D115:I115" si="47">INDEX(PBSScriptsNew,$B112,D113)*INDEX(DPMQCoPayNewEff,$B112,$B115)</f>
        <v>0</v>
      </c>
      <c r="E115" s="396">
        <f t="shared" si="47"/>
        <v>0</v>
      </c>
      <c r="F115" s="396">
        <f t="shared" si="47"/>
        <v>0</v>
      </c>
      <c r="G115" s="396">
        <f t="shared" si="47"/>
        <v>0</v>
      </c>
      <c r="H115" s="396">
        <f t="shared" si="47"/>
        <v>0</v>
      </c>
      <c r="I115" s="396">
        <f t="shared" si="47"/>
        <v>0</v>
      </c>
      <c r="J115" s="171"/>
      <c r="K115" s="171"/>
      <c r="L115" s="171"/>
      <c r="M115" s="176"/>
    </row>
    <row r="116" spans="1:13" outlineLevel="1" x14ac:dyDescent="0.2">
      <c r="A116" s="171"/>
      <c r="B116" s="422">
        <v>3</v>
      </c>
      <c r="C116" s="11" t="s">
        <v>129</v>
      </c>
      <c r="D116" s="396">
        <f t="shared" ref="D116:I116" si="48">INDEX(PBSScriptsNew,$B112,D113)*(INDEX(DPMQCoPayNewEff,$B112,$B116)/INDEX(CoPayCountNew,$B112))</f>
        <v>0</v>
      </c>
      <c r="E116" s="396">
        <f t="shared" si="48"/>
        <v>0</v>
      </c>
      <c r="F116" s="396">
        <f t="shared" si="48"/>
        <v>0</v>
      </c>
      <c r="G116" s="396">
        <f t="shared" si="48"/>
        <v>0</v>
      </c>
      <c r="H116" s="396">
        <f t="shared" si="48"/>
        <v>0</v>
      </c>
      <c r="I116" s="396">
        <f t="shared" si="48"/>
        <v>0</v>
      </c>
      <c r="J116" s="171"/>
      <c r="K116" s="763" t="str">
        <f>IF(B113&lt;&gt;0,MsgNote&amp;IF(B113="Yes",INDEX(CoPayMethod,1),INDEX(CoPayMethod,2)),"")</f>
        <v/>
      </c>
      <c r="L116" s="763"/>
      <c r="M116" s="763"/>
    </row>
    <row r="117" spans="1:13" outlineLevel="1" x14ac:dyDescent="0.2">
      <c r="A117" s="171"/>
      <c r="B117" s="224"/>
      <c r="C117" s="11" t="s">
        <v>106</v>
      </c>
      <c r="D117" s="396">
        <f t="shared" ref="D117:I117" si="49">D115+D116</f>
        <v>0</v>
      </c>
      <c r="E117" s="396">
        <f t="shared" si="49"/>
        <v>0</v>
      </c>
      <c r="F117" s="396">
        <f t="shared" si="49"/>
        <v>0</v>
      </c>
      <c r="G117" s="396">
        <f t="shared" si="49"/>
        <v>0</v>
      </c>
      <c r="H117" s="396">
        <f t="shared" si="49"/>
        <v>0</v>
      </c>
      <c r="I117" s="396">
        <f t="shared" si="49"/>
        <v>0</v>
      </c>
      <c r="J117" s="171"/>
      <c r="K117" s="171"/>
      <c r="L117" s="171"/>
      <c r="M117" s="176"/>
    </row>
    <row r="118" spans="1:13" outlineLevel="1" x14ac:dyDescent="0.2">
      <c r="A118" s="171"/>
      <c r="B118" s="202"/>
      <c r="C118" s="171"/>
      <c r="D118" s="171"/>
      <c r="E118" s="171"/>
      <c r="F118" s="171"/>
      <c r="G118" s="171"/>
      <c r="H118" s="171"/>
      <c r="I118" s="171"/>
      <c r="J118" s="171"/>
      <c r="K118" s="171"/>
      <c r="L118" s="171"/>
      <c r="M118" s="176"/>
    </row>
    <row r="119" spans="1:13" ht="15.75" outlineLevel="1" x14ac:dyDescent="0.2">
      <c r="A119" s="171"/>
      <c r="B119" s="202"/>
      <c r="C119" s="193"/>
      <c r="D119" s="112">
        <f>FirstYear</f>
        <v>0</v>
      </c>
      <c r="E119" s="112">
        <f>D119+1</f>
        <v>1</v>
      </c>
      <c r="F119" s="112">
        <f>E119+1</f>
        <v>2</v>
      </c>
      <c r="G119" s="112">
        <f>F119+1</f>
        <v>3</v>
      </c>
      <c r="H119" s="112">
        <f>G119+1</f>
        <v>4</v>
      </c>
      <c r="I119" s="112">
        <f>H119+1</f>
        <v>5</v>
      </c>
      <c r="J119" s="171"/>
      <c r="K119" s="171"/>
      <c r="L119" s="171"/>
      <c r="M119" s="176"/>
    </row>
    <row r="120" spans="1:13" outlineLevel="1" x14ac:dyDescent="0.2">
      <c r="A120" s="171"/>
      <c r="B120" s="422">
        <v>1</v>
      </c>
      <c r="C120" s="115" t="s">
        <v>105</v>
      </c>
      <c r="D120" s="396">
        <f t="shared" ref="D120:I120" si="50">INDEX(RPBSScriptsNew,$B112,D113)*INDEX(DPMQCoPayNewEff,$B112,$B120)</f>
        <v>0</v>
      </c>
      <c r="E120" s="396">
        <f t="shared" si="50"/>
        <v>0</v>
      </c>
      <c r="F120" s="396">
        <f t="shared" si="50"/>
        <v>0</v>
      </c>
      <c r="G120" s="396">
        <f t="shared" si="50"/>
        <v>0</v>
      </c>
      <c r="H120" s="396">
        <f t="shared" si="50"/>
        <v>0</v>
      </c>
      <c r="I120" s="396">
        <f t="shared" si="50"/>
        <v>0</v>
      </c>
      <c r="J120" s="171"/>
      <c r="K120" s="171"/>
      <c r="L120" s="171"/>
      <c r="M120" s="176"/>
    </row>
    <row r="121" spans="1:13" outlineLevel="1" x14ac:dyDescent="0.2">
      <c r="A121" s="171"/>
      <c r="B121" s="422">
        <v>4</v>
      </c>
      <c r="C121" s="11" t="s">
        <v>129</v>
      </c>
      <c r="D121" s="396">
        <f t="shared" ref="D121:I121" si="51">INDEX(RPBSScriptsNew,$B112,D113)*(INDEX(DPMQCoPayNewEff,$B112,$B121)/INDEX(CoPayCountNew,$B112))</f>
        <v>0</v>
      </c>
      <c r="E121" s="396">
        <f t="shared" si="51"/>
        <v>0</v>
      </c>
      <c r="F121" s="396">
        <f t="shared" si="51"/>
        <v>0</v>
      </c>
      <c r="G121" s="396">
        <f t="shared" si="51"/>
        <v>0</v>
      </c>
      <c r="H121" s="396">
        <f t="shared" si="51"/>
        <v>0</v>
      </c>
      <c r="I121" s="396">
        <f t="shared" si="51"/>
        <v>0</v>
      </c>
      <c r="J121" s="171"/>
      <c r="K121" s="171"/>
      <c r="L121" s="171"/>
      <c r="M121" s="176"/>
    </row>
    <row r="122" spans="1:13" outlineLevel="1" x14ac:dyDescent="0.2">
      <c r="A122" s="171"/>
      <c r="B122" s="224"/>
      <c r="C122" s="11" t="s">
        <v>107</v>
      </c>
      <c r="D122" s="396">
        <f t="shared" ref="D122:I122" si="52">D120+D121</f>
        <v>0</v>
      </c>
      <c r="E122" s="396">
        <f t="shared" si="52"/>
        <v>0</v>
      </c>
      <c r="F122" s="396">
        <f t="shared" si="52"/>
        <v>0</v>
      </c>
      <c r="G122" s="396">
        <f t="shared" si="52"/>
        <v>0</v>
      </c>
      <c r="H122" s="396">
        <f t="shared" si="52"/>
        <v>0</v>
      </c>
      <c r="I122" s="396">
        <f t="shared" si="52"/>
        <v>0</v>
      </c>
      <c r="J122" s="171"/>
      <c r="K122" s="171"/>
      <c r="L122" s="171"/>
      <c r="M122" s="176"/>
    </row>
    <row r="123" spans="1:13" x14ac:dyDescent="0.2">
      <c r="A123" s="171"/>
      <c r="B123" s="224"/>
      <c r="C123" s="171"/>
      <c r="D123" s="171"/>
      <c r="E123" s="171"/>
      <c r="F123" s="171"/>
      <c r="G123" s="171"/>
      <c r="H123" s="171"/>
      <c r="I123" s="171"/>
      <c r="J123" s="171"/>
      <c r="K123" s="171"/>
      <c r="L123" s="171"/>
      <c r="M123" s="577"/>
    </row>
    <row r="124" spans="1:13" ht="15" x14ac:dyDescent="0.2">
      <c r="A124" s="171"/>
      <c r="B124" s="423">
        <v>9</v>
      </c>
      <c r="C124" s="221" t="str">
        <f>INDEX(PBSScriptsNew,B124,1)</f>
        <v>** NOT USED **</v>
      </c>
      <c r="D124" s="207"/>
      <c r="E124" s="207"/>
      <c r="F124" s="207"/>
      <c r="G124" s="207"/>
      <c r="H124" s="207"/>
      <c r="I124" s="207"/>
      <c r="J124" s="189"/>
      <c r="K124" s="188"/>
      <c r="L124" s="782" t="str">
        <f>IF(C124&lt;&gt;MsgNotUsed,"Co-payment group " &amp; INDEX(CoPayBandMS,B124),"")</f>
        <v/>
      </c>
      <c r="M124" s="782"/>
    </row>
    <row r="125" spans="1:13" outlineLevel="1" x14ac:dyDescent="0.2">
      <c r="A125" s="171"/>
      <c r="B125" s="352">
        <f>INDEX(SANew,B124,5)</f>
        <v>0</v>
      </c>
      <c r="C125" s="20"/>
      <c r="D125" s="419">
        <v>2</v>
      </c>
      <c r="E125" s="419">
        <v>3</v>
      </c>
      <c r="F125" s="201">
        <v>4</v>
      </c>
      <c r="G125" s="201">
        <v>5</v>
      </c>
      <c r="H125" s="201">
        <v>6</v>
      </c>
      <c r="I125" s="201">
        <v>7</v>
      </c>
      <c r="J125" s="19"/>
      <c r="K125" s="19"/>
      <c r="L125" s="19"/>
      <c r="M125" s="19"/>
    </row>
    <row r="126" spans="1:13" outlineLevel="1" x14ac:dyDescent="0.2">
      <c r="A126" s="171"/>
      <c r="B126" s="224"/>
      <c r="C126" s="171"/>
      <c r="D126" s="112">
        <f>FirstYear</f>
        <v>0</v>
      </c>
      <c r="E126" s="112">
        <f>D126+1</f>
        <v>1</v>
      </c>
      <c r="F126" s="112">
        <f>E126+1</f>
        <v>2</v>
      </c>
      <c r="G126" s="112">
        <f>F126+1</f>
        <v>3</v>
      </c>
      <c r="H126" s="112">
        <f>G126+1</f>
        <v>4</v>
      </c>
      <c r="I126" s="112">
        <f>H126+1</f>
        <v>5</v>
      </c>
      <c r="J126" s="171"/>
      <c r="K126" s="171"/>
      <c r="L126" s="171"/>
      <c r="M126" s="171"/>
    </row>
    <row r="127" spans="1:13" outlineLevel="1" x14ac:dyDescent="0.2">
      <c r="A127" s="171"/>
      <c r="B127" s="422">
        <v>1</v>
      </c>
      <c r="C127" s="115" t="s">
        <v>104</v>
      </c>
      <c r="D127" s="396">
        <f t="shared" ref="D127:I127" si="53">INDEX(PBSScriptsNew,$B124,D125)*INDEX(DPMQCoPayNewEff,$B124,$B127)</f>
        <v>0</v>
      </c>
      <c r="E127" s="396">
        <f t="shared" si="53"/>
        <v>0</v>
      </c>
      <c r="F127" s="396">
        <f t="shared" si="53"/>
        <v>0</v>
      </c>
      <c r="G127" s="396">
        <f t="shared" si="53"/>
        <v>0</v>
      </c>
      <c r="H127" s="396">
        <f t="shared" si="53"/>
        <v>0</v>
      </c>
      <c r="I127" s="396">
        <f t="shared" si="53"/>
        <v>0</v>
      </c>
      <c r="J127" s="171"/>
      <c r="K127" s="171"/>
      <c r="L127" s="171"/>
      <c r="M127" s="171"/>
    </row>
    <row r="128" spans="1:13" outlineLevel="1" x14ac:dyDescent="0.2">
      <c r="A128" s="171"/>
      <c r="B128" s="422">
        <v>3</v>
      </c>
      <c r="C128" s="11" t="s">
        <v>129</v>
      </c>
      <c r="D128" s="396">
        <f t="shared" ref="D128:I128" si="54">INDEX(PBSScriptsNew,$B124,D125)*(INDEX(DPMQCoPayNewEff,$B124,$B128)/INDEX(CoPayCountNew,$B124))</f>
        <v>0</v>
      </c>
      <c r="E128" s="396">
        <f t="shared" si="54"/>
        <v>0</v>
      </c>
      <c r="F128" s="396">
        <f t="shared" si="54"/>
        <v>0</v>
      </c>
      <c r="G128" s="396">
        <f t="shared" si="54"/>
        <v>0</v>
      </c>
      <c r="H128" s="396">
        <f t="shared" si="54"/>
        <v>0</v>
      </c>
      <c r="I128" s="396">
        <f t="shared" si="54"/>
        <v>0</v>
      </c>
      <c r="J128" s="171"/>
      <c r="K128" s="763" t="str">
        <f>IF(B125&lt;&gt;0,MsgNote&amp;IF(B125="Yes",INDEX(CoPayMethod,1),INDEX(CoPayMethod,2)),"")</f>
        <v/>
      </c>
      <c r="L128" s="763"/>
      <c r="M128" s="763"/>
    </row>
    <row r="129" spans="1:13" outlineLevel="1" x14ac:dyDescent="0.2">
      <c r="A129" s="171"/>
      <c r="B129" s="224"/>
      <c r="C129" s="11" t="s">
        <v>106</v>
      </c>
      <c r="D129" s="396">
        <f t="shared" ref="D129:I129" si="55">D127+D128</f>
        <v>0</v>
      </c>
      <c r="E129" s="396">
        <f t="shared" si="55"/>
        <v>0</v>
      </c>
      <c r="F129" s="396">
        <f t="shared" si="55"/>
        <v>0</v>
      </c>
      <c r="G129" s="396">
        <f t="shared" si="55"/>
        <v>0</v>
      </c>
      <c r="H129" s="396">
        <f t="shared" si="55"/>
        <v>0</v>
      </c>
      <c r="I129" s="396">
        <f t="shared" si="55"/>
        <v>0</v>
      </c>
      <c r="J129" s="171"/>
      <c r="K129" s="171"/>
      <c r="L129" s="171"/>
      <c r="M129" s="171"/>
    </row>
    <row r="130" spans="1:13" outlineLevel="1" x14ac:dyDescent="0.2">
      <c r="A130" s="171"/>
      <c r="B130" s="202"/>
      <c r="C130" s="171"/>
      <c r="D130" s="171"/>
      <c r="E130" s="171"/>
      <c r="F130" s="171"/>
      <c r="G130" s="171"/>
      <c r="H130" s="171"/>
      <c r="I130" s="171"/>
      <c r="J130" s="171"/>
      <c r="K130" s="171"/>
      <c r="L130" s="171"/>
      <c r="M130" s="171"/>
    </row>
    <row r="131" spans="1:13" ht="15.75" outlineLevel="1" x14ac:dyDescent="0.2">
      <c r="A131" s="171"/>
      <c r="B131" s="202"/>
      <c r="C131" s="193"/>
      <c r="D131" s="112">
        <f>FirstYear</f>
        <v>0</v>
      </c>
      <c r="E131" s="112">
        <f>D131+1</f>
        <v>1</v>
      </c>
      <c r="F131" s="112">
        <f>E131+1</f>
        <v>2</v>
      </c>
      <c r="G131" s="112">
        <f>F131+1</f>
        <v>3</v>
      </c>
      <c r="H131" s="112">
        <f>G131+1</f>
        <v>4</v>
      </c>
      <c r="I131" s="112">
        <f>H131+1</f>
        <v>5</v>
      </c>
      <c r="J131" s="171"/>
      <c r="K131" s="171"/>
      <c r="L131" s="171"/>
      <c r="M131" s="171"/>
    </row>
    <row r="132" spans="1:13" outlineLevel="1" x14ac:dyDescent="0.2">
      <c r="A132" s="171"/>
      <c r="B132" s="422">
        <v>1</v>
      </c>
      <c r="C132" s="115" t="s">
        <v>105</v>
      </c>
      <c r="D132" s="396">
        <f t="shared" ref="D132:I132" si="56">INDEX(RPBSScriptsNew,$B124,D125)*INDEX(DPMQCoPayNewEff,$B124,$B132)</f>
        <v>0</v>
      </c>
      <c r="E132" s="396">
        <f t="shared" si="56"/>
        <v>0</v>
      </c>
      <c r="F132" s="396">
        <f t="shared" si="56"/>
        <v>0</v>
      </c>
      <c r="G132" s="396">
        <f t="shared" si="56"/>
        <v>0</v>
      </c>
      <c r="H132" s="396">
        <f t="shared" si="56"/>
        <v>0</v>
      </c>
      <c r="I132" s="396">
        <f t="shared" si="56"/>
        <v>0</v>
      </c>
      <c r="J132" s="171"/>
      <c r="K132" s="171"/>
      <c r="L132" s="171"/>
      <c r="M132" s="171"/>
    </row>
    <row r="133" spans="1:13" outlineLevel="1" x14ac:dyDescent="0.2">
      <c r="A133" s="171"/>
      <c r="B133" s="422">
        <v>4</v>
      </c>
      <c r="C133" s="11" t="s">
        <v>129</v>
      </c>
      <c r="D133" s="396">
        <f t="shared" ref="D133:I133" si="57">INDEX(RPBSScriptsNew,$B124,D125)*(INDEX(DPMQCoPayNewEff,$B124,$B133)/INDEX(CoPayCountNew,$B124))</f>
        <v>0</v>
      </c>
      <c r="E133" s="396">
        <f t="shared" si="57"/>
        <v>0</v>
      </c>
      <c r="F133" s="396">
        <f t="shared" si="57"/>
        <v>0</v>
      </c>
      <c r="G133" s="396">
        <f t="shared" si="57"/>
        <v>0</v>
      </c>
      <c r="H133" s="396">
        <f t="shared" si="57"/>
        <v>0</v>
      </c>
      <c r="I133" s="396">
        <f t="shared" si="57"/>
        <v>0</v>
      </c>
      <c r="J133" s="171"/>
      <c r="K133" s="171"/>
      <c r="L133" s="171"/>
      <c r="M133" s="171"/>
    </row>
    <row r="134" spans="1:13" outlineLevel="1" x14ac:dyDescent="0.2">
      <c r="A134" s="171"/>
      <c r="B134" s="224"/>
      <c r="C134" s="11" t="s">
        <v>107</v>
      </c>
      <c r="D134" s="396">
        <f t="shared" ref="D134:I134" si="58">D132+D133</f>
        <v>0</v>
      </c>
      <c r="E134" s="396">
        <f t="shared" si="58"/>
        <v>0</v>
      </c>
      <c r="F134" s="396">
        <f t="shared" si="58"/>
        <v>0</v>
      </c>
      <c r="G134" s="396">
        <f t="shared" si="58"/>
        <v>0</v>
      </c>
      <c r="H134" s="396">
        <f t="shared" si="58"/>
        <v>0</v>
      </c>
      <c r="I134" s="396">
        <f t="shared" si="58"/>
        <v>0</v>
      </c>
      <c r="J134" s="171"/>
      <c r="K134" s="171"/>
      <c r="L134" s="171"/>
      <c r="M134" s="171"/>
    </row>
    <row r="135" spans="1:13" x14ac:dyDescent="0.2">
      <c r="A135" s="171"/>
      <c r="B135" s="224"/>
      <c r="C135" s="171"/>
      <c r="D135" s="171"/>
      <c r="E135" s="171"/>
      <c r="F135" s="171"/>
      <c r="G135" s="171"/>
      <c r="H135" s="171"/>
      <c r="I135" s="171"/>
      <c r="J135" s="171"/>
      <c r="K135" s="171"/>
      <c r="L135" s="171"/>
      <c r="M135" s="171"/>
    </row>
    <row r="136" spans="1:13" ht="15" x14ac:dyDescent="0.2">
      <c r="A136" s="171"/>
      <c r="B136" s="423">
        <v>10</v>
      </c>
      <c r="C136" s="221" t="str">
        <f>INDEX(PBSScriptsNew,B136,1)</f>
        <v>** NOT USED **</v>
      </c>
      <c r="D136" s="207"/>
      <c r="E136" s="207"/>
      <c r="F136" s="207"/>
      <c r="G136" s="207"/>
      <c r="H136" s="207"/>
      <c r="I136" s="207"/>
      <c r="J136" s="189"/>
      <c r="K136" s="188"/>
      <c r="L136" s="782" t="str">
        <f>IF(C136&lt;&gt;MsgNotUsed,"Co-payment group " &amp; INDEX(CoPayBandMS,B136),"")</f>
        <v/>
      </c>
      <c r="M136" s="782"/>
    </row>
    <row r="137" spans="1:13" outlineLevel="1" x14ac:dyDescent="0.2">
      <c r="A137" s="171"/>
      <c r="B137" s="352">
        <f>INDEX(SANew,B136,5)</f>
        <v>0</v>
      </c>
      <c r="C137" s="20"/>
      <c r="D137" s="419">
        <v>2</v>
      </c>
      <c r="E137" s="419">
        <v>3</v>
      </c>
      <c r="F137" s="201">
        <v>4</v>
      </c>
      <c r="G137" s="201">
        <v>5</v>
      </c>
      <c r="H137" s="201">
        <v>6</v>
      </c>
      <c r="I137" s="201">
        <v>7</v>
      </c>
      <c r="J137" s="19"/>
      <c r="K137" s="19"/>
      <c r="L137" s="19"/>
      <c r="M137" s="19"/>
    </row>
    <row r="138" spans="1:13" outlineLevel="1" x14ac:dyDescent="0.2">
      <c r="A138" s="171"/>
      <c r="B138" s="224"/>
      <c r="C138" s="171"/>
      <c r="D138" s="112">
        <f>FirstYear</f>
        <v>0</v>
      </c>
      <c r="E138" s="112">
        <f>D138+1</f>
        <v>1</v>
      </c>
      <c r="F138" s="112">
        <f>E138+1</f>
        <v>2</v>
      </c>
      <c r="G138" s="112">
        <f>F138+1</f>
        <v>3</v>
      </c>
      <c r="H138" s="112">
        <f>G138+1</f>
        <v>4</v>
      </c>
      <c r="I138" s="112">
        <f>H138+1</f>
        <v>5</v>
      </c>
      <c r="J138" s="171"/>
      <c r="K138" s="171"/>
      <c r="L138" s="171"/>
      <c r="M138" s="171"/>
    </row>
    <row r="139" spans="1:13" outlineLevel="1" x14ac:dyDescent="0.2">
      <c r="A139" s="171"/>
      <c r="B139" s="422">
        <v>1</v>
      </c>
      <c r="C139" s="115" t="s">
        <v>104</v>
      </c>
      <c r="D139" s="396">
        <f t="shared" ref="D139:I139" si="59">INDEX(PBSScriptsNew,$B136,D137)*INDEX(DPMQCoPayNewEff,$B136,$B139)</f>
        <v>0</v>
      </c>
      <c r="E139" s="396">
        <f t="shared" si="59"/>
        <v>0</v>
      </c>
      <c r="F139" s="396">
        <f t="shared" si="59"/>
        <v>0</v>
      </c>
      <c r="G139" s="396">
        <f t="shared" si="59"/>
        <v>0</v>
      </c>
      <c r="H139" s="396">
        <f t="shared" si="59"/>
        <v>0</v>
      </c>
      <c r="I139" s="396">
        <f t="shared" si="59"/>
        <v>0</v>
      </c>
      <c r="J139" s="171"/>
      <c r="K139" s="171"/>
      <c r="L139" s="171"/>
      <c r="M139" s="171"/>
    </row>
    <row r="140" spans="1:13" outlineLevel="1" x14ac:dyDescent="0.2">
      <c r="A140" s="171"/>
      <c r="B140" s="422">
        <v>3</v>
      </c>
      <c r="C140" s="11" t="s">
        <v>129</v>
      </c>
      <c r="D140" s="396">
        <f t="shared" ref="D140:I140" si="60">INDEX(PBSScriptsNew,$B136,D137)*(INDEX(DPMQCoPayNewEff,$B136,$B140)/INDEX(CoPayCountNew,$B136))</f>
        <v>0</v>
      </c>
      <c r="E140" s="396">
        <f t="shared" si="60"/>
        <v>0</v>
      </c>
      <c r="F140" s="396">
        <f t="shared" si="60"/>
        <v>0</v>
      </c>
      <c r="G140" s="396">
        <f t="shared" si="60"/>
        <v>0</v>
      </c>
      <c r="H140" s="396">
        <f t="shared" si="60"/>
        <v>0</v>
      </c>
      <c r="I140" s="396">
        <f t="shared" si="60"/>
        <v>0</v>
      </c>
      <c r="J140" s="171"/>
      <c r="K140" s="763" t="str">
        <f>IF(B137&lt;&gt;0,MsgNote&amp;IF(B137="Yes",INDEX(CoPayMethod,1),INDEX(CoPayMethod,2)),"")</f>
        <v/>
      </c>
      <c r="L140" s="763"/>
      <c r="M140" s="763"/>
    </row>
    <row r="141" spans="1:13" outlineLevel="1" x14ac:dyDescent="0.2">
      <c r="A141" s="171"/>
      <c r="B141" s="224"/>
      <c r="C141" s="11" t="s">
        <v>106</v>
      </c>
      <c r="D141" s="396">
        <f t="shared" ref="D141:I141" si="61">D139+D140</f>
        <v>0</v>
      </c>
      <c r="E141" s="396">
        <f t="shared" si="61"/>
        <v>0</v>
      </c>
      <c r="F141" s="396">
        <f t="shared" si="61"/>
        <v>0</v>
      </c>
      <c r="G141" s="396">
        <f t="shared" si="61"/>
        <v>0</v>
      </c>
      <c r="H141" s="396">
        <f t="shared" si="61"/>
        <v>0</v>
      </c>
      <c r="I141" s="396">
        <f t="shared" si="61"/>
        <v>0</v>
      </c>
      <c r="J141" s="171"/>
      <c r="K141" s="171"/>
      <c r="L141" s="171"/>
      <c r="M141" s="171"/>
    </row>
    <row r="142" spans="1:13" outlineLevel="1" x14ac:dyDescent="0.2">
      <c r="A142" s="171"/>
      <c r="B142" s="202"/>
      <c r="C142" s="171"/>
      <c r="D142" s="171"/>
      <c r="E142" s="171"/>
      <c r="F142" s="171"/>
      <c r="G142" s="171"/>
      <c r="H142" s="171"/>
      <c r="I142" s="171"/>
      <c r="J142" s="171"/>
      <c r="K142" s="171"/>
      <c r="L142" s="171"/>
      <c r="M142" s="171"/>
    </row>
    <row r="143" spans="1:13" ht="15.75" outlineLevel="1" x14ac:dyDescent="0.2">
      <c r="A143" s="171"/>
      <c r="B143" s="202"/>
      <c r="C143" s="193"/>
      <c r="D143" s="112">
        <f>FirstYear</f>
        <v>0</v>
      </c>
      <c r="E143" s="112">
        <f>D143+1</f>
        <v>1</v>
      </c>
      <c r="F143" s="112">
        <f>E143+1</f>
        <v>2</v>
      </c>
      <c r="G143" s="112">
        <f>F143+1</f>
        <v>3</v>
      </c>
      <c r="H143" s="112">
        <f>G143+1</f>
        <v>4</v>
      </c>
      <c r="I143" s="112">
        <f>H143+1</f>
        <v>5</v>
      </c>
      <c r="J143" s="171"/>
      <c r="K143" s="171"/>
      <c r="L143" s="171"/>
      <c r="M143" s="171"/>
    </row>
    <row r="144" spans="1:13" outlineLevel="1" x14ac:dyDescent="0.2">
      <c r="A144" s="171"/>
      <c r="B144" s="422">
        <v>1</v>
      </c>
      <c r="C144" s="115" t="s">
        <v>105</v>
      </c>
      <c r="D144" s="396">
        <f t="shared" ref="D144:I144" si="62">INDEX(RPBSScriptsNew,$B136,D137)*INDEX(DPMQCoPayNewEff,$B136,$B144)</f>
        <v>0</v>
      </c>
      <c r="E144" s="396">
        <f t="shared" si="62"/>
        <v>0</v>
      </c>
      <c r="F144" s="396">
        <f t="shared" si="62"/>
        <v>0</v>
      </c>
      <c r="G144" s="396">
        <f t="shared" si="62"/>
        <v>0</v>
      </c>
      <c r="H144" s="396">
        <f t="shared" si="62"/>
        <v>0</v>
      </c>
      <c r="I144" s="396">
        <f t="shared" si="62"/>
        <v>0</v>
      </c>
      <c r="J144" s="171"/>
      <c r="K144" s="171"/>
      <c r="L144" s="171"/>
      <c r="M144" s="171"/>
    </row>
    <row r="145" spans="1:13" outlineLevel="1" x14ac:dyDescent="0.2">
      <c r="A145" s="171"/>
      <c r="B145" s="422">
        <v>4</v>
      </c>
      <c r="C145" s="11" t="s">
        <v>129</v>
      </c>
      <c r="D145" s="396">
        <f t="shared" ref="D145:I145" si="63">INDEX(RPBSScriptsNew,$B136,D137)*(INDEX(DPMQCoPayNewEff,$B136,$B145)/INDEX(CoPayCountNew,$B136))</f>
        <v>0</v>
      </c>
      <c r="E145" s="396">
        <f t="shared" si="63"/>
        <v>0</v>
      </c>
      <c r="F145" s="396">
        <f t="shared" si="63"/>
        <v>0</v>
      </c>
      <c r="G145" s="396">
        <f t="shared" si="63"/>
        <v>0</v>
      </c>
      <c r="H145" s="396">
        <f t="shared" si="63"/>
        <v>0</v>
      </c>
      <c r="I145" s="396">
        <f t="shared" si="63"/>
        <v>0</v>
      </c>
      <c r="J145" s="171"/>
      <c r="K145" s="171"/>
      <c r="L145" s="171"/>
      <c r="M145" s="171"/>
    </row>
    <row r="146" spans="1:13" outlineLevel="1" x14ac:dyDescent="0.2">
      <c r="A146" s="171"/>
      <c r="B146" s="224"/>
      <c r="C146" s="11" t="s">
        <v>107</v>
      </c>
      <c r="D146" s="396">
        <f t="shared" ref="D146:I146" si="64">D144+D145</f>
        <v>0</v>
      </c>
      <c r="E146" s="396">
        <f t="shared" si="64"/>
        <v>0</v>
      </c>
      <c r="F146" s="396">
        <f t="shared" si="64"/>
        <v>0</v>
      </c>
      <c r="G146" s="396">
        <f t="shared" si="64"/>
        <v>0</v>
      </c>
      <c r="H146" s="396">
        <f t="shared" si="64"/>
        <v>0</v>
      </c>
      <c r="I146" s="396">
        <f t="shared" si="64"/>
        <v>0</v>
      </c>
      <c r="J146" s="171"/>
      <c r="K146" s="171"/>
      <c r="L146" s="171"/>
      <c r="M146" s="171"/>
    </row>
    <row r="147" spans="1:13" x14ac:dyDescent="0.2">
      <c r="A147" s="171"/>
      <c r="B147" s="224"/>
      <c r="C147" s="171"/>
      <c r="D147" s="171"/>
      <c r="E147" s="171"/>
      <c r="F147" s="171"/>
      <c r="G147" s="171"/>
      <c r="H147" s="171"/>
      <c r="I147" s="171"/>
      <c r="J147" s="171"/>
      <c r="K147" s="171"/>
      <c r="L147" s="171"/>
      <c r="M147" s="171"/>
    </row>
    <row r="148" spans="1:13" ht="15" x14ac:dyDescent="0.2">
      <c r="A148" s="171"/>
      <c r="B148" s="423">
        <v>11</v>
      </c>
      <c r="C148" s="221" t="str">
        <f>INDEX(PBSScriptsNew,B148,1)</f>
        <v>** NOT USED **</v>
      </c>
      <c r="D148" s="207"/>
      <c r="E148" s="207"/>
      <c r="F148" s="207"/>
      <c r="G148" s="207"/>
      <c r="H148" s="207"/>
      <c r="I148" s="207"/>
      <c r="J148" s="189"/>
      <c r="K148" s="188"/>
      <c r="L148" s="782" t="str">
        <f>IF(C148&lt;&gt;MsgNotUsed,"Co-payment group " &amp; INDEX(CoPayBandMS,B148),"")</f>
        <v/>
      </c>
      <c r="M148" s="782"/>
    </row>
    <row r="149" spans="1:13" outlineLevel="1" x14ac:dyDescent="0.2">
      <c r="A149" s="171"/>
      <c r="B149" s="352">
        <f>INDEX(SANew,B148,5)</f>
        <v>0</v>
      </c>
      <c r="C149" s="20"/>
      <c r="D149" s="419">
        <v>2</v>
      </c>
      <c r="E149" s="419">
        <v>3</v>
      </c>
      <c r="F149" s="201">
        <v>4</v>
      </c>
      <c r="G149" s="201">
        <v>5</v>
      </c>
      <c r="H149" s="201">
        <v>6</v>
      </c>
      <c r="I149" s="201">
        <v>7</v>
      </c>
      <c r="J149" s="19"/>
      <c r="K149" s="19"/>
      <c r="L149" s="19"/>
      <c r="M149" s="19"/>
    </row>
    <row r="150" spans="1:13" outlineLevel="1" x14ac:dyDescent="0.2">
      <c r="A150" s="171"/>
      <c r="B150" s="224"/>
      <c r="C150" s="171"/>
      <c r="D150" s="414">
        <f>FirstYear</f>
        <v>0</v>
      </c>
      <c r="E150" s="414">
        <f>D150+1</f>
        <v>1</v>
      </c>
      <c r="F150" s="414">
        <f>E150+1</f>
        <v>2</v>
      </c>
      <c r="G150" s="414">
        <f>F150+1</f>
        <v>3</v>
      </c>
      <c r="H150" s="414">
        <f>G150+1</f>
        <v>4</v>
      </c>
      <c r="I150" s="414">
        <f>H150+1</f>
        <v>5</v>
      </c>
      <c r="J150" s="171"/>
      <c r="K150" s="171"/>
      <c r="L150" s="171"/>
      <c r="M150" s="171"/>
    </row>
    <row r="151" spans="1:13" outlineLevel="1" x14ac:dyDescent="0.2">
      <c r="A151" s="171"/>
      <c r="B151" s="422">
        <v>1</v>
      </c>
      <c r="C151" s="416" t="s">
        <v>104</v>
      </c>
      <c r="D151" s="396">
        <f t="shared" ref="D151:I151" si="65">INDEX(PBSScriptsNew,$B148,D149)*INDEX(DPMQCoPayNewEff,$B148,$B151)</f>
        <v>0</v>
      </c>
      <c r="E151" s="396">
        <f t="shared" si="65"/>
        <v>0</v>
      </c>
      <c r="F151" s="396">
        <f t="shared" si="65"/>
        <v>0</v>
      </c>
      <c r="G151" s="396">
        <f t="shared" si="65"/>
        <v>0</v>
      </c>
      <c r="H151" s="396">
        <f t="shared" si="65"/>
        <v>0</v>
      </c>
      <c r="I151" s="396">
        <f t="shared" si="65"/>
        <v>0</v>
      </c>
      <c r="J151" s="171"/>
      <c r="K151" s="171"/>
      <c r="L151" s="171"/>
      <c r="M151" s="171"/>
    </row>
    <row r="152" spans="1:13" outlineLevel="1" x14ac:dyDescent="0.2">
      <c r="A152" s="171"/>
      <c r="B152" s="422">
        <v>3</v>
      </c>
      <c r="C152" s="11" t="s">
        <v>129</v>
      </c>
      <c r="D152" s="396">
        <f t="shared" ref="D152:I152" si="66">INDEX(PBSScriptsNew,$B148,D149)*(INDEX(DPMQCoPayNewEff,$B148,$B152)/INDEX(CoPayCountNew,$B148))</f>
        <v>0</v>
      </c>
      <c r="E152" s="396">
        <f t="shared" si="66"/>
        <v>0</v>
      </c>
      <c r="F152" s="396">
        <f t="shared" si="66"/>
        <v>0</v>
      </c>
      <c r="G152" s="396">
        <f t="shared" si="66"/>
        <v>0</v>
      </c>
      <c r="H152" s="396">
        <f t="shared" si="66"/>
        <v>0</v>
      </c>
      <c r="I152" s="396">
        <f t="shared" si="66"/>
        <v>0</v>
      </c>
      <c r="J152" s="171"/>
      <c r="K152" s="763" t="str">
        <f>IF(B149&lt;&gt;0,MsgNote&amp;IF(B149="Yes",INDEX(CoPayMethod,1),INDEX(CoPayMethod,2)),"")</f>
        <v/>
      </c>
      <c r="L152" s="763"/>
      <c r="M152" s="763"/>
    </row>
    <row r="153" spans="1:13" outlineLevel="1" x14ac:dyDescent="0.2">
      <c r="A153" s="171"/>
      <c r="B153" s="224"/>
      <c r="C153" s="11" t="s">
        <v>106</v>
      </c>
      <c r="D153" s="396">
        <f t="shared" ref="D153:I153" si="67">D151+D152</f>
        <v>0</v>
      </c>
      <c r="E153" s="396">
        <f t="shared" si="67"/>
        <v>0</v>
      </c>
      <c r="F153" s="396">
        <f t="shared" si="67"/>
        <v>0</v>
      </c>
      <c r="G153" s="396">
        <f t="shared" si="67"/>
        <v>0</v>
      </c>
      <c r="H153" s="396">
        <f t="shared" si="67"/>
        <v>0</v>
      </c>
      <c r="I153" s="396">
        <f t="shared" si="67"/>
        <v>0</v>
      </c>
      <c r="J153" s="171"/>
      <c r="K153" s="171"/>
      <c r="L153" s="171"/>
      <c r="M153" s="171"/>
    </row>
    <row r="154" spans="1:13" outlineLevel="1" x14ac:dyDescent="0.2">
      <c r="A154" s="171"/>
      <c r="B154" s="202"/>
      <c r="C154" s="171"/>
      <c r="D154" s="171"/>
      <c r="E154" s="171"/>
      <c r="F154" s="171"/>
      <c r="G154" s="171"/>
      <c r="H154" s="171"/>
      <c r="I154" s="171"/>
      <c r="J154" s="171"/>
      <c r="K154" s="171"/>
      <c r="L154" s="171"/>
      <c r="M154" s="171"/>
    </row>
    <row r="155" spans="1:13" ht="15.75" outlineLevel="1" x14ac:dyDescent="0.2">
      <c r="A155" s="171"/>
      <c r="B155" s="202"/>
      <c r="C155" s="193"/>
      <c r="D155" s="414">
        <f>FirstYear</f>
        <v>0</v>
      </c>
      <c r="E155" s="414">
        <f>D155+1</f>
        <v>1</v>
      </c>
      <c r="F155" s="414">
        <f>E155+1</f>
        <v>2</v>
      </c>
      <c r="G155" s="414">
        <f>F155+1</f>
        <v>3</v>
      </c>
      <c r="H155" s="414">
        <f>G155+1</f>
        <v>4</v>
      </c>
      <c r="I155" s="414">
        <f>H155+1</f>
        <v>5</v>
      </c>
      <c r="J155" s="171"/>
      <c r="K155" s="171"/>
      <c r="L155" s="171"/>
      <c r="M155" s="171"/>
    </row>
    <row r="156" spans="1:13" outlineLevel="1" x14ac:dyDescent="0.2">
      <c r="A156" s="171"/>
      <c r="B156" s="422">
        <v>1</v>
      </c>
      <c r="C156" s="416" t="s">
        <v>105</v>
      </c>
      <c r="D156" s="396">
        <f t="shared" ref="D156:I156" si="68">INDEX(RPBSScriptsNew,$B148,D149)*INDEX(DPMQCoPayNewEff,$B148,$B156)</f>
        <v>0</v>
      </c>
      <c r="E156" s="396">
        <f t="shared" si="68"/>
        <v>0</v>
      </c>
      <c r="F156" s="396">
        <f t="shared" si="68"/>
        <v>0</v>
      </c>
      <c r="G156" s="396">
        <f t="shared" si="68"/>
        <v>0</v>
      </c>
      <c r="H156" s="396">
        <f t="shared" si="68"/>
        <v>0</v>
      </c>
      <c r="I156" s="396">
        <f t="shared" si="68"/>
        <v>0</v>
      </c>
      <c r="J156" s="171"/>
      <c r="K156" s="171"/>
      <c r="L156" s="171"/>
      <c r="M156" s="171"/>
    </row>
    <row r="157" spans="1:13" outlineLevel="1" x14ac:dyDescent="0.2">
      <c r="A157" s="171"/>
      <c r="B157" s="422">
        <v>4</v>
      </c>
      <c r="C157" s="11" t="s">
        <v>129</v>
      </c>
      <c r="D157" s="396">
        <f t="shared" ref="D157:I157" si="69">INDEX(RPBSScriptsNew,$B148,D149)*(INDEX(DPMQCoPayNewEff,$B148,$B157)/INDEX(CoPayCountNew,$B148))</f>
        <v>0</v>
      </c>
      <c r="E157" s="396">
        <f t="shared" si="69"/>
        <v>0</v>
      </c>
      <c r="F157" s="396">
        <f t="shared" si="69"/>
        <v>0</v>
      </c>
      <c r="G157" s="396">
        <f t="shared" si="69"/>
        <v>0</v>
      </c>
      <c r="H157" s="396">
        <f t="shared" si="69"/>
        <v>0</v>
      </c>
      <c r="I157" s="396">
        <f t="shared" si="69"/>
        <v>0</v>
      </c>
      <c r="J157" s="171"/>
      <c r="K157" s="171"/>
      <c r="L157" s="171"/>
      <c r="M157" s="171"/>
    </row>
    <row r="158" spans="1:13" outlineLevel="1" x14ac:dyDescent="0.2">
      <c r="A158" s="171"/>
      <c r="B158" s="224"/>
      <c r="C158" s="11" t="s">
        <v>107</v>
      </c>
      <c r="D158" s="396">
        <f t="shared" ref="D158:I158" si="70">D156+D157</f>
        <v>0</v>
      </c>
      <c r="E158" s="396">
        <f t="shared" si="70"/>
        <v>0</v>
      </c>
      <c r="F158" s="396">
        <f t="shared" si="70"/>
        <v>0</v>
      </c>
      <c r="G158" s="396">
        <f t="shared" si="70"/>
        <v>0</v>
      </c>
      <c r="H158" s="396">
        <f t="shared" si="70"/>
        <v>0</v>
      </c>
      <c r="I158" s="396">
        <f t="shared" si="70"/>
        <v>0</v>
      </c>
      <c r="J158" s="171"/>
      <c r="K158" s="171"/>
      <c r="L158" s="171"/>
      <c r="M158" s="171"/>
    </row>
    <row r="159" spans="1:13" x14ac:dyDescent="0.2">
      <c r="A159" s="171"/>
      <c r="B159" s="224"/>
      <c r="C159" s="171"/>
      <c r="D159" s="171"/>
      <c r="E159" s="171"/>
      <c r="F159" s="171"/>
      <c r="G159" s="171"/>
      <c r="H159" s="171"/>
      <c r="I159" s="171"/>
      <c r="J159" s="171"/>
      <c r="K159" s="171"/>
      <c r="L159" s="171"/>
      <c r="M159" s="171"/>
    </row>
    <row r="160" spans="1:13" ht="15" x14ac:dyDescent="0.2">
      <c r="A160" s="171"/>
      <c r="B160" s="423">
        <v>12</v>
      </c>
      <c r="C160" s="221" t="str">
        <f>INDEX(PBSScriptsNew,B160,1)</f>
        <v>** NOT USED **</v>
      </c>
      <c r="D160" s="207"/>
      <c r="E160" s="207"/>
      <c r="F160" s="207"/>
      <c r="G160" s="207"/>
      <c r="H160" s="207"/>
      <c r="I160" s="207"/>
      <c r="J160" s="189"/>
      <c r="K160" s="188"/>
      <c r="L160" s="782" t="str">
        <f>IF(C160&lt;&gt;MsgNotUsed,"Co-payment group " &amp; INDEX(CoPayBandMS,B160),"")</f>
        <v/>
      </c>
      <c r="M160" s="782"/>
    </row>
    <row r="161" spans="1:13" outlineLevel="1" x14ac:dyDescent="0.2">
      <c r="A161" s="171"/>
      <c r="B161" s="352">
        <f>INDEX(SANew,B160,5)</f>
        <v>0</v>
      </c>
      <c r="C161" s="20"/>
      <c r="D161" s="419">
        <v>2</v>
      </c>
      <c r="E161" s="419">
        <v>3</v>
      </c>
      <c r="F161" s="201">
        <v>4</v>
      </c>
      <c r="G161" s="201">
        <v>5</v>
      </c>
      <c r="H161" s="201">
        <v>6</v>
      </c>
      <c r="I161" s="201">
        <v>7</v>
      </c>
      <c r="J161" s="19"/>
      <c r="K161" s="19"/>
      <c r="L161" s="19"/>
      <c r="M161" s="19"/>
    </row>
    <row r="162" spans="1:13" outlineLevel="1" x14ac:dyDescent="0.2">
      <c r="A162" s="171"/>
      <c r="B162" s="224"/>
      <c r="C162" s="171"/>
      <c r="D162" s="414">
        <f>FirstYear</f>
        <v>0</v>
      </c>
      <c r="E162" s="414">
        <f>D162+1</f>
        <v>1</v>
      </c>
      <c r="F162" s="414">
        <f>E162+1</f>
        <v>2</v>
      </c>
      <c r="G162" s="414">
        <f>F162+1</f>
        <v>3</v>
      </c>
      <c r="H162" s="414">
        <f>G162+1</f>
        <v>4</v>
      </c>
      <c r="I162" s="414">
        <f>H162+1</f>
        <v>5</v>
      </c>
      <c r="J162" s="171"/>
      <c r="K162" s="171"/>
      <c r="L162" s="171"/>
      <c r="M162" s="171"/>
    </row>
    <row r="163" spans="1:13" outlineLevel="1" x14ac:dyDescent="0.2">
      <c r="A163" s="171"/>
      <c r="B163" s="422">
        <v>1</v>
      </c>
      <c r="C163" s="416" t="s">
        <v>104</v>
      </c>
      <c r="D163" s="396">
        <f t="shared" ref="D163:I163" si="71">INDEX(PBSScriptsNew,$B160,D161)*INDEX(DPMQCoPayNewEff,$B160,$B163)</f>
        <v>0</v>
      </c>
      <c r="E163" s="396">
        <f t="shared" si="71"/>
        <v>0</v>
      </c>
      <c r="F163" s="396">
        <f t="shared" si="71"/>
        <v>0</v>
      </c>
      <c r="G163" s="396">
        <f t="shared" si="71"/>
        <v>0</v>
      </c>
      <c r="H163" s="396">
        <f t="shared" si="71"/>
        <v>0</v>
      </c>
      <c r="I163" s="396">
        <f t="shared" si="71"/>
        <v>0</v>
      </c>
      <c r="J163" s="171"/>
      <c r="K163" s="171"/>
      <c r="L163" s="171"/>
      <c r="M163" s="171"/>
    </row>
    <row r="164" spans="1:13" outlineLevel="1" x14ac:dyDescent="0.2">
      <c r="A164" s="171"/>
      <c r="B164" s="422">
        <v>3</v>
      </c>
      <c r="C164" s="11" t="s">
        <v>129</v>
      </c>
      <c r="D164" s="396">
        <f t="shared" ref="D164:I164" si="72">INDEX(PBSScriptsNew,$B160,D161)*(INDEX(DPMQCoPayNewEff,$B160,$B164)/INDEX(CoPayCountNew,$B160))</f>
        <v>0</v>
      </c>
      <c r="E164" s="396">
        <f t="shared" si="72"/>
        <v>0</v>
      </c>
      <c r="F164" s="396">
        <f t="shared" si="72"/>
        <v>0</v>
      </c>
      <c r="G164" s="396">
        <f t="shared" si="72"/>
        <v>0</v>
      </c>
      <c r="H164" s="396">
        <f t="shared" si="72"/>
        <v>0</v>
      </c>
      <c r="I164" s="396">
        <f t="shared" si="72"/>
        <v>0</v>
      </c>
      <c r="J164" s="171"/>
      <c r="K164" s="763" t="str">
        <f>IF(B161&lt;&gt;0,MsgNote&amp;IF(B161="Yes",INDEX(CoPayMethod,1),INDEX(CoPayMethod,2)),"")</f>
        <v/>
      </c>
      <c r="L164" s="763"/>
      <c r="M164" s="763"/>
    </row>
    <row r="165" spans="1:13" outlineLevel="1" x14ac:dyDescent="0.2">
      <c r="A165" s="171"/>
      <c r="B165" s="224"/>
      <c r="C165" s="11" t="s">
        <v>106</v>
      </c>
      <c r="D165" s="396">
        <f t="shared" ref="D165:I165" si="73">D163+D164</f>
        <v>0</v>
      </c>
      <c r="E165" s="396">
        <f t="shared" si="73"/>
        <v>0</v>
      </c>
      <c r="F165" s="396">
        <f t="shared" si="73"/>
        <v>0</v>
      </c>
      <c r="G165" s="396">
        <f t="shared" si="73"/>
        <v>0</v>
      </c>
      <c r="H165" s="396">
        <f t="shared" si="73"/>
        <v>0</v>
      </c>
      <c r="I165" s="396">
        <f t="shared" si="73"/>
        <v>0</v>
      </c>
      <c r="J165" s="171"/>
      <c r="K165" s="171"/>
      <c r="L165" s="171"/>
      <c r="M165" s="171"/>
    </row>
    <row r="166" spans="1:13" outlineLevel="1" x14ac:dyDescent="0.2">
      <c r="A166" s="171"/>
      <c r="B166" s="202"/>
      <c r="C166" s="171"/>
      <c r="D166" s="171"/>
      <c r="E166" s="171"/>
      <c r="F166" s="171"/>
      <c r="G166" s="171"/>
      <c r="H166" s="171"/>
      <c r="I166" s="171"/>
      <c r="J166" s="171"/>
      <c r="K166" s="171"/>
      <c r="L166" s="171"/>
      <c r="M166" s="171"/>
    </row>
    <row r="167" spans="1:13" ht="15.75" outlineLevel="1" x14ac:dyDescent="0.2">
      <c r="A167" s="171"/>
      <c r="B167" s="202"/>
      <c r="C167" s="193"/>
      <c r="D167" s="414">
        <f>FirstYear</f>
        <v>0</v>
      </c>
      <c r="E167" s="414">
        <f>D167+1</f>
        <v>1</v>
      </c>
      <c r="F167" s="414">
        <f>E167+1</f>
        <v>2</v>
      </c>
      <c r="G167" s="414">
        <f>F167+1</f>
        <v>3</v>
      </c>
      <c r="H167" s="414">
        <f>G167+1</f>
        <v>4</v>
      </c>
      <c r="I167" s="414">
        <f>H167+1</f>
        <v>5</v>
      </c>
      <c r="J167" s="171"/>
      <c r="K167" s="171"/>
      <c r="L167" s="171"/>
      <c r="M167" s="171"/>
    </row>
    <row r="168" spans="1:13" outlineLevel="1" x14ac:dyDescent="0.2">
      <c r="A168" s="171"/>
      <c r="B168" s="422">
        <v>1</v>
      </c>
      <c r="C168" s="416" t="s">
        <v>105</v>
      </c>
      <c r="D168" s="396">
        <f t="shared" ref="D168:I168" si="74">INDEX(RPBSScriptsNew,$B160,D161)*INDEX(DPMQCoPayNewEff,$B160,$B168)</f>
        <v>0</v>
      </c>
      <c r="E168" s="396">
        <f t="shared" si="74"/>
        <v>0</v>
      </c>
      <c r="F168" s="396">
        <f t="shared" si="74"/>
        <v>0</v>
      </c>
      <c r="G168" s="396">
        <f t="shared" si="74"/>
        <v>0</v>
      </c>
      <c r="H168" s="396">
        <f t="shared" si="74"/>
        <v>0</v>
      </c>
      <c r="I168" s="396">
        <f t="shared" si="74"/>
        <v>0</v>
      </c>
      <c r="J168" s="171"/>
      <c r="K168" s="171"/>
      <c r="L168" s="171"/>
      <c r="M168" s="171"/>
    </row>
    <row r="169" spans="1:13" outlineLevel="1" x14ac:dyDescent="0.2">
      <c r="A169" s="171"/>
      <c r="B169" s="422">
        <v>4</v>
      </c>
      <c r="C169" s="11" t="s">
        <v>129</v>
      </c>
      <c r="D169" s="396">
        <f t="shared" ref="D169:I169" si="75">INDEX(RPBSScriptsNew,$B160,D161)*(INDEX(DPMQCoPayNewEff,$B160,$B169)/INDEX(CoPayCountNew,$B160))</f>
        <v>0</v>
      </c>
      <c r="E169" s="396">
        <f t="shared" si="75"/>
        <v>0</v>
      </c>
      <c r="F169" s="396">
        <f t="shared" si="75"/>
        <v>0</v>
      </c>
      <c r="G169" s="396">
        <f t="shared" si="75"/>
        <v>0</v>
      </c>
      <c r="H169" s="396">
        <f t="shared" si="75"/>
        <v>0</v>
      </c>
      <c r="I169" s="396">
        <f t="shared" si="75"/>
        <v>0</v>
      </c>
      <c r="J169" s="171"/>
      <c r="K169" s="171"/>
      <c r="L169" s="171"/>
      <c r="M169" s="171"/>
    </row>
    <row r="170" spans="1:13" outlineLevel="1" x14ac:dyDescent="0.2">
      <c r="A170" s="171"/>
      <c r="B170" s="224"/>
      <c r="C170" s="11" t="s">
        <v>107</v>
      </c>
      <c r="D170" s="396">
        <f t="shared" ref="D170:I170" si="76">D168+D169</f>
        <v>0</v>
      </c>
      <c r="E170" s="396">
        <f t="shared" si="76"/>
        <v>0</v>
      </c>
      <c r="F170" s="396">
        <f t="shared" si="76"/>
        <v>0</v>
      </c>
      <c r="G170" s="396">
        <f t="shared" si="76"/>
        <v>0</v>
      </c>
      <c r="H170" s="396">
        <f t="shared" si="76"/>
        <v>0</v>
      </c>
      <c r="I170" s="396">
        <f t="shared" si="76"/>
        <v>0</v>
      </c>
      <c r="J170" s="171"/>
      <c r="K170" s="171"/>
      <c r="L170" s="171"/>
      <c r="M170" s="171"/>
    </row>
    <row r="171" spans="1:13" x14ac:dyDescent="0.2">
      <c r="A171" s="171"/>
      <c r="B171" s="224"/>
      <c r="C171" s="171"/>
      <c r="D171" s="171"/>
      <c r="E171" s="171"/>
      <c r="F171" s="171"/>
      <c r="G171" s="171"/>
      <c r="H171" s="171"/>
      <c r="I171" s="171"/>
      <c r="J171" s="171"/>
      <c r="K171" s="171"/>
      <c r="L171" s="171"/>
      <c r="M171" s="171"/>
    </row>
    <row r="172" spans="1:13" ht="15" x14ac:dyDescent="0.2">
      <c r="A172" s="171"/>
      <c r="B172" s="423">
        <v>13</v>
      </c>
      <c r="C172" s="221" t="str">
        <f>INDEX(PBSScriptsNew,B172,1)</f>
        <v>** NOT USED **</v>
      </c>
      <c r="D172" s="207"/>
      <c r="E172" s="207"/>
      <c r="F172" s="207"/>
      <c r="G172" s="207"/>
      <c r="H172" s="207"/>
      <c r="I172" s="207"/>
      <c r="J172" s="189"/>
      <c r="K172" s="188"/>
      <c r="L172" s="782" t="str">
        <f>IF(C172&lt;&gt;MsgNotUsed,"Co-payment group " &amp; INDEX(CoPayBandMS,B172),"")</f>
        <v/>
      </c>
      <c r="M172" s="782"/>
    </row>
    <row r="173" spans="1:13" outlineLevel="1" x14ac:dyDescent="0.2">
      <c r="A173" s="171"/>
      <c r="B173" s="352">
        <f>INDEX(SANew,B172,5)</f>
        <v>0</v>
      </c>
      <c r="C173" s="20"/>
      <c r="D173" s="419">
        <v>2</v>
      </c>
      <c r="E173" s="419">
        <v>3</v>
      </c>
      <c r="F173" s="201">
        <v>4</v>
      </c>
      <c r="G173" s="201">
        <v>5</v>
      </c>
      <c r="H173" s="201">
        <v>6</v>
      </c>
      <c r="I173" s="201">
        <v>7</v>
      </c>
      <c r="J173" s="19"/>
      <c r="K173" s="19"/>
      <c r="L173" s="19"/>
      <c r="M173" s="19"/>
    </row>
    <row r="174" spans="1:13" outlineLevel="1" x14ac:dyDescent="0.2">
      <c r="A174" s="171"/>
      <c r="B174" s="224"/>
      <c r="C174" s="171"/>
      <c r="D174" s="414">
        <f>FirstYear</f>
        <v>0</v>
      </c>
      <c r="E174" s="414">
        <f>D174+1</f>
        <v>1</v>
      </c>
      <c r="F174" s="414">
        <f>E174+1</f>
        <v>2</v>
      </c>
      <c r="G174" s="414">
        <f>F174+1</f>
        <v>3</v>
      </c>
      <c r="H174" s="414">
        <f>G174+1</f>
        <v>4</v>
      </c>
      <c r="I174" s="414">
        <f>H174+1</f>
        <v>5</v>
      </c>
      <c r="J174" s="171"/>
      <c r="K174" s="171"/>
      <c r="L174" s="171"/>
      <c r="M174" s="171"/>
    </row>
    <row r="175" spans="1:13" outlineLevel="1" x14ac:dyDescent="0.2">
      <c r="A175" s="171"/>
      <c r="B175" s="422">
        <v>1</v>
      </c>
      <c r="C175" s="416" t="s">
        <v>104</v>
      </c>
      <c r="D175" s="396">
        <f t="shared" ref="D175:I175" si="77">INDEX(PBSScriptsNew,$B172,D173)*INDEX(DPMQCoPayNewEff,$B172,$B175)</f>
        <v>0</v>
      </c>
      <c r="E175" s="396">
        <f t="shared" si="77"/>
        <v>0</v>
      </c>
      <c r="F175" s="396">
        <f t="shared" si="77"/>
        <v>0</v>
      </c>
      <c r="G175" s="396">
        <f t="shared" si="77"/>
        <v>0</v>
      </c>
      <c r="H175" s="396">
        <f t="shared" si="77"/>
        <v>0</v>
      </c>
      <c r="I175" s="396">
        <f t="shared" si="77"/>
        <v>0</v>
      </c>
      <c r="J175" s="171"/>
      <c r="K175" s="171"/>
      <c r="L175" s="171"/>
      <c r="M175" s="171"/>
    </row>
    <row r="176" spans="1:13" outlineLevel="1" x14ac:dyDescent="0.2">
      <c r="A176" s="171"/>
      <c r="B176" s="422">
        <v>3</v>
      </c>
      <c r="C176" s="11" t="s">
        <v>129</v>
      </c>
      <c r="D176" s="396">
        <f t="shared" ref="D176:I176" si="78">INDEX(PBSScriptsNew,$B172,D173)*(INDEX(DPMQCoPayNewEff,$B172,$B176)/INDEX(CoPayCountNew,$B172))</f>
        <v>0</v>
      </c>
      <c r="E176" s="396">
        <f t="shared" si="78"/>
        <v>0</v>
      </c>
      <c r="F176" s="396">
        <f t="shared" si="78"/>
        <v>0</v>
      </c>
      <c r="G176" s="396">
        <f t="shared" si="78"/>
        <v>0</v>
      </c>
      <c r="H176" s="396">
        <f t="shared" si="78"/>
        <v>0</v>
      </c>
      <c r="I176" s="396">
        <f t="shared" si="78"/>
        <v>0</v>
      </c>
      <c r="J176" s="171"/>
      <c r="K176" s="763" t="str">
        <f>IF(B173&lt;&gt;0,MsgNote&amp;IF(B173="Yes",INDEX(CoPayMethod,1),INDEX(CoPayMethod,2)),"")</f>
        <v/>
      </c>
      <c r="L176" s="763"/>
      <c r="M176" s="763"/>
    </row>
    <row r="177" spans="1:13" outlineLevel="1" x14ac:dyDescent="0.2">
      <c r="A177" s="171"/>
      <c r="B177" s="224"/>
      <c r="C177" s="11" t="s">
        <v>106</v>
      </c>
      <c r="D177" s="396">
        <f t="shared" ref="D177:I177" si="79">D175+D176</f>
        <v>0</v>
      </c>
      <c r="E177" s="396">
        <f t="shared" si="79"/>
        <v>0</v>
      </c>
      <c r="F177" s="396">
        <f t="shared" si="79"/>
        <v>0</v>
      </c>
      <c r="G177" s="396">
        <f t="shared" si="79"/>
        <v>0</v>
      </c>
      <c r="H177" s="396">
        <f t="shared" si="79"/>
        <v>0</v>
      </c>
      <c r="I177" s="396">
        <f t="shared" si="79"/>
        <v>0</v>
      </c>
      <c r="J177" s="171"/>
      <c r="K177" s="171"/>
      <c r="L177" s="171"/>
      <c r="M177" s="171"/>
    </row>
    <row r="178" spans="1:13" outlineLevel="1" x14ac:dyDescent="0.2">
      <c r="A178" s="171"/>
      <c r="B178" s="202"/>
      <c r="C178" s="171"/>
      <c r="D178" s="171"/>
      <c r="E178" s="171"/>
      <c r="F178" s="171"/>
      <c r="G178" s="171"/>
      <c r="H178" s="171"/>
      <c r="I178" s="171"/>
      <c r="J178" s="171"/>
      <c r="K178" s="171"/>
      <c r="L178" s="171"/>
      <c r="M178" s="171"/>
    </row>
    <row r="179" spans="1:13" ht="15.75" outlineLevel="1" x14ac:dyDescent="0.2">
      <c r="A179" s="171"/>
      <c r="B179" s="202"/>
      <c r="C179" s="193"/>
      <c r="D179" s="414">
        <f>FirstYear</f>
        <v>0</v>
      </c>
      <c r="E179" s="414">
        <f>D179+1</f>
        <v>1</v>
      </c>
      <c r="F179" s="414">
        <f>E179+1</f>
        <v>2</v>
      </c>
      <c r="G179" s="414">
        <f>F179+1</f>
        <v>3</v>
      </c>
      <c r="H179" s="414">
        <f>G179+1</f>
        <v>4</v>
      </c>
      <c r="I179" s="414">
        <f>H179+1</f>
        <v>5</v>
      </c>
      <c r="J179" s="171"/>
      <c r="K179" s="171"/>
      <c r="L179" s="171"/>
      <c r="M179" s="171"/>
    </row>
    <row r="180" spans="1:13" outlineLevel="1" x14ac:dyDescent="0.2">
      <c r="A180" s="171"/>
      <c r="B180" s="422">
        <v>1</v>
      </c>
      <c r="C180" s="416" t="s">
        <v>105</v>
      </c>
      <c r="D180" s="396">
        <f t="shared" ref="D180:I180" si="80">INDEX(RPBSScriptsNew,$B172,D173)*INDEX(DPMQCoPayNewEff,$B172,$B180)</f>
        <v>0</v>
      </c>
      <c r="E180" s="396">
        <f t="shared" si="80"/>
        <v>0</v>
      </c>
      <c r="F180" s="396">
        <f t="shared" si="80"/>
        <v>0</v>
      </c>
      <c r="G180" s="396">
        <f t="shared" si="80"/>
        <v>0</v>
      </c>
      <c r="H180" s="396">
        <f t="shared" si="80"/>
        <v>0</v>
      </c>
      <c r="I180" s="396">
        <f t="shared" si="80"/>
        <v>0</v>
      </c>
      <c r="J180" s="171"/>
      <c r="K180" s="171"/>
      <c r="L180" s="171"/>
      <c r="M180" s="171"/>
    </row>
    <row r="181" spans="1:13" outlineLevel="1" x14ac:dyDescent="0.2">
      <c r="A181" s="171"/>
      <c r="B181" s="422">
        <v>4</v>
      </c>
      <c r="C181" s="11" t="s">
        <v>129</v>
      </c>
      <c r="D181" s="396">
        <f t="shared" ref="D181:I181" si="81">INDEX(RPBSScriptsNew,$B172,D173)*(INDEX(DPMQCoPayNewEff,$B172,$B181)/INDEX(CoPayCountNew,$B172))</f>
        <v>0</v>
      </c>
      <c r="E181" s="396">
        <f t="shared" si="81"/>
        <v>0</v>
      </c>
      <c r="F181" s="396">
        <f t="shared" si="81"/>
        <v>0</v>
      </c>
      <c r="G181" s="396">
        <f t="shared" si="81"/>
        <v>0</v>
      </c>
      <c r="H181" s="396">
        <f t="shared" si="81"/>
        <v>0</v>
      </c>
      <c r="I181" s="396">
        <f t="shared" si="81"/>
        <v>0</v>
      </c>
      <c r="J181" s="171"/>
      <c r="K181" s="171"/>
      <c r="L181" s="171"/>
      <c r="M181" s="171"/>
    </row>
    <row r="182" spans="1:13" outlineLevel="1" x14ac:dyDescent="0.2">
      <c r="A182" s="171"/>
      <c r="B182" s="224"/>
      <c r="C182" s="11" t="s">
        <v>107</v>
      </c>
      <c r="D182" s="396">
        <f t="shared" ref="D182:I182" si="82">D180+D181</f>
        <v>0</v>
      </c>
      <c r="E182" s="396">
        <f t="shared" si="82"/>
        <v>0</v>
      </c>
      <c r="F182" s="396">
        <f t="shared" si="82"/>
        <v>0</v>
      </c>
      <c r="G182" s="396">
        <f t="shared" si="82"/>
        <v>0</v>
      </c>
      <c r="H182" s="396">
        <f t="shared" si="82"/>
        <v>0</v>
      </c>
      <c r="I182" s="396">
        <f t="shared" si="82"/>
        <v>0</v>
      </c>
      <c r="J182" s="171"/>
      <c r="K182" s="171"/>
      <c r="L182" s="171"/>
      <c r="M182" s="171"/>
    </row>
    <row r="183" spans="1:13" x14ac:dyDescent="0.2">
      <c r="A183" s="171"/>
      <c r="B183" s="224"/>
      <c r="C183" s="171"/>
      <c r="D183" s="171"/>
      <c r="E183" s="171"/>
      <c r="F183" s="171"/>
      <c r="G183" s="171"/>
      <c r="H183" s="171"/>
      <c r="I183" s="171"/>
      <c r="J183" s="171"/>
      <c r="K183" s="171"/>
      <c r="L183" s="171"/>
      <c r="M183" s="171"/>
    </row>
    <row r="184" spans="1:13" ht="15" x14ac:dyDescent="0.2">
      <c r="A184" s="171"/>
      <c r="B184" s="423">
        <v>14</v>
      </c>
      <c r="C184" s="221" t="str">
        <f>INDEX(PBSScriptsNew,B184,1)</f>
        <v>** NOT USED **</v>
      </c>
      <c r="D184" s="207"/>
      <c r="E184" s="207"/>
      <c r="F184" s="207"/>
      <c r="G184" s="207"/>
      <c r="H184" s="207"/>
      <c r="I184" s="207"/>
      <c r="J184" s="189"/>
      <c r="K184" s="188"/>
      <c r="L184" s="782" t="str">
        <f>IF(C184&lt;&gt;MsgNotUsed,"Co-payment group " &amp; INDEX(CoPayBandMS,B184),"")</f>
        <v/>
      </c>
      <c r="M184" s="782"/>
    </row>
    <row r="185" spans="1:13" outlineLevel="1" x14ac:dyDescent="0.2">
      <c r="A185" s="171"/>
      <c r="B185" s="352">
        <f>INDEX(SANew,B184,5)</f>
        <v>0</v>
      </c>
      <c r="C185" s="20"/>
      <c r="D185" s="419">
        <v>2</v>
      </c>
      <c r="E185" s="419">
        <v>3</v>
      </c>
      <c r="F185" s="201">
        <v>4</v>
      </c>
      <c r="G185" s="201">
        <v>5</v>
      </c>
      <c r="H185" s="201">
        <v>6</v>
      </c>
      <c r="I185" s="201">
        <v>7</v>
      </c>
      <c r="J185" s="19"/>
      <c r="K185" s="19"/>
      <c r="L185" s="19"/>
      <c r="M185" s="19"/>
    </row>
    <row r="186" spans="1:13" outlineLevel="1" x14ac:dyDescent="0.2">
      <c r="A186" s="171"/>
      <c r="B186" s="224"/>
      <c r="C186" s="171"/>
      <c r="D186" s="414">
        <f>FirstYear</f>
        <v>0</v>
      </c>
      <c r="E186" s="414">
        <f>D186+1</f>
        <v>1</v>
      </c>
      <c r="F186" s="414">
        <f>E186+1</f>
        <v>2</v>
      </c>
      <c r="G186" s="414">
        <f>F186+1</f>
        <v>3</v>
      </c>
      <c r="H186" s="414">
        <f>G186+1</f>
        <v>4</v>
      </c>
      <c r="I186" s="414">
        <f>H186+1</f>
        <v>5</v>
      </c>
      <c r="J186" s="171"/>
      <c r="K186" s="171"/>
      <c r="L186" s="171"/>
      <c r="M186" s="171"/>
    </row>
    <row r="187" spans="1:13" outlineLevel="1" x14ac:dyDescent="0.2">
      <c r="A187" s="171"/>
      <c r="B187" s="422">
        <v>1</v>
      </c>
      <c r="C187" s="416" t="s">
        <v>104</v>
      </c>
      <c r="D187" s="396">
        <f t="shared" ref="D187:I187" si="83">INDEX(PBSScriptsNew,$B184,D185)*INDEX(DPMQCoPayNewEff,$B184,$B187)</f>
        <v>0</v>
      </c>
      <c r="E187" s="396">
        <f t="shared" si="83"/>
        <v>0</v>
      </c>
      <c r="F187" s="396">
        <f t="shared" si="83"/>
        <v>0</v>
      </c>
      <c r="G187" s="396">
        <f t="shared" si="83"/>
        <v>0</v>
      </c>
      <c r="H187" s="396">
        <f t="shared" si="83"/>
        <v>0</v>
      </c>
      <c r="I187" s="396">
        <f t="shared" si="83"/>
        <v>0</v>
      </c>
      <c r="J187" s="171"/>
      <c r="K187" s="171"/>
      <c r="L187" s="171"/>
      <c r="M187" s="171"/>
    </row>
    <row r="188" spans="1:13" outlineLevel="1" x14ac:dyDescent="0.2">
      <c r="A188" s="171"/>
      <c r="B188" s="422">
        <v>3</v>
      </c>
      <c r="C188" s="11" t="s">
        <v>129</v>
      </c>
      <c r="D188" s="396">
        <f t="shared" ref="D188:I188" si="84">INDEX(PBSScriptsNew,$B184,D185)*(INDEX(DPMQCoPayNewEff,$B184,$B188)/INDEX(CoPayCountNew,$B184))</f>
        <v>0</v>
      </c>
      <c r="E188" s="396">
        <f t="shared" si="84"/>
        <v>0</v>
      </c>
      <c r="F188" s="396">
        <f t="shared" si="84"/>
        <v>0</v>
      </c>
      <c r="G188" s="396">
        <f t="shared" si="84"/>
        <v>0</v>
      </c>
      <c r="H188" s="396">
        <f t="shared" si="84"/>
        <v>0</v>
      </c>
      <c r="I188" s="396">
        <f t="shared" si="84"/>
        <v>0</v>
      </c>
      <c r="J188" s="171"/>
      <c r="K188" s="763" t="str">
        <f>IF(B185&lt;&gt;0,MsgNote&amp;IF(B185="Yes",INDEX(CoPayMethod,1),INDEX(CoPayMethod,2)),"")</f>
        <v/>
      </c>
      <c r="L188" s="763"/>
      <c r="M188" s="763"/>
    </row>
    <row r="189" spans="1:13" outlineLevel="1" x14ac:dyDescent="0.2">
      <c r="A189" s="171"/>
      <c r="B189" s="224"/>
      <c r="C189" s="11" t="s">
        <v>106</v>
      </c>
      <c r="D189" s="396">
        <f t="shared" ref="D189:I189" si="85">D187+D188</f>
        <v>0</v>
      </c>
      <c r="E189" s="396">
        <f t="shared" si="85"/>
        <v>0</v>
      </c>
      <c r="F189" s="396">
        <f t="shared" si="85"/>
        <v>0</v>
      </c>
      <c r="G189" s="396">
        <f t="shared" si="85"/>
        <v>0</v>
      </c>
      <c r="H189" s="396">
        <f t="shared" si="85"/>
        <v>0</v>
      </c>
      <c r="I189" s="396">
        <f t="shared" si="85"/>
        <v>0</v>
      </c>
      <c r="J189" s="171"/>
      <c r="K189" s="171"/>
      <c r="L189" s="171"/>
      <c r="M189" s="171"/>
    </row>
    <row r="190" spans="1:13" outlineLevel="1" x14ac:dyDescent="0.2">
      <c r="A190" s="171"/>
      <c r="B190" s="202"/>
      <c r="C190" s="171"/>
      <c r="D190" s="171"/>
      <c r="E190" s="171"/>
      <c r="F190" s="171"/>
      <c r="G190" s="171"/>
      <c r="H190" s="171"/>
      <c r="I190" s="171"/>
      <c r="J190" s="171"/>
      <c r="K190" s="171"/>
      <c r="L190" s="171"/>
      <c r="M190" s="171"/>
    </row>
    <row r="191" spans="1:13" ht="15.75" outlineLevel="1" x14ac:dyDescent="0.2">
      <c r="A191" s="171"/>
      <c r="B191" s="202"/>
      <c r="C191" s="193"/>
      <c r="D191" s="414">
        <f>FirstYear</f>
        <v>0</v>
      </c>
      <c r="E191" s="414">
        <f>D191+1</f>
        <v>1</v>
      </c>
      <c r="F191" s="414">
        <f>E191+1</f>
        <v>2</v>
      </c>
      <c r="G191" s="414">
        <f>F191+1</f>
        <v>3</v>
      </c>
      <c r="H191" s="414">
        <f>G191+1</f>
        <v>4</v>
      </c>
      <c r="I191" s="414">
        <f>H191+1</f>
        <v>5</v>
      </c>
      <c r="J191" s="171"/>
      <c r="K191" s="171"/>
      <c r="L191" s="171"/>
      <c r="M191" s="171"/>
    </row>
    <row r="192" spans="1:13" outlineLevel="1" x14ac:dyDescent="0.2">
      <c r="A192" s="171"/>
      <c r="B192" s="422">
        <v>1</v>
      </c>
      <c r="C192" s="416" t="s">
        <v>105</v>
      </c>
      <c r="D192" s="396">
        <f t="shared" ref="D192:I192" si="86">INDEX(RPBSScriptsNew,$B184,D185)*INDEX(DPMQCoPayNewEff,$B184,$B192)</f>
        <v>0</v>
      </c>
      <c r="E192" s="396">
        <f t="shared" si="86"/>
        <v>0</v>
      </c>
      <c r="F192" s="396">
        <f t="shared" si="86"/>
        <v>0</v>
      </c>
      <c r="G192" s="396">
        <f t="shared" si="86"/>
        <v>0</v>
      </c>
      <c r="H192" s="396">
        <f t="shared" si="86"/>
        <v>0</v>
      </c>
      <c r="I192" s="396">
        <f t="shared" si="86"/>
        <v>0</v>
      </c>
      <c r="J192" s="171"/>
      <c r="K192" s="171"/>
      <c r="L192" s="171"/>
      <c r="M192" s="171"/>
    </row>
    <row r="193" spans="1:13" outlineLevel="1" x14ac:dyDescent="0.2">
      <c r="A193" s="171"/>
      <c r="B193" s="422">
        <v>4</v>
      </c>
      <c r="C193" s="11" t="s">
        <v>129</v>
      </c>
      <c r="D193" s="396">
        <f t="shared" ref="D193:I193" si="87">INDEX(RPBSScriptsNew,$B184,D185)*(INDEX(DPMQCoPayNewEff,$B184,$B193)/INDEX(CoPayCountNew,$B184))</f>
        <v>0</v>
      </c>
      <c r="E193" s="396">
        <f t="shared" si="87"/>
        <v>0</v>
      </c>
      <c r="F193" s="396">
        <f t="shared" si="87"/>
        <v>0</v>
      </c>
      <c r="G193" s="396">
        <f t="shared" si="87"/>
        <v>0</v>
      </c>
      <c r="H193" s="396">
        <f t="shared" si="87"/>
        <v>0</v>
      </c>
      <c r="I193" s="396">
        <f t="shared" si="87"/>
        <v>0</v>
      </c>
      <c r="J193" s="171"/>
      <c r="K193" s="171"/>
      <c r="L193" s="171"/>
      <c r="M193" s="171"/>
    </row>
    <row r="194" spans="1:13" outlineLevel="1" x14ac:dyDescent="0.2">
      <c r="A194" s="171"/>
      <c r="B194" s="224"/>
      <c r="C194" s="11" t="s">
        <v>107</v>
      </c>
      <c r="D194" s="396">
        <f t="shared" ref="D194:I194" si="88">D192+D193</f>
        <v>0</v>
      </c>
      <c r="E194" s="396">
        <f t="shared" si="88"/>
        <v>0</v>
      </c>
      <c r="F194" s="396">
        <f t="shared" si="88"/>
        <v>0</v>
      </c>
      <c r="G194" s="396">
        <f t="shared" si="88"/>
        <v>0</v>
      </c>
      <c r="H194" s="396">
        <f t="shared" si="88"/>
        <v>0</v>
      </c>
      <c r="I194" s="396">
        <f t="shared" si="88"/>
        <v>0</v>
      </c>
      <c r="J194" s="171"/>
      <c r="K194" s="171"/>
      <c r="L194" s="171"/>
      <c r="M194" s="171"/>
    </row>
    <row r="195" spans="1:13" x14ac:dyDescent="0.2">
      <c r="A195" s="171"/>
      <c r="B195" s="224"/>
      <c r="C195" s="171"/>
      <c r="D195" s="171"/>
      <c r="E195" s="171"/>
      <c r="F195" s="171"/>
      <c r="G195" s="171"/>
      <c r="H195" s="171"/>
      <c r="I195" s="171"/>
      <c r="J195" s="171"/>
      <c r="K195" s="171"/>
      <c r="L195" s="171"/>
      <c r="M195" s="171"/>
    </row>
    <row r="196" spans="1:13" ht="15" x14ac:dyDescent="0.2">
      <c r="A196" s="171"/>
      <c r="B196" s="423">
        <v>15</v>
      </c>
      <c r="C196" s="221" t="str">
        <f>INDEX(PBSScriptsNew,B196,1)</f>
        <v>** NOT USED **</v>
      </c>
      <c r="D196" s="207"/>
      <c r="E196" s="207"/>
      <c r="F196" s="207"/>
      <c r="G196" s="207"/>
      <c r="H196" s="207"/>
      <c r="I196" s="207"/>
      <c r="J196" s="189"/>
      <c r="K196" s="188"/>
      <c r="L196" s="782" t="str">
        <f>IF(C196&lt;&gt;MsgNotUsed,"Co-payment group " &amp; INDEX(CoPayBandMS,B196),"")</f>
        <v/>
      </c>
      <c r="M196" s="782"/>
    </row>
    <row r="197" spans="1:13" outlineLevel="1" x14ac:dyDescent="0.2">
      <c r="A197" s="171"/>
      <c r="B197" s="352">
        <f>INDEX(SANew,B196,5)</f>
        <v>0</v>
      </c>
      <c r="C197" s="20"/>
      <c r="D197" s="419">
        <v>2</v>
      </c>
      <c r="E197" s="419">
        <v>3</v>
      </c>
      <c r="F197" s="201">
        <v>4</v>
      </c>
      <c r="G197" s="201">
        <v>5</v>
      </c>
      <c r="H197" s="201">
        <v>6</v>
      </c>
      <c r="I197" s="201">
        <v>7</v>
      </c>
      <c r="J197" s="19"/>
      <c r="K197" s="19"/>
      <c r="L197" s="19"/>
      <c r="M197" s="19"/>
    </row>
    <row r="198" spans="1:13" outlineLevel="1" x14ac:dyDescent="0.2">
      <c r="A198" s="171"/>
      <c r="B198" s="224"/>
      <c r="C198" s="171"/>
      <c r="D198" s="414">
        <f>FirstYear</f>
        <v>0</v>
      </c>
      <c r="E198" s="414">
        <f>D198+1</f>
        <v>1</v>
      </c>
      <c r="F198" s="414">
        <f>E198+1</f>
        <v>2</v>
      </c>
      <c r="G198" s="414">
        <f>F198+1</f>
        <v>3</v>
      </c>
      <c r="H198" s="414">
        <f>G198+1</f>
        <v>4</v>
      </c>
      <c r="I198" s="414">
        <f>H198+1</f>
        <v>5</v>
      </c>
      <c r="J198" s="171"/>
      <c r="K198" s="171"/>
      <c r="L198" s="171"/>
      <c r="M198" s="171"/>
    </row>
    <row r="199" spans="1:13" outlineLevel="1" x14ac:dyDescent="0.2">
      <c r="A199" s="171"/>
      <c r="B199" s="422">
        <v>1</v>
      </c>
      <c r="C199" s="416" t="s">
        <v>104</v>
      </c>
      <c r="D199" s="396">
        <f t="shared" ref="D199:I199" si="89">INDEX(PBSScriptsNew,$B196,D197)*INDEX(DPMQCoPayNewEff,$B196,$B199)</f>
        <v>0</v>
      </c>
      <c r="E199" s="396">
        <f t="shared" si="89"/>
        <v>0</v>
      </c>
      <c r="F199" s="396">
        <f t="shared" si="89"/>
        <v>0</v>
      </c>
      <c r="G199" s="396">
        <f t="shared" si="89"/>
        <v>0</v>
      </c>
      <c r="H199" s="396">
        <f t="shared" si="89"/>
        <v>0</v>
      </c>
      <c r="I199" s="396">
        <f t="shared" si="89"/>
        <v>0</v>
      </c>
      <c r="J199" s="171"/>
      <c r="K199" s="171"/>
      <c r="L199" s="171"/>
      <c r="M199" s="171"/>
    </row>
    <row r="200" spans="1:13" outlineLevel="1" x14ac:dyDescent="0.2">
      <c r="A200" s="171"/>
      <c r="B200" s="422">
        <v>3</v>
      </c>
      <c r="C200" s="11" t="s">
        <v>129</v>
      </c>
      <c r="D200" s="396">
        <f t="shared" ref="D200:I200" si="90">INDEX(PBSScriptsNew,$B196,D197)*(INDEX(DPMQCoPayNewEff,$B196,$B200)/INDEX(CoPayCountNew,$B196))</f>
        <v>0</v>
      </c>
      <c r="E200" s="396">
        <f t="shared" si="90"/>
        <v>0</v>
      </c>
      <c r="F200" s="396">
        <f t="shared" si="90"/>
        <v>0</v>
      </c>
      <c r="G200" s="396">
        <f t="shared" si="90"/>
        <v>0</v>
      </c>
      <c r="H200" s="396">
        <f t="shared" si="90"/>
        <v>0</v>
      </c>
      <c r="I200" s="396">
        <f t="shared" si="90"/>
        <v>0</v>
      </c>
      <c r="J200" s="171"/>
      <c r="K200" s="763" t="str">
        <f>IF(B197&lt;&gt;0,MsgNote&amp;IF(B197="Yes",INDEX(CoPayMethod,1),INDEX(CoPayMethod,2)),"")</f>
        <v/>
      </c>
      <c r="L200" s="763"/>
      <c r="M200" s="763"/>
    </row>
    <row r="201" spans="1:13" outlineLevel="1" x14ac:dyDescent="0.2">
      <c r="A201" s="171"/>
      <c r="B201" s="224"/>
      <c r="C201" s="11" t="s">
        <v>106</v>
      </c>
      <c r="D201" s="396">
        <f t="shared" ref="D201:I201" si="91">D199+D200</f>
        <v>0</v>
      </c>
      <c r="E201" s="396">
        <f t="shared" si="91"/>
        <v>0</v>
      </c>
      <c r="F201" s="396">
        <f t="shared" si="91"/>
        <v>0</v>
      </c>
      <c r="G201" s="396">
        <f t="shared" si="91"/>
        <v>0</v>
      </c>
      <c r="H201" s="396">
        <f t="shared" si="91"/>
        <v>0</v>
      </c>
      <c r="I201" s="396">
        <f t="shared" si="91"/>
        <v>0</v>
      </c>
      <c r="J201" s="171"/>
      <c r="K201" s="171"/>
      <c r="L201" s="171"/>
      <c r="M201" s="171"/>
    </row>
    <row r="202" spans="1:13" outlineLevel="1" x14ac:dyDescent="0.2">
      <c r="A202" s="171"/>
      <c r="B202" s="202"/>
      <c r="C202" s="171"/>
      <c r="D202" s="171"/>
      <c r="E202" s="171"/>
      <c r="F202" s="171"/>
      <c r="G202" s="171"/>
      <c r="H202" s="171"/>
      <c r="I202" s="171"/>
      <c r="J202" s="171"/>
      <c r="K202" s="171"/>
      <c r="L202" s="171"/>
      <c r="M202" s="171"/>
    </row>
    <row r="203" spans="1:13" ht="15.75" outlineLevel="1" x14ac:dyDescent="0.2">
      <c r="A203" s="171"/>
      <c r="B203" s="202"/>
      <c r="C203" s="193"/>
      <c r="D203" s="414">
        <f>FirstYear</f>
        <v>0</v>
      </c>
      <c r="E203" s="414">
        <f>D203+1</f>
        <v>1</v>
      </c>
      <c r="F203" s="414">
        <f>E203+1</f>
        <v>2</v>
      </c>
      <c r="G203" s="414">
        <f>F203+1</f>
        <v>3</v>
      </c>
      <c r="H203" s="414">
        <f>G203+1</f>
        <v>4</v>
      </c>
      <c r="I203" s="414">
        <f>H203+1</f>
        <v>5</v>
      </c>
      <c r="J203" s="171"/>
      <c r="K203" s="171"/>
      <c r="L203" s="171"/>
      <c r="M203" s="171"/>
    </row>
    <row r="204" spans="1:13" outlineLevel="1" x14ac:dyDescent="0.2">
      <c r="A204" s="171"/>
      <c r="B204" s="422">
        <v>1</v>
      </c>
      <c r="C204" s="416" t="s">
        <v>105</v>
      </c>
      <c r="D204" s="396">
        <f t="shared" ref="D204:I204" si="92">INDEX(RPBSScriptsNew,$B196,D197)*INDEX(DPMQCoPayNewEff,$B196,$B204)</f>
        <v>0</v>
      </c>
      <c r="E204" s="396">
        <f t="shared" si="92"/>
        <v>0</v>
      </c>
      <c r="F204" s="396">
        <f t="shared" si="92"/>
        <v>0</v>
      </c>
      <c r="G204" s="396">
        <f t="shared" si="92"/>
        <v>0</v>
      </c>
      <c r="H204" s="396">
        <f t="shared" si="92"/>
        <v>0</v>
      </c>
      <c r="I204" s="396">
        <f t="shared" si="92"/>
        <v>0</v>
      </c>
      <c r="J204" s="171"/>
      <c r="K204" s="171"/>
      <c r="L204" s="171"/>
      <c r="M204" s="171"/>
    </row>
    <row r="205" spans="1:13" outlineLevel="1" x14ac:dyDescent="0.2">
      <c r="A205" s="171"/>
      <c r="B205" s="422">
        <v>4</v>
      </c>
      <c r="C205" s="11" t="s">
        <v>129</v>
      </c>
      <c r="D205" s="396">
        <f t="shared" ref="D205:I205" si="93">INDEX(RPBSScriptsNew,$B196,D197)*(INDEX(DPMQCoPayNewEff,$B196,$B205)/INDEX(CoPayCountNew,$B196))</f>
        <v>0</v>
      </c>
      <c r="E205" s="396">
        <f t="shared" si="93"/>
        <v>0</v>
      </c>
      <c r="F205" s="396">
        <f t="shared" si="93"/>
        <v>0</v>
      </c>
      <c r="G205" s="396">
        <f t="shared" si="93"/>
        <v>0</v>
      </c>
      <c r="H205" s="396">
        <f t="shared" si="93"/>
        <v>0</v>
      </c>
      <c r="I205" s="396">
        <f t="shared" si="93"/>
        <v>0</v>
      </c>
      <c r="J205" s="171"/>
      <c r="K205" s="171"/>
      <c r="L205" s="171"/>
      <c r="M205" s="171"/>
    </row>
    <row r="206" spans="1:13" outlineLevel="1" x14ac:dyDescent="0.2">
      <c r="A206" s="171"/>
      <c r="B206" s="224"/>
      <c r="C206" s="11" t="s">
        <v>107</v>
      </c>
      <c r="D206" s="396">
        <f t="shared" ref="D206:I206" si="94">D204+D205</f>
        <v>0</v>
      </c>
      <c r="E206" s="396">
        <f t="shared" si="94"/>
        <v>0</v>
      </c>
      <c r="F206" s="396">
        <f t="shared" si="94"/>
        <v>0</v>
      </c>
      <c r="G206" s="396">
        <f t="shared" si="94"/>
        <v>0</v>
      </c>
      <c r="H206" s="396">
        <f t="shared" si="94"/>
        <v>0</v>
      </c>
      <c r="I206" s="396">
        <f t="shared" si="94"/>
        <v>0</v>
      </c>
      <c r="J206" s="171"/>
      <c r="K206" s="171"/>
      <c r="L206" s="171"/>
      <c r="M206" s="171"/>
    </row>
    <row r="207" spans="1:13" x14ac:dyDescent="0.2">
      <c r="A207" s="171"/>
      <c r="B207" s="224"/>
      <c r="C207" s="171"/>
      <c r="D207" s="171"/>
      <c r="E207" s="171"/>
      <c r="F207" s="171"/>
      <c r="G207" s="171"/>
      <c r="H207" s="171"/>
      <c r="I207" s="171"/>
      <c r="J207" s="171"/>
      <c r="K207" s="171"/>
      <c r="L207" s="171"/>
      <c r="M207" s="171"/>
    </row>
    <row r="208" spans="1:13" ht="15" x14ac:dyDescent="0.2">
      <c r="A208" s="171"/>
      <c r="B208" s="423">
        <v>16</v>
      </c>
      <c r="C208" s="221" t="str">
        <f>INDEX(PBSScriptsNew,B208,1)</f>
        <v>** NOT USED **</v>
      </c>
      <c r="D208" s="207"/>
      <c r="E208" s="207"/>
      <c r="F208" s="207"/>
      <c r="G208" s="207"/>
      <c r="H208" s="207"/>
      <c r="I208" s="207"/>
      <c r="J208" s="189"/>
      <c r="K208" s="188"/>
      <c r="L208" s="782" t="str">
        <f>IF(C208&lt;&gt;MsgNotUsed,"Co-payment group " &amp; INDEX(CoPayBandMS,B208),"")</f>
        <v/>
      </c>
      <c r="M208" s="782"/>
    </row>
    <row r="209" spans="1:13" outlineLevel="1" x14ac:dyDescent="0.2">
      <c r="A209" s="171"/>
      <c r="B209" s="352">
        <f>INDEX(SANew,B208,5)</f>
        <v>0</v>
      </c>
      <c r="C209" s="20"/>
      <c r="D209" s="419">
        <v>2</v>
      </c>
      <c r="E209" s="419">
        <v>3</v>
      </c>
      <c r="F209" s="201">
        <v>4</v>
      </c>
      <c r="G209" s="201">
        <v>5</v>
      </c>
      <c r="H209" s="201">
        <v>6</v>
      </c>
      <c r="I209" s="201">
        <v>7</v>
      </c>
      <c r="J209" s="19"/>
      <c r="K209" s="19"/>
      <c r="L209" s="19"/>
      <c r="M209" s="19"/>
    </row>
    <row r="210" spans="1:13" outlineLevel="1" x14ac:dyDescent="0.2">
      <c r="A210" s="171"/>
      <c r="B210" s="224"/>
      <c r="C210" s="171"/>
      <c r="D210" s="414">
        <f>FirstYear</f>
        <v>0</v>
      </c>
      <c r="E210" s="414">
        <f>D210+1</f>
        <v>1</v>
      </c>
      <c r="F210" s="414">
        <f>E210+1</f>
        <v>2</v>
      </c>
      <c r="G210" s="414">
        <f>F210+1</f>
        <v>3</v>
      </c>
      <c r="H210" s="414">
        <f>G210+1</f>
        <v>4</v>
      </c>
      <c r="I210" s="414">
        <f>H210+1</f>
        <v>5</v>
      </c>
      <c r="J210" s="171"/>
      <c r="K210" s="171"/>
      <c r="L210" s="171"/>
      <c r="M210" s="171"/>
    </row>
    <row r="211" spans="1:13" outlineLevel="1" x14ac:dyDescent="0.2">
      <c r="A211" s="171"/>
      <c r="B211" s="422">
        <v>1</v>
      </c>
      <c r="C211" s="416" t="s">
        <v>104</v>
      </c>
      <c r="D211" s="396">
        <f t="shared" ref="D211:I211" si="95">INDEX(PBSScriptsNew,$B208,D209)*INDEX(DPMQCoPayNewEff,$B208,$B211)</f>
        <v>0</v>
      </c>
      <c r="E211" s="396">
        <f t="shared" si="95"/>
        <v>0</v>
      </c>
      <c r="F211" s="396">
        <f t="shared" si="95"/>
        <v>0</v>
      </c>
      <c r="G211" s="396">
        <f t="shared" si="95"/>
        <v>0</v>
      </c>
      <c r="H211" s="396">
        <f t="shared" si="95"/>
        <v>0</v>
      </c>
      <c r="I211" s="396">
        <f t="shared" si="95"/>
        <v>0</v>
      </c>
      <c r="J211" s="171"/>
      <c r="K211" s="171"/>
      <c r="L211" s="171"/>
      <c r="M211" s="171"/>
    </row>
    <row r="212" spans="1:13" outlineLevel="1" x14ac:dyDescent="0.2">
      <c r="A212" s="171"/>
      <c r="B212" s="422">
        <v>3</v>
      </c>
      <c r="C212" s="11" t="s">
        <v>129</v>
      </c>
      <c r="D212" s="396">
        <f t="shared" ref="D212:I212" si="96">INDEX(PBSScriptsNew,$B208,D209)*(INDEX(DPMQCoPayNewEff,$B208,$B212)/INDEX(CoPayCountNew,$B208))</f>
        <v>0</v>
      </c>
      <c r="E212" s="396">
        <f t="shared" si="96"/>
        <v>0</v>
      </c>
      <c r="F212" s="396">
        <f t="shared" si="96"/>
        <v>0</v>
      </c>
      <c r="G212" s="396">
        <f t="shared" si="96"/>
        <v>0</v>
      </c>
      <c r="H212" s="396">
        <f t="shared" si="96"/>
        <v>0</v>
      </c>
      <c r="I212" s="396">
        <f t="shared" si="96"/>
        <v>0</v>
      </c>
      <c r="J212" s="171"/>
      <c r="K212" s="763" t="str">
        <f>IF(B209&lt;&gt;0,MsgNote&amp;IF(B209="Yes",INDEX(CoPayMethod,1),INDEX(CoPayMethod,2)),"")</f>
        <v/>
      </c>
      <c r="L212" s="763"/>
      <c r="M212" s="763"/>
    </row>
    <row r="213" spans="1:13" outlineLevel="1" x14ac:dyDescent="0.2">
      <c r="A213" s="171"/>
      <c r="B213" s="224"/>
      <c r="C213" s="11" t="s">
        <v>106</v>
      </c>
      <c r="D213" s="396">
        <f t="shared" ref="D213:I213" si="97">D211+D212</f>
        <v>0</v>
      </c>
      <c r="E213" s="396">
        <f t="shared" si="97"/>
        <v>0</v>
      </c>
      <c r="F213" s="396">
        <f t="shared" si="97"/>
        <v>0</v>
      </c>
      <c r="G213" s="396">
        <f t="shared" si="97"/>
        <v>0</v>
      </c>
      <c r="H213" s="396">
        <f t="shared" si="97"/>
        <v>0</v>
      </c>
      <c r="I213" s="396">
        <f t="shared" si="97"/>
        <v>0</v>
      </c>
      <c r="J213" s="171"/>
      <c r="K213" s="171"/>
      <c r="L213" s="171"/>
      <c r="M213" s="171"/>
    </row>
    <row r="214" spans="1:13" outlineLevel="1" x14ac:dyDescent="0.2">
      <c r="A214" s="171"/>
      <c r="B214" s="202"/>
      <c r="C214" s="171"/>
      <c r="D214" s="171"/>
      <c r="E214" s="171"/>
      <c r="F214" s="171"/>
      <c r="G214" s="171"/>
      <c r="H214" s="171"/>
      <c r="I214" s="171"/>
      <c r="J214" s="171"/>
      <c r="K214" s="171"/>
      <c r="L214" s="171"/>
      <c r="M214" s="171"/>
    </row>
    <row r="215" spans="1:13" ht="15.75" outlineLevel="1" x14ac:dyDescent="0.2">
      <c r="A215" s="171"/>
      <c r="B215" s="202"/>
      <c r="C215" s="193"/>
      <c r="D215" s="414">
        <f>FirstYear</f>
        <v>0</v>
      </c>
      <c r="E215" s="414">
        <f>D215+1</f>
        <v>1</v>
      </c>
      <c r="F215" s="414">
        <f>E215+1</f>
        <v>2</v>
      </c>
      <c r="G215" s="414">
        <f>F215+1</f>
        <v>3</v>
      </c>
      <c r="H215" s="414">
        <f>G215+1</f>
        <v>4</v>
      </c>
      <c r="I215" s="414">
        <f>H215+1</f>
        <v>5</v>
      </c>
      <c r="J215" s="171"/>
      <c r="K215" s="171"/>
      <c r="L215" s="171"/>
      <c r="M215" s="171"/>
    </row>
    <row r="216" spans="1:13" outlineLevel="1" x14ac:dyDescent="0.2">
      <c r="A216" s="171"/>
      <c r="B216" s="422">
        <v>1</v>
      </c>
      <c r="C216" s="416" t="s">
        <v>105</v>
      </c>
      <c r="D216" s="396">
        <f t="shared" ref="D216:I216" si="98">INDEX(RPBSScriptsNew,$B208,D209)*INDEX(DPMQCoPayNewEff,$B208,$B216)</f>
        <v>0</v>
      </c>
      <c r="E216" s="396">
        <f t="shared" si="98"/>
        <v>0</v>
      </c>
      <c r="F216" s="396">
        <f t="shared" si="98"/>
        <v>0</v>
      </c>
      <c r="G216" s="396">
        <f t="shared" si="98"/>
        <v>0</v>
      </c>
      <c r="H216" s="396">
        <f t="shared" si="98"/>
        <v>0</v>
      </c>
      <c r="I216" s="396">
        <f t="shared" si="98"/>
        <v>0</v>
      </c>
      <c r="J216" s="171"/>
      <c r="K216" s="171"/>
      <c r="L216" s="171"/>
      <c r="M216" s="171"/>
    </row>
    <row r="217" spans="1:13" outlineLevel="1" x14ac:dyDescent="0.2">
      <c r="A217" s="171"/>
      <c r="B217" s="422">
        <v>4</v>
      </c>
      <c r="C217" s="11" t="s">
        <v>129</v>
      </c>
      <c r="D217" s="396">
        <f t="shared" ref="D217:I217" si="99">INDEX(RPBSScriptsNew,$B208,D209)*(INDEX(DPMQCoPayNewEff,$B208,$B217)/INDEX(CoPayCountNew,$B208))</f>
        <v>0</v>
      </c>
      <c r="E217" s="396">
        <f t="shared" si="99"/>
        <v>0</v>
      </c>
      <c r="F217" s="396">
        <f t="shared" si="99"/>
        <v>0</v>
      </c>
      <c r="G217" s="396">
        <f t="shared" si="99"/>
        <v>0</v>
      </c>
      <c r="H217" s="396">
        <f t="shared" si="99"/>
        <v>0</v>
      </c>
      <c r="I217" s="396">
        <f t="shared" si="99"/>
        <v>0</v>
      </c>
      <c r="J217" s="171"/>
      <c r="K217" s="171"/>
      <c r="L217" s="171"/>
      <c r="M217" s="171"/>
    </row>
    <row r="218" spans="1:13" outlineLevel="1" x14ac:dyDescent="0.2">
      <c r="A218" s="171"/>
      <c r="B218" s="224"/>
      <c r="C218" s="11" t="s">
        <v>107</v>
      </c>
      <c r="D218" s="396">
        <f t="shared" ref="D218:I218" si="100">D216+D217</f>
        <v>0</v>
      </c>
      <c r="E218" s="396">
        <f t="shared" si="100"/>
        <v>0</v>
      </c>
      <c r="F218" s="396">
        <f t="shared" si="100"/>
        <v>0</v>
      </c>
      <c r="G218" s="396">
        <f t="shared" si="100"/>
        <v>0</v>
      </c>
      <c r="H218" s="396">
        <f t="shared" si="100"/>
        <v>0</v>
      </c>
      <c r="I218" s="396">
        <f t="shared" si="100"/>
        <v>0</v>
      </c>
      <c r="J218" s="171"/>
      <c r="K218" s="171"/>
      <c r="L218" s="171"/>
      <c r="M218" s="171"/>
    </row>
    <row r="219" spans="1:13" x14ac:dyDescent="0.2">
      <c r="A219" s="171"/>
      <c r="B219" s="224"/>
      <c r="C219" s="171"/>
      <c r="D219" s="171"/>
      <c r="E219" s="171"/>
      <c r="F219" s="171"/>
      <c r="G219" s="171"/>
      <c r="H219" s="171"/>
      <c r="I219" s="171"/>
      <c r="J219" s="171"/>
      <c r="K219" s="171"/>
      <c r="L219" s="171"/>
      <c r="M219" s="171"/>
    </row>
    <row r="220" spans="1:13" ht="15" x14ac:dyDescent="0.2">
      <c r="A220" s="171"/>
      <c r="B220" s="423">
        <v>17</v>
      </c>
      <c r="C220" s="221" t="str">
        <f>INDEX(PBSScriptsNew,B220,1)</f>
        <v>** NOT USED **</v>
      </c>
      <c r="D220" s="207"/>
      <c r="E220" s="207"/>
      <c r="F220" s="207"/>
      <c r="G220" s="207"/>
      <c r="H220" s="207"/>
      <c r="I220" s="207"/>
      <c r="J220" s="189"/>
      <c r="K220" s="188"/>
      <c r="L220" s="782" t="str">
        <f>IF(C220&lt;&gt;MsgNotUsed,"Co-payment group " &amp; INDEX(CoPayBandMS,B220),"")</f>
        <v/>
      </c>
      <c r="M220" s="782"/>
    </row>
    <row r="221" spans="1:13" outlineLevel="1" x14ac:dyDescent="0.2">
      <c r="A221" s="171"/>
      <c r="B221" s="352">
        <f>INDEX(SANew,B220,5)</f>
        <v>0</v>
      </c>
      <c r="C221" s="20"/>
      <c r="D221" s="419">
        <v>2</v>
      </c>
      <c r="E221" s="419">
        <v>3</v>
      </c>
      <c r="F221" s="201">
        <v>4</v>
      </c>
      <c r="G221" s="201">
        <v>5</v>
      </c>
      <c r="H221" s="201">
        <v>6</v>
      </c>
      <c r="I221" s="201">
        <v>7</v>
      </c>
      <c r="J221" s="19"/>
      <c r="K221" s="19"/>
      <c r="L221" s="19"/>
      <c r="M221" s="19"/>
    </row>
    <row r="222" spans="1:13" outlineLevel="1" x14ac:dyDescent="0.2">
      <c r="A222" s="171"/>
      <c r="B222" s="224"/>
      <c r="C222" s="171"/>
      <c r="D222" s="414">
        <f>FirstYear</f>
        <v>0</v>
      </c>
      <c r="E222" s="414">
        <f>D222+1</f>
        <v>1</v>
      </c>
      <c r="F222" s="414">
        <f>E222+1</f>
        <v>2</v>
      </c>
      <c r="G222" s="414">
        <f>F222+1</f>
        <v>3</v>
      </c>
      <c r="H222" s="414">
        <f>G222+1</f>
        <v>4</v>
      </c>
      <c r="I222" s="414">
        <f>H222+1</f>
        <v>5</v>
      </c>
      <c r="J222" s="171"/>
      <c r="K222" s="171"/>
      <c r="L222" s="171"/>
      <c r="M222" s="171"/>
    </row>
    <row r="223" spans="1:13" outlineLevel="1" x14ac:dyDescent="0.2">
      <c r="A223" s="171"/>
      <c r="B223" s="422">
        <v>1</v>
      </c>
      <c r="C223" s="416" t="s">
        <v>104</v>
      </c>
      <c r="D223" s="396">
        <f t="shared" ref="D223:I223" si="101">INDEX(PBSScriptsNew,$B220,D221)*INDEX(DPMQCoPayNewEff,$B220,$B223)</f>
        <v>0</v>
      </c>
      <c r="E223" s="396">
        <f t="shared" si="101"/>
        <v>0</v>
      </c>
      <c r="F223" s="396">
        <f t="shared" si="101"/>
        <v>0</v>
      </c>
      <c r="G223" s="396">
        <f t="shared" si="101"/>
        <v>0</v>
      </c>
      <c r="H223" s="396">
        <f t="shared" si="101"/>
        <v>0</v>
      </c>
      <c r="I223" s="396">
        <f t="shared" si="101"/>
        <v>0</v>
      </c>
      <c r="J223" s="171"/>
      <c r="K223" s="171"/>
      <c r="L223" s="171"/>
      <c r="M223" s="171"/>
    </row>
    <row r="224" spans="1:13" outlineLevel="1" x14ac:dyDescent="0.2">
      <c r="A224" s="171"/>
      <c r="B224" s="422">
        <v>3</v>
      </c>
      <c r="C224" s="11" t="s">
        <v>129</v>
      </c>
      <c r="D224" s="396">
        <f t="shared" ref="D224:I224" si="102">INDEX(PBSScriptsNew,$B220,D221)*(INDEX(DPMQCoPayNewEff,$B220,$B224)/INDEX(CoPayCountNew,$B220))</f>
        <v>0</v>
      </c>
      <c r="E224" s="396">
        <f t="shared" si="102"/>
        <v>0</v>
      </c>
      <c r="F224" s="396">
        <f t="shared" si="102"/>
        <v>0</v>
      </c>
      <c r="G224" s="396">
        <f t="shared" si="102"/>
        <v>0</v>
      </c>
      <c r="H224" s="396">
        <f t="shared" si="102"/>
        <v>0</v>
      </c>
      <c r="I224" s="396">
        <f t="shared" si="102"/>
        <v>0</v>
      </c>
      <c r="J224" s="171"/>
      <c r="K224" s="763" t="str">
        <f>IF(B221&lt;&gt;0,MsgNote&amp;IF(B221="Yes",INDEX(CoPayMethod,1),INDEX(CoPayMethod,2)),"")</f>
        <v/>
      </c>
      <c r="L224" s="763"/>
      <c r="M224" s="763"/>
    </row>
    <row r="225" spans="1:13" outlineLevel="1" x14ac:dyDescent="0.2">
      <c r="A225" s="171"/>
      <c r="B225" s="224"/>
      <c r="C225" s="11" t="s">
        <v>106</v>
      </c>
      <c r="D225" s="396">
        <f t="shared" ref="D225:I225" si="103">D223+D224</f>
        <v>0</v>
      </c>
      <c r="E225" s="396">
        <f t="shared" si="103"/>
        <v>0</v>
      </c>
      <c r="F225" s="396">
        <f t="shared" si="103"/>
        <v>0</v>
      </c>
      <c r="G225" s="396">
        <f t="shared" si="103"/>
        <v>0</v>
      </c>
      <c r="H225" s="396">
        <f t="shared" si="103"/>
        <v>0</v>
      </c>
      <c r="I225" s="396">
        <f t="shared" si="103"/>
        <v>0</v>
      </c>
      <c r="J225" s="171"/>
      <c r="K225" s="171"/>
      <c r="L225" s="171"/>
      <c r="M225" s="171"/>
    </row>
    <row r="226" spans="1:13" outlineLevel="1" x14ac:dyDescent="0.2">
      <c r="A226" s="171"/>
      <c r="B226" s="202"/>
      <c r="C226" s="171"/>
      <c r="D226" s="171"/>
      <c r="E226" s="171"/>
      <c r="F226" s="171"/>
      <c r="G226" s="171"/>
      <c r="H226" s="171"/>
      <c r="I226" s="171"/>
      <c r="J226" s="171"/>
      <c r="K226" s="171"/>
      <c r="L226" s="171"/>
      <c r="M226" s="171"/>
    </row>
    <row r="227" spans="1:13" ht="15.75" outlineLevel="1" x14ac:dyDescent="0.2">
      <c r="A227" s="171"/>
      <c r="B227" s="202"/>
      <c r="C227" s="193"/>
      <c r="D227" s="414">
        <f>FirstYear</f>
        <v>0</v>
      </c>
      <c r="E227" s="414">
        <f>D227+1</f>
        <v>1</v>
      </c>
      <c r="F227" s="414">
        <f>E227+1</f>
        <v>2</v>
      </c>
      <c r="G227" s="414">
        <f>F227+1</f>
        <v>3</v>
      </c>
      <c r="H227" s="414">
        <f>G227+1</f>
        <v>4</v>
      </c>
      <c r="I227" s="414">
        <f>H227+1</f>
        <v>5</v>
      </c>
      <c r="J227" s="171"/>
      <c r="K227" s="171"/>
      <c r="L227" s="171"/>
      <c r="M227" s="171"/>
    </row>
    <row r="228" spans="1:13" outlineLevel="1" x14ac:dyDescent="0.2">
      <c r="A228" s="171"/>
      <c r="B228" s="422">
        <v>1</v>
      </c>
      <c r="C228" s="416" t="s">
        <v>105</v>
      </c>
      <c r="D228" s="396">
        <f t="shared" ref="D228:I228" si="104">INDEX(RPBSScriptsNew,$B220,D221)*INDEX(DPMQCoPayNewEff,$B220,$B228)</f>
        <v>0</v>
      </c>
      <c r="E228" s="396">
        <f t="shared" si="104"/>
        <v>0</v>
      </c>
      <c r="F228" s="396">
        <f t="shared" si="104"/>
        <v>0</v>
      </c>
      <c r="G228" s="396">
        <f t="shared" si="104"/>
        <v>0</v>
      </c>
      <c r="H228" s="396">
        <f t="shared" si="104"/>
        <v>0</v>
      </c>
      <c r="I228" s="396">
        <f t="shared" si="104"/>
        <v>0</v>
      </c>
      <c r="J228" s="171"/>
      <c r="K228" s="171"/>
      <c r="L228" s="171"/>
      <c r="M228" s="171"/>
    </row>
    <row r="229" spans="1:13" outlineLevel="1" x14ac:dyDescent="0.2">
      <c r="A229" s="171"/>
      <c r="B229" s="422">
        <v>4</v>
      </c>
      <c r="C229" s="11" t="s">
        <v>129</v>
      </c>
      <c r="D229" s="396">
        <f t="shared" ref="D229:I229" si="105">INDEX(RPBSScriptsNew,$B220,D221)*(INDEX(DPMQCoPayNewEff,$B220,$B229)/INDEX(CoPayCountNew,$B220))</f>
        <v>0</v>
      </c>
      <c r="E229" s="396">
        <f t="shared" si="105"/>
        <v>0</v>
      </c>
      <c r="F229" s="396">
        <f t="shared" si="105"/>
        <v>0</v>
      </c>
      <c r="G229" s="396">
        <f t="shared" si="105"/>
        <v>0</v>
      </c>
      <c r="H229" s="396">
        <f t="shared" si="105"/>
        <v>0</v>
      </c>
      <c r="I229" s="396">
        <f t="shared" si="105"/>
        <v>0</v>
      </c>
      <c r="J229" s="171"/>
      <c r="K229" s="171"/>
      <c r="L229" s="171"/>
      <c r="M229" s="171"/>
    </row>
    <row r="230" spans="1:13" outlineLevel="1" x14ac:dyDescent="0.2">
      <c r="A230" s="171"/>
      <c r="B230" s="224"/>
      <c r="C230" s="11" t="s">
        <v>107</v>
      </c>
      <c r="D230" s="396">
        <f t="shared" ref="D230:I230" si="106">D228+D229</f>
        <v>0</v>
      </c>
      <c r="E230" s="396">
        <f t="shared" si="106"/>
        <v>0</v>
      </c>
      <c r="F230" s="396">
        <f t="shared" si="106"/>
        <v>0</v>
      </c>
      <c r="G230" s="396">
        <f t="shared" si="106"/>
        <v>0</v>
      </c>
      <c r="H230" s="396">
        <f t="shared" si="106"/>
        <v>0</v>
      </c>
      <c r="I230" s="396">
        <f t="shared" si="106"/>
        <v>0</v>
      </c>
      <c r="J230" s="171"/>
      <c r="K230" s="171"/>
      <c r="L230" s="171"/>
      <c r="M230" s="171"/>
    </row>
    <row r="231" spans="1:13" x14ac:dyDescent="0.2">
      <c r="A231" s="171"/>
      <c r="B231" s="224"/>
      <c r="C231" s="171"/>
      <c r="D231" s="171"/>
      <c r="E231" s="171"/>
      <c r="F231" s="171"/>
      <c r="G231" s="171"/>
      <c r="H231" s="171"/>
      <c r="I231" s="171"/>
      <c r="J231" s="171"/>
      <c r="K231" s="171"/>
      <c r="L231" s="171"/>
      <c r="M231" s="171"/>
    </row>
    <row r="232" spans="1:13" ht="15" x14ac:dyDescent="0.2">
      <c r="A232" s="171"/>
      <c r="B232" s="423">
        <v>18</v>
      </c>
      <c r="C232" s="221" t="str">
        <f>INDEX(PBSScriptsNew,B232,1)</f>
        <v>** NOT USED **</v>
      </c>
      <c r="D232" s="207"/>
      <c r="E232" s="207"/>
      <c r="F232" s="207"/>
      <c r="G232" s="207"/>
      <c r="H232" s="207"/>
      <c r="I232" s="207"/>
      <c r="J232" s="189"/>
      <c r="K232" s="188"/>
      <c r="L232" s="782" t="str">
        <f>IF(C232&lt;&gt;MsgNotUsed,"Co-payment group " &amp; INDEX(CoPayBandMS,B232),"")</f>
        <v/>
      </c>
      <c r="M232" s="782"/>
    </row>
    <row r="233" spans="1:13" outlineLevel="1" x14ac:dyDescent="0.2">
      <c r="A233" s="171"/>
      <c r="B233" s="352">
        <f>INDEX(SANew,B232,5)</f>
        <v>0</v>
      </c>
      <c r="C233" s="20"/>
      <c r="D233" s="419">
        <v>2</v>
      </c>
      <c r="E233" s="419">
        <v>3</v>
      </c>
      <c r="F233" s="201">
        <v>4</v>
      </c>
      <c r="G233" s="201">
        <v>5</v>
      </c>
      <c r="H233" s="201">
        <v>6</v>
      </c>
      <c r="I233" s="201">
        <v>7</v>
      </c>
      <c r="J233" s="19"/>
      <c r="K233" s="19"/>
      <c r="L233" s="19"/>
      <c r="M233" s="19"/>
    </row>
    <row r="234" spans="1:13" outlineLevel="1" x14ac:dyDescent="0.2">
      <c r="A234" s="171"/>
      <c r="B234" s="224"/>
      <c r="C234" s="171"/>
      <c r="D234" s="414">
        <f>FirstYear</f>
        <v>0</v>
      </c>
      <c r="E234" s="414">
        <f>D234+1</f>
        <v>1</v>
      </c>
      <c r="F234" s="414">
        <f>E234+1</f>
        <v>2</v>
      </c>
      <c r="G234" s="414">
        <f>F234+1</f>
        <v>3</v>
      </c>
      <c r="H234" s="414">
        <f>G234+1</f>
        <v>4</v>
      </c>
      <c r="I234" s="414">
        <f>H234+1</f>
        <v>5</v>
      </c>
      <c r="J234" s="171"/>
      <c r="K234" s="171"/>
      <c r="L234" s="171"/>
      <c r="M234" s="171"/>
    </row>
    <row r="235" spans="1:13" outlineLevel="1" x14ac:dyDescent="0.2">
      <c r="A235" s="171"/>
      <c r="B235" s="422">
        <v>1</v>
      </c>
      <c r="C235" s="416" t="s">
        <v>104</v>
      </c>
      <c r="D235" s="396">
        <f t="shared" ref="D235:I235" si="107">INDEX(PBSScriptsNew,$B232,D233)*INDEX(DPMQCoPayNewEff,$B232,$B235)</f>
        <v>0</v>
      </c>
      <c r="E235" s="396">
        <f t="shared" si="107"/>
        <v>0</v>
      </c>
      <c r="F235" s="396">
        <f t="shared" si="107"/>
        <v>0</v>
      </c>
      <c r="G235" s="396">
        <f t="shared" si="107"/>
        <v>0</v>
      </c>
      <c r="H235" s="396">
        <f t="shared" si="107"/>
        <v>0</v>
      </c>
      <c r="I235" s="396">
        <f t="shared" si="107"/>
        <v>0</v>
      </c>
      <c r="J235" s="171"/>
      <c r="K235" s="171"/>
      <c r="L235" s="171"/>
      <c r="M235" s="171"/>
    </row>
    <row r="236" spans="1:13" outlineLevel="1" x14ac:dyDescent="0.2">
      <c r="A236" s="171"/>
      <c r="B236" s="422">
        <v>3</v>
      </c>
      <c r="C236" s="11" t="s">
        <v>129</v>
      </c>
      <c r="D236" s="396">
        <f t="shared" ref="D236:I236" si="108">INDEX(PBSScriptsNew,$B232,D233)*(INDEX(DPMQCoPayNewEff,$B232,$B236)/INDEX(CoPayCountNew,$B232))</f>
        <v>0</v>
      </c>
      <c r="E236" s="396">
        <f t="shared" si="108"/>
        <v>0</v>
      </c>
      <c r="F236" s="396">
        <f t="shared" si="108"/>
        <v>0</v>
      </c>
      <c r="G236" s="396">
        <f t="shared" si="108"/>
        <v>0</v>
      </c>
      <c r="H236" s="396">
        <f t="shared" si="108"/>
        <v>0</v>
      </c>
      <c r="I236" s="396">
        <f t="shared" si="108"/>
        <v>0</v>
      </c>
      <c r="J236" s="171"/>
      <c r="K236" s="763" t="str">
        <f>IF(B233&lt;&gt;0,MsgNote&amp;IF(B233="Yes",INDEX(CoPayMethod,1),INDEX(CoPayMethod,2)),"")</f>
        <v/>
      </c>
      <c r="L236" s="763"/>
      <c r="M236" s="763"/>
    </row>
    <row r="237" spans="1:13" outlineLevel="1" x14ac:dyDescent="0.2">
      <c r="A237" s="171"/>
      <c r="B237" s="224"/>
      <c r="C237" s="11" t="s">
        <v>106</v>
      </c>
      <c r="D237" s="396">
        <f t="shared" ref="D237:I237" si="109">D235+D236</f>
        <v>0</v>
      </c>
      <c r="E237" s="396">
        <f t="shared" si="109"/>
        <v>0</v>
      </c>
      <c r="F237" s="396">
        <f t="shared" si="109"/>
        <v>0</v>
      </c>
      <c r="G237" s="396">
        <f t="shared" si="109"/>
        <v>0</v>
      </c>
      <c r="H237" s="396">
        <f t="shared" si="109"/>
        <v>0</v>
      </c>
      <c r="I237" s="396">
        <f t="shared" si="109"/>
        <v>0</v>
      </c>
      <c r="J237" s="171"/>
      <c r="K237" s="171"/>
      <c r="L237" s="171"/>
      <c r="M237" s="171"/>
    </row>
    <row r="238" spans="1:13" outlineLevel="1" x14ac:dyDescent="0.2">
      <c r="A238" s="171"/>
      <c r="B238" s="202"/>
      <c r="C238" s="171"/>
      <c r="D238" s="171"/>
      <c r="E238" s="171"/>
      <c r="F238" s="171"/>
      <c r="G238" s="171"/>
      <c r="H238" s="171"/>
      <c r="I238" s="171"/>
      <c r="J238" s="171"/>
      <c r="K238" s="171"/>
      <c r="L238" s="171"/>
      <c r="M238" s="171"/>
    </row>
    <row r="239" spans="1:13" ht="15.75" outlineLevel="1" x14ac:dyDescent="0.2">
      <c r="A239" s="171"/>
      <c r="B239" s="202"/>
      <c r="C239" s="193"/>
      <c r="D239" s="414">
        <f>FirstYear</f>
        <v>0</v>
      </c>
      <c r="E239" s="414">
        <f>D239+1</f>
        <v>1</v>
      </c>
      <c r="F239" s="414">
        <f>E239+1</f>
        <v>2</v>
      </c>
      <c r="G239" s="414">
        <f>F239+1</f>
        <v>3</v>
      </c>
      <c r="H239" s="414">
        <f>G239+1</f>
        <v>4</v>
      </c>
      <c r="I239" s="414">
        <f>H239+1</f>
        <v>5</v>
      </c>
      <c r="J239" s="171"/>
      <c r="K239" s="171"/>
      <c r="L239" s="171"/>
      <c r="M239" s="171"/>
    </row>
    <row r="240" spans="1:13" outlineLevel="1" x14ac:dyDescent="0.2">
      <c r="A240" s="171"/>
      <c r="B240" s="422">
        <v>1</v>
      </c>
      <c r="C240" s="416" t="s">
        <v>105</v>
      </c>
      <c r="D240" s="396">
        <f t="shared" ref="D240:I240" si="110">INDEX(RPBSScriptsNew,$B232,D233)*INDEX(DPMQCoPayNewEff,$B232,$B240)</f>
        <v>0</v>
      </c>
      <c r="E240" s="396">
        <f t="shared" si="110"/>
        <v>0</v>
      </c>
      <c r="F240" s="396">
        <f t="shared" si="110"/>
        <v>0</v>
      </c>
      <c r="G240" s="396">
        <f t="shared" si="110"/>
        <v>0</v>
      </c>
      <c r="H240" s="396">
        <f t="shared" si="110"/>
        <v>0</v>
      </c>
      <c r="I240" s="396">
        <f t="shared" si="110"/>
        <v>0</v>
      </c>
      <c r="J240" s="171"/>
      <c r="K240" s="171"/>
      <c r="L240" s="171"/>
      <c r="M240" s="171"/>
    </row>
    <row r="241" spans="1:13" outlineLevel="1" x14ac:dyDescent="0.2">
      <c r="A241" s="171"/>
      <c r="B241" s="422">
        <v>4</v>
      </c>
      <c r="C241" s="11" t="s">
        <v>129</v>
      </c>
      <c r="D241" s="396">
        <f t="shared" ref="D241:I241" si="111">INDEX(RPBSScriptsNew,$B232,D233)*(INDEX(DPMQCoPayNewEff,$B232,$B241)/INDEX(CoPayCountNew,$B232))</f>
        <v>0</v>
      </c>
      <c r="E241" s="396">
        <f t="shared" si="111"/>
        <v>0</v>
      </c>
      <c r="F241" s="396">
        <f t="shared" si="111"/>
        <v>0</v>
      </c>
      <c r="G241" s="396">
        <f t="shared" si="111"/>
        <v>0</v>
      </c>
      <c r="H241" s="396">
        <f t="shared" si="111"/>
        <v>0</v>
      </c>
      <c r="I241" s="396">
        <f t="shared" si="111"/>
        <v>0</v>
      </c>
      <c r="J241" s="171"/>
      <c r="K241" s="171"/>
      <c r="L241" s="171"/>
      <c r="M241" s="171"/>
    </row>
    <row r="242" spans="1:13" outlineLevel="1" x14ac:dyDescent="0.2">
      <c r="A242" s="171"/>
      <c r="B242" s="224"/>
      <c r="C242" s="11" t="s">
        <v>107</v>
      </c>
      <c r="D242" s="396">
        <f t="shared" ref="D242:I242" si="112">D240+D241</f>
        <v>0</v>
      </c>
      <c r="E242" s="396">
        <f t="shared" si="112"/>
        <v>0</v>
      </c>
      <c r="F242" s="396">
        <f t="shared" si="112"/>
        <v>0</v>
      </c>
      <c r="G242" s="396">
        <f t="shared" si="112"/>
        <v>0</v>
      </c>
      <c r="H242" s="396">
        <f t="shared" si="112"/>
        <v>0</v>
      </c>
      <c r="I242" s="396">
        <f t="shared" si="112"/>
        <v>0</v>
      </c>
      <c r="J242" s="171"/>
      <c r="K242" s="171"/>
      <c r="L242" s="171"/>
      <c r="M242" s="171"/>
    </row>
    <row r="243" spans="1:13" x14ac:dyDescent="0.2">
      <c r="A243" s="171"/>
      <c r="B243" s="224"/>
      <c r="C243" s="171"/>
      <c r="D243" s="171"/>
      <c r="E243" s="171"/>
      <c r="F243" s="171"/>
      <c r="G243" s="171"/>
      <c r="H243" s="171"/>
      <c r="I243" s="171"/>
      <c r="J243" s="171"/>
      <c r="K243" s="171"/>
      <c r="L243" s="171"/>
      <c r="M243" s="171"/>
    </row>
    <row r="244" spans="1:13" ht="15" x14ac:dyDescent="0.2">
      <c r="A244" s="171"/>
      <c r="B244" s="423">
        <v>19</v>
      </c>
      <c r="C244" s="221" t="str">
        <f>INDEX(PBSScriptsNew,B244,1)</f>
        <v>** NOT USED **</v>
      </c>
      <c r="D244" s="207"/>
      <c r="E244" s="207"/>
      <c r="F244" s="207"/>
      <c r="G244" s="207"/>
      <c r="H244" s="207"/>
      <c r="I244" s="207"/>
      <c r="J244" s="189"/>
      <c r="K244" s="188"/>
      <c r="L244" s="782" t="str">
        <f>IF(C244&lt;&gt;MsgNotUsed,"Co-payment group " &amp; INDEX(CoPayBandMS,B244),"")</f>
        <v/>
      </c>
      <c r="M244" s="782"/>
    </row>
    <row r="245" spans="1:13" outlineLevel="1" x14ac:dyDescent="0.2">
      <c r="A245" s="171"/>
      <c r="B245" s="352">
        <f>INDEX(SANew,B244,5)</f>
        <v>0</v>
      </c>
      <c r="C245" s="20"/>
      <c r="D245" s="419">
        <v>2</v>
      </c>
      <c r="E245" s="419">
        <v>3</v>
      </c>
      <c r="F245" s="201">
        <v>4</v>
      </c>
      <c r="G245" s="201">
        <v>5</v>
      </c>
      <c r="H245" s="201">
        <v>6</v>
      </c>
      <c r="I245" s="201">
        <v>7</v>
      </c>
      <c r="J245" s="19"/>
      <c r="K245" s="19"/>
      <c r="L245" s="19"/>
      <c r="M245" s="19"/>
    </row>
    <row r="246" spans="1:13" outlineLevel="1" x14ac:dyDescent="0.2">
      <c r="A246" s="171"/>
      <c r="B246" s="224"/>
      <c r="C246" s="171"/>
      <c r="D246" s="414">
        <f>FirstYear</f>
        <v>0</v>
      </c>
      <c r="E246" s="414">
        <f>D246+1</f>
        <v>1</v>
      </c>
      <c r="F246" s="414">
        <f>E246+1</f>
        <v>2</v>
      </c>
      <c r="G246" s="414">
        <f>F246+1</f>
        <v>3</v>
      </c>
      <c r="H246" s="414">
        <f>G246+1</f>
        <v>4</v>
      </c>
      <c r="I246" s="414">
        <f>H246+1</f>
        <v>5</v>
      </c>
      <c r="J246" s="171"/>
      <c r="K246" s="171"/>
      <c r="L246" s="171"/>
      <c r="M246" s="171"/>
    </row>
    <row r="247" spans="1:13" outlineLevel="1" x14ac:dyDescent="0.2">
      <c r="A247" s="171"/>
      <c r="B247" s="422">
        <v>1</v>
      </c>
      <c r="C247" s="416" t="s">
        <v>104</v>
      </c>
      <c r="D247" s="396">
        <f t="shared" ref="D247:I247" si="113">INDEX(PBSScriptsNew,$B244,D245)*INDEX(DPMQCoPayNewEff,$B244,$B247)</f>
        <v>0</v>
      </c>
      <c r="E247" s="396">
        <f t="shared" si="113"/>
        <v>0</v>
      </c>
      <c r="F247" s="396">
        <f t="shared" si="113"/>
        <v>0</v>
      </c>
      <c r="G247" s="396">
        <f t="shared" si="113"/>
        <v>0</v>
      </c>
      <c r="H247" s="396">
        <f t="shared" si="113"/>
        <v>0</v>
      </c>
      <c r="I247" s="396">
        <f t="shared" si="113"/>
        <v>0</v>
      </c>
      <c r="J247" s="171"/>
      <c r="K247" s="171"/>
      <c r="L247" s="171"/>
      <c r="M247" s="171"/>
    </row>
    <row r="248" spans="1:13" outlineLevel="1" x14ac:dyDescent="0.2">
      <c r="A248" s="171"/>
      <c r="B248" s="422">
        <v>3</v>
      </c>
      <c r="C248" s="11" t="s">
        <v>129</v>
      </c>
      <c r="D248" s="396">
        <f t="shared" ref="D248:I248" si="114">INDEX(PBSScriptsNew,$B244,D245)*(INDEX(DPMQCoPayNewEff,$B244,$B248)/INDEX(CoPayCountNew,$B244))</f>
        <v>0</v>
      </c>
      <c r="E248" s="396">
        <f t="shared" si="114"/>
        <v>0</v>
      </c>
      <c r="F248" s="396">
        <f t="shared" si="114"/>
        <v>0</v>
      </c>
      <c r="G248" s="396">
        <f t="shared" si="114"/>
        <v>0</v>
      </c>
      <c r="H248" s="396">
        <f t="shared" si="114"/>
        <v>0</v>
      </c>
      <c r="I248" s="396">
        <f t="shared" si="114"/>
        <v>0</v>
      </c>
      <c r="J248" s="171"/>
      <c r="K248" s="763" t="str">
        <f>IF(B245&lt;&gt;0,MsgNote&amp;IF(B245="Yes",INDEX(CoPayMethod,1),INDEX(CoPayMethod,2)),"")</f>
        <v/>
      </c>
      <c r="L248" s="763"/>
      <c r="M248" s="763"/>
    </row>
    <row r="249" spans="1:13" outlineLevel="1" x14ac:dyDescent="0.2">
      <c r="A249" s="171"/>
      <c r="B249" s="224"/>
      <c r="C249" s="11" t="s">
        <v>106</v>
      </c>
      <c r="D249" s="396">
        <f t="shared" ref="D249:I249" si="115">D247+D248</f>
        <v>0</v>
      </c>
      <c r="E249" s="396">
        <f t="shared" si="115"/>
        <v>0</v>
      </c>
      <c r="F249" s="396">
        <f t="shared" si="115"/>
        <v>0</v>
      </c>
      <c r="G249" s="396">
        <f t="shared" si="115"/>
        <v>0</v>
      </c>
      <c r="H249" s="396">
        <f t="shared" si="115"/>
        <v>0</v>
      </c>
      <c r="I249" s="396">
        <f t="shared" si="115"/>
        <v>0</v>
      </c>
      <c r="J249" s="171"/>
      <c r="K249" s="171"/>
      <c r="L249" s="171"/>
      <c r="M249" s="171"/>
    </row>
    <row r="250" spans="1:13" outlineLevel="1" x14ac:dyDescent="0.2">
      <c r="A250" s="171"/>
      <c r="B250" s="202"/>
      <c r="C250" s="171"/>
      <c r="D250" s="171"/>
      <c r="E250" s="171"/>
      <c r="F250" s="171"/>
      <c r="G250" s="171"/>
      <c r="H250" s="171"/>
      <c r="I250" s="171"/>
      <c r="J250" s="171"/>
      <c r="K250" s="171"/>
      <c r="L250" s="171"/>
      <c r="M250" s="171"/>
    </row>
    <row r="251" spans="1:13" ht="15.75" outlineLevel="1" x14ac:dyDescent="0.2">
      <c r="A251" s="171"/>
      <c r="B251" s="202"/>
      <c r="C251" s="193"/>
      <c r="D251" s="414">
        <f>FirstYear</f>
        <v>0</v>
      </c>
      <c r="E251" s="414">
        <f>D251+1</f>
        <v>1</v>
      </c>
      <c r="F251" s="414">
        <f>E251+1</f>
        <v>2</v>
      </c>
      <c r="G251" s="414">
        <f>F251+1</f>
        <v>3</v>
      </c>
      <c r="H251" s="414">
        <f>G251+1</f>
        <v>4</v>
      </c>
      <c r="I251" s="414">
        <f>H251+1</f>
        <v>5</v>
      </c>
      <c r="J251" s="171"/>
      <c r="K251" s="171"/>
      <c r="L251" s="171"/>
      <c r="M251" s="171"/>
    </row>
    <row r="252" spans="1:13" outlineLevel="1" x14ac:dyDescent="0.2">
      <c r="A252" s="171"/>
      <c r="B252" s="422">
        <v>1</v>
      </c>
      <c r="C252" s="416" t="s">
        <v>105</v>
      </c>
      <c r="D252" s="396">
        <f t="shared" ref="D252:I252" si="116">INDEX(RPBSScriptsNew,$B244,D245)*INDEX(DPMQCoPayNewEff,$B244,$B252)</f>
        <v>0</v>
      </c>
      <c r="E252" s="396">
        <f t="shared" si="116"/>
        <v>0</v>
      </c>
      <c r="F252" s="396">
        <f t="shared" si="116"/>
        <v>0</v>
      </c>
      <c r="G252" s="396">
        <f t="shared" si="116"/>
        <v>0</v>
      </c>
      <c r="H252" s="396">
        <f t="shared" si="116"/>
        <v>0</v>
      </c>
      <c r="I252" s="396">
        <f t="shared" si="116"/>
        <v>0</v>
      </c>
      <c r="J252" s="171"/>
      <c r="K252" s="171"/>
      <c r="L252" s="171"/>
      <c r="M252" s="171"/>
    </row>
    <row r="253" spans="1:13" outlineLevel="1" x14ac:dyDescent="0.2">
      <c r="A253" s="171"/>
      <c r="B253" s="422">
        <v>4</v>
      </c>
      <c r="C253" s="11" t="s">
        <v>129</v>
      </c>
      <c r="D253" s="396">
        <f t="shared" ref="D253:I253" si="117">INDEX(RPBSScriptsNew,$B244,D245)*(INDEX(DPMQCoPayNewEff,$B244,$B253)/INDEX(CoPayCountNew,$B244))</f>
        <v>0</v>
      </c>
      <c r="E253" s="396">
        <f t="shared" si="117"/>
        <v>0</v>
      </c>
      <c r="F253" s="396">
        <f t="shared" si="117"/>
        <v>0</v>
      </c>
      <c r="G253" s="396">
        <f t="shared" si="117"/>
        <v>0</v>
      </c>
      <c r="H253" s="396">
        <f t="shared" si="117"/>
        <v>0</v>
      </c>
      <c r="I253" s="396">
        <f t="shared" si="117"/>
        <v>0</v>
      </c>
      <c r="J253" s="171"/>
      <c r="K253" s="171"/>
      <c r="L253" s="171"/>
      <c r="M253" s="171"/>
    </row>
    <row r="254" spans="1:13" outlineLevel="1" x14ac:dyDescent="0.2">
      <c r="A254" s="171"/>
      <c r="B254" s="224"/>
      <c r="C254" s="11" t="s">
        <v>107</v>
      </c>
      <c r="D254" s="396">
        <f t="shared" ref="D254:I254" si="118">D252+D253</f>
        <v>0</v>
      </c>
      <c r="E254" s="396">
        <f t="shared" si="118"/>
        <v>0</v>
      </c>
      <c r="F254" s="396">
        <f t="shared" si="118"/>
        <v>0</v>
      </c>
      <c r="G254" s="396">
        <f t="shared" si="118"/>
        <v>0</v>
      </c>
      <c r="H254" s="396">
        <f t="shared" si="118"/>
        <v>0</v>
      </c>
      <c r="I254" s="396">
        <f t="shared" si="118"/>
        <v>0</v>
      </c>
      <c r="J254" s="171"/>
      <c r="K254" s="171"/>
      <c r="L254" s="171"/>
      <c r="M254" s="171"/>
    </row>
    <row r="255" spans="1:13" x14ac:dyDescent="0.2">
      <c r="A255" s="171"/>
      <c r="B255" s="224"/>
      <c r="C255" s="171"/>
      <c r="D255" s="171"/>
      <c r="E255" s="171"/>
      <c r="F255" s="171"/>
      <c r="G255" s="171"/>
      <c r="H255" s="171"/>
      <c r="I255" s="171"/>
      <c r="J255" s="171"/>
      <c r="K255" s="171"/>
      <c r="L255" s="171"/>
      <c r="M255" s="171"/>
    </row>
    <row r="256" spans="1:13" ht="15" x14ac:dyDescent="0.2">
      <c r="A256" s="171"/>
      <c r="B256" s="423">
        <v>20</v>
      </c>
      <c r="C256" s="221" t="str">
        <f>INDEX(PBSScriptsNew,B256,1)</f>
        <v>** NOT USED **</v>
      </c>
      <c r="D256" s="207"/>
      <c r="E256" s="207"/>
      <c r="F256" s="207"/>
      <c r="G256" s="207"/>
      <c r="H256" s="207"/>
      <c r="I256" s="207"/>
      <c r="J256" s="189"/>
      <c r="K256" s="188"/>
      <c r="L256" s="782" t="str">
        <f>IF(C256&lt;&gt;MsgNotUsed,"Co-payment group " &amp; INDEX(CoPayBandMS,B256),"")</f>
        <v/>
      </c>
      <c r="M256" s="782"/>
    </row>
    <row r="257" spans="1:13" outlineLevel="1" x14ac:dyDescent="0.2">
      <c r="A257" s="171"/>
      <c r="B257" s="352">
        <f>INDEX(SANew,B256,5)</f>
        <v>0</v>
      </c>
      <c r="C257" s="20"/>
      <c r="D257" s="419">
        <v>2</v>
      </c>
      <c r="E257" s="419">
        <v>3</v>
      </c>
      <c r="F257" s="201">
        <v>4</v>
      </c>
      <c r="G257" s="201">
        <v>5</v>
      </c>
      <c r="H257" s="201">
        <v>6</v>
      </c>
      <c r="I257" s="201">
        <v>7</v>
      </c>
      <c r="J257" s="19"/>
      <c r="K257" s="19"/>
      <c r="L257" s="19"/>
      <c r="M257" s="19"/>
    </row>
    <row r="258" spans="1:13" outlineLevel="1" x14ac:dyDescent="0.2">
      <c r="A258" s="171"/>
      <c r="B258" s="171"/>
      <c r="C258" s="171"/>
      <c r="D258" s="414">
        <f>FirstYear</f>
        <v>0</v>
      </c>
      <c r="E258" s="414">
        <f>D258+1</f>
        <v>1</v>
      </c>
      <c r="F258" s="414">
        <f>E258+1</f>
        <v>2</v>
      </c>
      <c r="G258" s="414">
        <f>F258+1</f>
        <v>3</v>
      </c>
      <c r="H258" s="414">
        <f>G258+1</f>
        <v>4</v>
      </c>
      <c r="I258" s="414">
        <f>H258+1</f>
        <v>5</v>
      </c>
      <c r="J258" s="171"/>
      <c r="K258" s="171"/>
      <c r="L258" s="171"/>
      <c r="M258" s="171"/>
    </row>
    <row r="259" spans="1:13" outlineLevel="1" x14ac:dyDescent="0.2">
      <c r="A259" s="171"/>
      <c r="B259" s="422">
        <v>1</v>
      </c>
      <c r="C259" s="416" t="s">
        <v>104</v>
      </c>
      <c r="D259" s="396">
        <f t="shared" ref="D259:I259" si="119">INDEX(PBSScriptsNew,$B256,D257)*INDEX(DPMQCoPayNewEff,$B256,$B259)</f>
        <v>0</v>
      </c>
      <c r="E259" s="396">
        <f t="shared" si="119"/>
        <v>0</v>
      </c>
      <c r="F259" s="396">
        <f t="shared" si="119"/>
        <v>0</v>
      </c>
      <c r="G259" s="396">
        <f t="shared" si="119"/>
        <v>0</v>
      </c>
      <c r="H259" s="396">
        <f t="shared" si="119"/>
        <v>0</v>
      </c>
      <c r="I259" s="396">
        <f t="shared" si="119"/>
        <v>0</v>
      </c>
      <c r="J259" s="171"/>
      <c r="K259" s="171"/>
      <c r="L259" s="171"/>
      <c r="M259" s="171"/>
    </row>
    <row r="260" spans="1:13" outlineLevel="1" x14ac:dyDescent="0.2">
      <c r="A260" s="171"/>
      <c r="B260" s="422">
        <v>3</v>
      </c>
      <c r="C260" s="11" t="s">
        <v>129</v>
      </c>
      <c r="D260" s="396">
        <f t="shared" ref="D260:I260" si="120">INDEX(PBSScriptsNew,$B256,D257)*(INDEX(DPMQCoPayNewEff,$B256,$B260)/INDEX(CoPayCountNew,$B256))</f>
        <v>0</v>
      </c>
      <c r="E260" s="396">
        <f t="shared" si="120"/>
        <v>0</v>
      </c>
      <c r="F260" s="396">
        <f t="shared" si="120"/>
        <v>0</v>
      </c>
      <c r="G260" s="396">
        <f t="shared" si="120"/>
        <v>0</v>
      </c>
      <c r="H260" s="396">
        <f t="shared" si="120"/>
        <v>0</v>
      </c>
      <c r="I260" s="396">
        <f t="shared" si="120"/>
        <v>0</v>
      </c>
      <c r="J260" s="171"/>
      <c r="K260" s="763" t="str">
        <f>IF(B257&lt;&gt;0,MsgNote&amp;IF(B257="Yes",INDEX(CoPayMethod,1),INDEX(CoPayMethod,2)),"")</f>
        <v/>
      </c>
      <c r="L260" s="763"/>
      <c r="M260" s="763"/>
    </row>
    <row r="261" spans="1:13" outlineLevel="1" x14ac:dyDescent="0.2">
      <c r="A261" s="171"/>
      <c r="B261" s="220"/>
      <c r="C261" s="11" t="s">
        <v>106</v>
      </c>
      <c r="D261" s="396">
        <f t="shared" ref="D261:I261" si="121">D259+D260</f>
        <v>0</v>
      </c>
      <c r="E261" s="396">
        <f t="shared" si="121"/>
        <v>0</v>
      </c>
      <c r="F261" s="396">
        <f t="shared" si="121"/>
        <v>0</v>
      </c>
      <c r="G261" s="396">
        <f t="shared" si="121"/>
        <v>0</v>
      </c>
      <c r="H261" s="396">
        <f t="shared" si="121"/>
        <v>0</v>
      </c>
      <c r="I261" s="396">
        <f t="shared" si="121"/>
        <v>0</v>
      </c>
      <c r="J261" s="171"/>
      <c r="K261" s="171"/>
      <c r="L261" s="171"/>
      <c r="M261" s="171"/>
    </row>
    <row r="262" spans="1:13" outlineLevel="1" x14ac:dyDescent="0.2">
      <c r="A262" s="171"/>
      <c r="B262" s="382"/>
      <c r="C262" s="171"/>
      <c r="D262" s="171"/>
      <c r="E262" s="171"/>
      <c r="F262" s="171"/>
      <c r="G262" s="171"/>
      <c r="H262" s="171"/>
      <c r="I262" s="171"/>
      <c r="J262" s="171"/>
      <c r="K262" s="171"/>
      <c r="L262" s="171"/>
      <c r="M262" s="171"/>
    </row>
    <row r="263" spans="1:13" ht="15.75" outlineLevel="1" x14ac:dyDescent="0.2">
      <c r="A263" s="171"/>
      <c r="B263" s="382"/>
      <c r="C263" s="193"/>
      <c r="D263" s="414">
        <f>FirstYear</f>
        <v>0</v>
      </c>
      <c r="E263" s="414">
        <f>D263+1</f>
        <v>1</v>
      </c>
      <c r="F263" s="414">
        <f>E263+1</f>
        <v>2</v>
      </c>
      <c r="G263" s="414">
        <f>F263+1</f>
        <v>3</v>
      </c>
      <c r="H263" s="414">
        <f>G263+1</f>
        <v>4</v>
      </c>
      <c r="I263" s="414">
        <f>H263+1</f>
        <v>5</v>
      </c>
      <c r="J263" s="171"/>
      <c r="K263" s="171"/>
      <c r="L263" s="171"/>
      <c r="M263" s="171"/>
    </row>
    <row r="264" spans="1:13" outlineLevel="1" x14ac:dyDescent="0.2">
      <c r="A264" s="171"/>
      <c r="B264" s="422">
        <v>1</v>
      </c>
      <c r="C264" s="416" t="s">
        <v>105</v>
      </c>
      <c r="D264" s="396">
        <f t="shared" ref="D264:I264" si="122">INDEX(RPBSScriptsNew,$B256,D257)*INDEX(DPMQCoPayNewEff,$B256,$B264)</f>
        <v>0</v>
      </c>
      <c r="E264" s="396">
        <f t="shared" si="122"/>
        <v>0</v>
      </c>
      <c r="F264" s="396">
        <f t="shared" si="122"/>
        <v>0</v>
      </c>
      <c r="G264" s="396">
        <f t="shared" si="122"/>
        <v>0</v>
      </c>
      <c r="H264" s="396">
        <f t="shared" si="122"/>
        <v>0</v>
      </c>
      <c r="I264" s="396">
        <f t="shared" si="122"/>
        <v>0</v>
      </c>
      <c r="J264" s="171"/>
      <c r="K264" s="171"/>
      <c r="L264" s="171"/>
      <c r="M264" s="171"/>
    </row>
    <row r="265" spans="1:13" outlineLevel="1" x14ac:dyDescent="0.2">
      <c r="A265" s="171"/>
      <c r="B265" s="422">
        <v>4</v>
      </c>
      <c r="C265" s="11" t="s">
        <v>129</v>
      </c>
      <c r="D265" s="396">
        <f t="shared" ref="D265:I265" si="123">INDEX(RPBSScriptsNew,$B256,D257)*(INDEX(DPMQCoPayNewEff,$B256,$B265)/INDEX(CoPayCountNew,$B256))</f>
        <v>0</v>
      </c>
      <c r="E265" s="396">
        <f t="shared" si="123"/>
        <v>0</v>
      </c>
      <c r="F265" s="396">
        <f t="shared" si="123"/>
        <v>0</v>
      </c>
      <c r="G265" s="396">
        <f t="shared" si="123"/>
        <v>0</v>
      </c>
      <c r="H265" s="396">
        <f t="shared" si="123"/>
        <v>0</v>
      </c>
      <c r="I265" s="396">
        <f t="shared" si="123"/>
        <v>0</v>
      </c>
      <c r="J265" s="171"/>
      <c r="K265" s="171"/>
      <c r="L265" s="171"/>
      <c r="M265" s="171"/>
    </row>
    <row r="266" spans="1:13" outlineLevel="1" x14ac:dyDescent="0.2">
      <c r="A266" s="171"/>
      <c r="B266" s="171"/>
      <c r="C266" s="11" t="s">
        <v>107</v>
      </c>
      <c r="D266" s="396">
        <f t="shared" ref="D266:I266" si="124">D264+D265</f>
        <v>0</v>
      </c>
      <c r="E266" s="396">
        <f t="shared" si="124"/>
        <v>0</v>
      </c>
      <c r="F266" s="396">
        <f t="shared" si="124"/>
        <v>0</v>
      </c>
      <c r="G266" s="396">
        <f t="shared" si="124"/>
        <v>0</v>
      </c>
      <c r="H266" s="396">
        <f t="shared" si="124"/>
        <v>0</v>
      </c>
      <c r="I266" s="396">
        <f t="shared" si="124"/>
        <v>0</v>
      </c>
      <c r="J266" s="171"/>
      <c r="K266" s="171"/>
      <c r="L266" s="171"/>
      <c r="M266" s="171"/>
    </row>
    <row r="267" spans="1:13" outlineLevel="1" x14ac:dyDescent="0.2">
      <c r="A267" s="171"/>
      <c r="B267" s="171"/>
      <c r="C267" s="171"/>
      <c r="D267" s="171"/>
      <c r="E267" s="171"/>
      <c r="F267" s="171"/>
      <c r="G267" s="171"/>
      <c r="H267" s="171"/>
      <c r="I267" s="171"/>
      <c r="J267" s="171"/>
      <c r="K267" s="171"/>
      <c r="L267" s="171"/>
      <c r="M267" s="171"/>
    </row>
    <row r="268" spans="1:13" s="570" customFormat="1" x14ac:dyDescent="0.2">
      <c r="A268" s="592"/>
      <c r="B268" s="592"/>
      <c r="C268" s="592"/>
      <c r="D268" s="592"/>
      <c r="E268" s="592"/>
      <c r="F268" s="592"/>
      <c r="G268" s="592"/>
      <c r="H268" s="592"/>
      <c r="I268" s="592"/>
      <c r="J268" s="592"/>
      <c r="K268" s="592"/>
      <c r="L268" s="592"/>
      <c r="M268" s="592"/>
    </row>
    <row r="269" spans="1:13" ht="15.75" x14ac:dyDescent="0.2">
      <c r="A269" s="176"/>
      <c r="B269" s="176"/>
      <c r="C269" s="174" t="s">
        <v>1002</v>
      </c>
      <c r="D269" s="174"/>
      <c r="E269" s="174"/>
      <c r="F269" s="214"/>
      <c r="G269" s="178"/>
      <c r="H269" s="178"/>
      <c r="I269" s="178"/>
      <c r="J269" s="178"/>
      <c r="K269" s="178"/>
      <c r="L269" s="178"/>
      <c r="M269" s="178"/>
    </row>
    <row r="270" spans="1:13" ht="15.75" x14ac:dyDescent="0.2">
      <c r="A270" s="171"/>
      <c r="B270" s="171"/>
      <c r="C270" s="193"/>
      <c r="D270" s="193"/>
      <c r="E270" s="193"/>
      <c r="F270" s="215"/>
      <c r="G270" s="171"/>
      <c r="H270" s="171"/>
      <c r="I270" s="171"/>
      <c r="J270" s="171"/>
      <c r="K270" s="19"/>
      <c r="L270" s="19"/>
      <c r="M270" s="171"/>
    </row>
    <row r="271" spans="1:13" x14ac:dyDescent="0.2">
      <c r="A271" s="171"/>
      <c r="B271" s="171"/>
      <c r="C271" s="6" t="s">
        <v>898</v>
      </c>
      <c r="D271" s="6"/>
      <c r="E271" s="6"/>
      <c r="F271" s="215"/>
      <c r="G271" s="171"/>
      <c r="H271" s="171"/>
      <c r="I271" s="171"/>
      <c r="J271" s="171"/>
      <c r="K271" s="171"/>
      <c r="L271" s="171"/>
      <c r="M271" s="171"/>
    </row>
    <row r="272" spans="1:13" x14ac:dyDescent="0.2">
      <c r="A272" s="171"/>
      <c r="B272" s="171"/>
      <c r="C272" s="6"/>
      <c r="D272" s="6"/>
      <c r="E272" s="6"/>
      <c r="F272" s="215"/>
      <c r="G272" s="171"/>
      <c r="H272" s="832" t="str">
        <f>IF(Q294&gt;0,"DPMA / DPMQ","")</f>
        <v/>
      </c>
      <c r="I272" s="832"/>
      <c r="J272" s="832"/>
      <c r="K272" s="171"/>
      <c r="L272" s="171"/>
      <c r="M272" s="171"/>
    </row>
    <row r="273" spans="1:18" ht="25.5" x14ac:dyDescent="0.2">
      <c r="A273" s="171"/>
      <c r="B273" s="171"/>
      <c r="C273" s="792" t="s">
        <v>884</v>
      </c>
      <c r="D273" s="833"/>
      <c r="E273" s="834"/>
      <c r="F273" s="113" t="s">
        <v>130</v>
      </c>
      <c r="G273" s="113" t="s">
        <v>1016</v>
      </c>
      <c r="H273" s="90" t="str">
        <f>IF(Q294&gt;0,"Public","DPMA / DPMQ")</f>
        <v>DPMA / DPMQ</v>
      </c>
      <c r="I273" s="90" t="str">
        <f>IF(Q294&gt;0,"Private","")</f>
        <v/>
      </c>
      <c r="J273" s="90" t="str">
        <f>IF(Q294&gt;0,"Weighted","")</f>
        <v/>
      </c>
      <c r="K273" s="90" t="s">
        <v>817</v>
      </c>
      <c r="L273" s="614" t="s">
        <v>474</v>
      </c>
      <c r="M273" s="614" t="s">
        <v>475</v>
      </c>
      <c r="N273" s="570"/>
      <c r="O273" s="336" t="s">
        <v>474</v>
      </c>
      <c r="P273" s="336" t="s">
        <v>475</v>
      </c>
    </row>
    <row r="274" spans="1:18" x14ac:dyDescent="0.2">
      <c r="A274" s="171"/>
      <c r="B274" s="79">
        <v>1</v>
      </c>
      <c r="C274" s="829" t="str">
        <f t="shared" ref="C274:C293" si="125">IF(SPANewFlag=1,INDEX(PBSScriptsNew,B274,1),MsgNotUsed)</f>
        <v>** NOT USED **</v>
      </c>
      <c r="D274" s="830"/>
      <c r="E274" s="831"/>
      <c r="F274" s="401"/>
      <c r="G274" s="86" t="str">
        <f>IF(AND(SPANewFlag=1,'3b. Impact - proposed (pub)'!G274&lt;&gt;""),'3b. Impact - proposed (pub)'!G274,"")</f>
        <v/>
      </c>
      <c r="H274" s="401"/>
      <c r="I274" s="401"/>
      <c r="J274" s="402">
        <f t="shared" ref="J274:J293" si="126">IF(AND(Q274&lt;&gt;"",R274&lt;&gt;""),IF(Q274+R274=1,(H274*Q274+I274*R274),H274),0)</f>
        <v>0</v>
      </c>
      <c r="K274" s="643" t="str">
        <f>IF(C274&lt;&gt;MsgNotUsed,'3b. Impact - proposed (pub)'!K274,"")</f>
        <v/>
      </c>
      <c r="L274" s="402">
        <f t="shared" ref="L274:L293" si="127">IF(J274&gt;O274,-O274,0)</f>
        <v>0</v>
      </c>
      <c r="M274" s="402">
        <f t="shared" ref="M274:M293" si="128">IF(J274&gt;P274,-P274,0)</f>
        <v>0</v>
      </c>
      <c r="N274" s="570"/>
      <c r="O274" s="628">
        <f t="shared" ref="O274:O293" si="129">IF(K274&lt;&gt;"",INDEX(CoPayPBS,K274),0)</f>
        <v>0</v>
      </c>
      <c r="P274" s="628">
        <f t="shared" ref="P274:P293" si="130">IF(K274&lt;&gt;"",INDEX(CoPayRPBS,K274),0)</f>
        <v>0</v>
      </c>
      <c r="Q274" s="647" t="str">
        <f t="shared" ref="Q274:Q293" si="131">IF(K274&lt;&gt;"",INDEX(ServiceSplitPublic,K274),"")</f>
        <v/>
      </c>
      <c r="R274" s="647" t="str">
        <f t="shared" ref="R274:R293" si="132">IF(K274&lt;&gt;"",INDEX(ServiceSplitPrivate,K274),"")</f>
        <v/>
      </c>
    </row>
    <row r="275" spans="1:18" x14ac:dyDescent="0.2">
      <c r="A275" s="171"/>
      <c r="B275" s="79">
        <v>2</v>
      </c>
      <c r="C275" s="829" t="str">
        <f t="shared" si="125"/>
        <v>** NOT USED **</v>
      </c>
      <c r="D275" s="830"/>
      <c r="E275" s="831"/>
      <c r="F275" s="401"/>
      <c r="G275" s="86" t="str">
        <f>IF(AND(SPANewFlag=1,'3b. Impact - proposed (pub)'!G275&lt;&gt;""),'3b. Impact - proposed (pub)'!G275,"")</f>
        <v/>
      </c>
      <c r="H275" s="401"/>
      <c r="I275" s="401"/>
      <c r="J275" s="402">
        <f t="shared" si="126"/>
        <v>0</v>
      </c>
      <c r="K275" s="643" t="str">
        <f>IF(C275&lt;&gt;MsgNotUsed,'3b. Impact - proposed (pub)'!K275,"")</f>
        <v/>
      </c>
      <c r="L275" s="402">
        <f t="shared" si="127"/>
        <v>0</v>
      </c>
      <c r="M275" s="402">
        <f t="shared" si="128"/>
        <v>0</v>
      </c>
      <c r="O275" s="628">
        <f t="shared" si="129"/>
        <v>0</v>
      </c>
      <c r="P275" s="628">
        <f t="shared" si="130"/>
        <v>0</v>
      </c>
      <c r="Q275" s="647" t="str">
        <f t="shared" si="131"/>
        <v/>
      </c>
      <c r="R275" s="647" t="str">
        <f t="shared" si="132"/>
        <v/>
      </c>
    </row>
    <row r="276" spans="1:18" x14ac:dyDescent="0.2">
      <c r="A276" s="171"/>
      <c r="B276" s="79">
        <v>3</v>
      </c>
      <c r="C276" s="829" t="str">
        <f t="shared" si="125"/>
        <v>** NOT USED **</v>
      </c>
      <c r="D276" s="830"/>
      <c r="E276" s="831"/>
      <c r="F276" s="401"/>
      <c r="G276" s="86" t="str">
        <f>IF(AND(SPANewFlag=1,'3b. Impact - proposed (pub)'!G276&lt;&gt;""),'3b. Impact - proposed (pub)'!G276,"")</f>
        <v/>
      </c>
      <c r="H276" s="401"/>
      <c r="I276" s="401"/>
      <c r="J276" s="402">
        <f t="shared" si="126"/>
        <v>0</v>
      </c>
      <c r="K276" s="643" t="str">
        <f>IF(C276&lt;&gt;MsgNotUsed,'3b. Impact - proposed (pub)'!K276,"")</f>
        <v/>
      </c>
      <c r="L276" s="402">
        <f t="shared" si="127"/>
        <v>0</v>
      </c>
      <c r="M276" s="402">
        <f t="shared" si="128"/>
        <v>0</v>
      </c>
      <c r="N276" s="570"/>
      <c r="O276" s="628">
        <f t="shared" si="129"/>
        <v>0</v>
      </c>
      <c r="P276" s="628">
        <f t="shared" si="130"/>
        <v>0</v>
      </c>
      <c r="Q276" s="647" t="str">
        <f t="shared" si="131"/>
        <v/>
      </c>
      <c r="R276" s="647" t="str">
        <f t="shared" si="132"/>
        <v/>
      </c>
    </row>
    <row r="277" spans="1:18" x14ac:dyDescent="0.2">
      <c r="A277" s="171"/>
      <c r="B277" s="79">
        <v>4</v>
      </c>
      <c r="C277" s="829" t="str">
        <f t="shared" si="125"/>
        <v>** NOT USED **</v>
      </c>
      <c r="D277" s="830"/>
      <c r="E277" s="831"/>
      <c r="F277" s="401"/>
      <c r="G277" s="86" t="str">
        <f>IF(AND(SPANewFlag=1,'3b. Impact - proposed (pub)'!G277&lt;&gt;""),'3b. Impact - proposed (pub)'!G277,"")</f>
        <v/>
      </c>
      <c r="H277" s="401"/>
      <c r="I277" s="401"/>
      <c r="J277" s="402">
        <f t="shared" si="126"/>
        <v>0</v>
      </c>
      <c r="K277" s="643" t="str">
        <f>IF(C277&lt;&gt;MsgNotUsed,'3b. Impact - proposed (pub)'!K277,"")</f>
        <v/>
      </c>
      <c r="L277" s="402">
        <f t="shared" si="127"/>
        <v>0</v>
      </c>
      <c r="M277" s="402">
        <f t="shared" si="128"/>
        <v>0</v>
      </c>
      <c r="N277" s="570"/>
      <c r="O277" s="628">
        <f t="shared" si="129"/>
        <v>0</v>
      </c>
      <c r="P277" s="628">
        <f t="shared" si="130"/>
        <v>0</v>
      </c>
      <c r="Q277" s="647" t="str">
        <f t="shared" si="131"/>
        <v/>
      </c>
      <c r="R277" s="647" t="str">
        <f t="shared" si="132"/>
        <v/>
      </c>
    </row>
    <row r="278" spans="1:18" x14ac:dyDescent="0.2">
      <c r="A278" s="171"/>
      <c r="B278" s="79">
        <v>5</v>
      </c>
      <c r="C278" s="829" t="str">
        <f t="shared" si="125"/>
        <v>** NOT USED **</v>
      </c>
      <c r="D278" s="830"/>
      <c r="E278" s="831"/>
      <c r="F278" s="401"/>
      <c r="G278" s="86" t="str">
        <f>IF(AND(SPANewFlag=1,'3b. Impact - proposed (pub)'!G278&lt;&gt;""),'3b. Impact - proposed (pub)'!G278,"")</f>
        <v/>
      </c>
      <c r="H278" s="401"/>
      <c r="I278" s="401"/>
      <c r="J278" s="402">
        <f t="shared" si="126"/>
        <v>0</v>
      </c>
      <c r="K278" s="643" t="str">
        <f>IF(C278&lt;&gt;MsgNotUsed,'3b. Impact - proposed (pub)'!K278,"")</f>
        <v/>
      </c>
      <c r="L278" s="402">
        <f t="shared" si="127"/>
        <v>0</v>
      </c>
      <c r="M278" s="402">
        <f t="shared" si="128"/>
        <v>0</v>
      </c>
      <c r="N278" s="570"/>
      <c r="O278" s="628">
        <f t="shared" si="129"/>
        <v>0</v>
      </c>
      <c r="P278" s="628">
        <f t="shared" si="130"/>
        <v>0</v>
      </c>
      <c r="Q278" s="647" t="str">
        <f t="shared" si="131"/>
        <v/>
      </c>
      <c r="R278" s="647" t="str">
        <f t="shared" si="132"/>
        <v/>
      </c>
    </row>
    <row r="279" spans="1:18" x14ac:dyDescent="0.2">
      <c r="A279" s="171"/>
      <c r="B279" s="79">
        <v>6</v>
      </c>
      <c r="C279" s="829" t="str">
        <f t="shared" si="125"/>
        <v>** NOT USED **</v>
      </c>
      <c r="D279" s="830"/>
      <c r="E279" s="831"/>
      <c r="F279" s="401"/>
      <c r="G279" s="86" t="str">
        <f>IF(AND(SPANewFlag=1,'3b. Impact - proposed (pub)'!G279&lt;&gt;""),'3b. Impact - proposed (pub)'!G279,"")</f>
        <v/>
      </c>
      <c r="H279" s="401"/>
      <c r="I279" s="401"/>
      <c r="J279" s="402">
        <f t="shared" si="126"/>
        <v>0</v>
      </c>
      <c r="K279" s="643" t="str">
        <f>IF(C279&lt;&gt;MsgNotUsed,'3b. Impact - proposed (pub)'!K279,"")</f>
        <v/>
      </c>
      <c r="L279" s="402">
        <f t="shared" si="127"/>
        <v>0</v>
      </c>
      <c r="M279" s="402">
        <f t="shared" si="128"/>
        <v>0</v>
      </c>
      <c r="N279" s="570"/>
      <c r="O279" s="628">
        <f t="shared" si="129"/>
        <v>0</v>
      </c>
      <c r="P279" s="628">
        <f t="shared" si="130"/>
        <v>0</v>
      </c>
      <c r="Q279" s="647" t="str">
        <f t="shared" si="131"/>
        <v/>
      </c>
      <c r="R279" s="647" t="str">
        <f t="shared" si="132"/>
        <v/>
      </c>
    </row>
    <row r="280" spans="1:18" x14ac:dyDescent="0.2">
      <c r="A280" s="171"/>
      <c r="B280" s="79">
        <v>7</v>
      </c>
      <c r="C280" s="829" t="str">
        <f t="shared" si="125"/>
        <v>** NOT USED **</v>
      </c>
      <c r="D280" s="830"/>
      <c r="E280" s="831"/>
      <c r="F280" s="401"/>
      <c r="G280" s="86" t="str">
        <f>IF(AND(SPANewFlag=1,'3b. Impact - proposed (pub)'!G280&lt;&gt;""),'3b. Impact - proposed (pub)'!G280,"")</f>
        <v/>
      </c>
      <c r="H280" s="401"/>
      <c r="I280" s="401"/>
      <c r="J280" s="402">
        <f t="shared" si="126"/>
        <v>0</v>
      </c>
      <c r="K280" s="643" t="str">
        <f>IF(C280&lt;&gt;MsgNotUsed,'3b. Impact - proposed (pub)'!K280,"")</f>
        <v/>
      </c>
      <c r="L280" s="402">
        <f t="shared" si="127"/>
        <v>0</v>
      </c>
      <c r="M280" s="402">
        <f t="shared" si="128"/>
        <v>0</v>
      </c>
      <c r="N280" s="570"/>
      <c r="O280" s="628">
        <f t="shared" si="129"/>
        <v>0</v>
      </c>
      <c r="P280" s="628">
        <f t="shared" si="130"/>
        <v>0</v>
      </c>
      <c r="Q280" s="647" t="str">
        <f t="shared" si="131"/>
        <v/>
      </c>
      <c r="R280" s="647" t="str">
        <f t="shared" si="132"/>
        <v/>
      </c>
    </row>
    <row r="281" spans="1:18" x14ac:dyDescent="0.2">
      <c r="A281" s="171"/>
      <c r="B281" s="79">
        <v>8</v>
      </c>
      <c r="C281" s="829" t="str">
        <f t="shared" si="125"/>
        <v>** NOT USED **</v>
      </c>
      <c r="D281" s="830"/>
      <c r="E281" s="831"/>
      <c r="F281" s="401"/>
      <c r="G281" s="86" t="str">
        <f>IF(AND(SPANewFlag=1,'3b. Impact - proposed (pub)'!G281&lt;&gt;""),'3b. Impact - proposed (pub)'!G281,"")</f>
        <v/>
      </c>
      <c r="H281" s="401"/>
      <c r="I281" s="401"/>
      <c r="J281" s="402">
        <f t="shared" si="126"/>
        <v>0</v>
      </c>
      <c r="K281" s="643" t="str">
        <f>IF(C281&lt;&gt;MsgNotUsed,'3b. Impact - proposed (pub)'!K281,"")</f>
        <v/>
      </c>
      <c r="L281" s="402">
        <f t="shared" si="127"/>
        <v>0</v>
      </c>
      <c r="M281" s="402">
        <f t="shared" si="128"/>
        <v>0</v>
      </c>
      <c r="N281" s="570"/>
      <c r="O281" s="628">
        <f t="shared" si="129"/>
        <v>0</v>
      </c>
      <c r="P281" s="628">
        <f t="shared" si="130"/>
        <v>0</v>
      </c>
      <c r="Q281" s="647" t="str">
        <f t="shared" si="131"/>
        <v/>
      </c>
      <c r="R281" s="647" t="str">
        <f t="shared" si="132"/>
        <v/>
      </c>
    </row>
    <row r="282" spans="1:18" x14ac:dyDescent="0.2">
      <c r="A282" s="171"/>
      <c r="B282" s="79">
        <v>9</v>
      </c>
      <c r="C282" s="829" t="str">
        <f t="shared" si="125"/>
        <v>** NOT USED **</v>
      </c>
      <c r="D282" s="830"/>
      <c r="E282" s="831"/>
      <c r="F282" s="401"/>
      <c r="G282" s="86" t="str">
        <f>IF(AND(SPANewFlag=1,'3b. Impact - proposed (pub)'!G282&lt;&gt;""),'3b. Impact - proposed (pub)'!G282,"")</f>
        <v/>
      </c>
      <c r="H282" s="401"/>
      <c r="I282" s="401"/>
      <c r="J282" s="402">
        <f t="shared" si="126"/>
        <v>0</v>
      </c>
      <c r="K282" s="643" t="str">
        <f>IF(C282&lt;&gt;MsgNotUsed,'3b. Impact - proposed (pub)'!K282,"")</f>
        <v/>
      </c>
      <c r="L282" s="402">
        <f t="shared" si="127"/>
        <v>0</v>
      </c>
      <c r="M282" s="402">
        <f t="shared" si="128"/>
        <v>0</v>
      </c>
      <c r="N282" s="570"/>
      <c r="O282" s="628">
        <f t="shared" si="129"/>
        <v>0</v>
      </c>
      <c r="P282" s="628">
        <f t="shared" si="130"/>
        <v>0</v>
      </c>
      <c r="Q282" s="647" t="str">
        <f t="shared" si="131"/>
        <v/>
      </c>
      <c r="R282" s="647" t="str">
        <f t="shared" si="132"/>
        <v/>
      </c>
    </row>
    <row r="283" spans="1:18" x14ac:dyDescent="0.2">
      <c r="A283" s="171"/>
      <c r="B283" s="79">
        <v>10</v>
      </c>
      <c r="C283" s="829" t="str">
        <f t="shared" si="125"/>
        <v>** NOT USED **</v>
      </c>
      <c r="D283" s="830"/>
      <c r="E283" s="831"/>
      <c r="F283" s="401"/>
      <c r="G283" s="86" t="str">
        <f>IF(AND(SPANewFlag=1,'3b. Impact - proposed (pub)'!G283&lt;&gt;""),'3b. Impact - proposed (pub)'!G283,"")</f>
        <v/>
      </c>
      <c r="H283" s="401"/>
      <c r="I283" s="401"/>
      <c r="J283" s="402">
        <f t="shared" si="126"/>
        <v>0</v>
      </c>
      <c r="K283" s="643" t="str">
        <f>IF(C283&lt;&gt;MsgNotUsed,'3b. Impact - proposed (pub)'!K283,"")</f>
        <v/>
      </c>
      <c r="L283" s="402">
        <f t="shared" si="127"/>
        <v>0</v>
      </c>
      <c r="M283" s="402">
        <f t="shared" si="128"/>
        <v>0</v>
      </c>
      <c r="N283" s="570"/>
      <c r="O283" s="628">
        <f t="shared" si="129"/>
        <v>0</v>
      </c>
      <c r="P283" s="628">
        <f t="shared" si="130"/>
        <v>0</v>
      </c>
      <c r="Q283" s="647" t="str">
        <f t="shared" si="131"/>
        <v/>
      </c>
      <c r="R283" s="647" t="str">
        <f t="shared" si="132"/>
        <v/>
      </c>
    </row>
    <row r="284" spans="1:18" x14ac:dyDescent="0.2">
      <c r="B284" s="79">
        <v>11</v>
      </c>
      <c r="C284" s="829" t="str">
        <f t="shared" si="125"/>
        <v>** NOT USED **</v>
      </c>
      <c r="D284" s="830"/>
      <c r="E284" s="831"/>
      <c r="F284" s="401"/>
      <c r="G284" s="86" t="str">
        <f>IF(AND(SPANewFlag=1,'3b. Impact - proposed (pub)'!G284&lt;&gt;""),'3b. Impact - proposed (pub)'!G284,"")</f>
        <v/>
      </c>
      <c r="H284" s="401"/>
      <c r="I284" s="401"/>
      <c r="J284" s="402">
        <f t="shared" si="126"/>
        <v>0</v>
      </c>
      <c r="K284" s="643" t="str">
        <f>IF(C284&lt;&gt;MsgNotUsed,'3b. Impact - proposed (pub)'!K284,"")</f>
        <v/>
      </c>
      <c r="L284" s="402">
        <f t="shared" si="127"/>
        <v>0</v>
      </c>
      <c r="M284" s="402">
        <f t="shared" si="128"/>
        <v>0</v>
      </c>
      <c r="N284" s="570"/>
      <c r="O284" s="628">
        <f t="shared" si="129"/>
        <v>0</v>
      </c>
      <c r="P284" s="628">
        <f t="shared" si="130"/>
        <v>0</v>
      </c>
      <c r="Q284" s="647" t="str">
        <f t="shared" si="131"/>
        <v/>
      </c>
      <c r="R284" s="647" t="str">
        <f t="shared" si="132"/>
        <v/>
      </c>
    </row>
    <row r="285" spans="1:18" x14ac:dyDescent="0.2">
      <c r="B285" s="79">
        <v>12</v>
      </c>
      <c r="C285" s="829" t="str">
        <f t="shared" si="125"/>
        <v>** NOT USED **</v>
      </c>
      <c r="D285" s="830"/>
      <c r="E285" s="831"/>
      <c r="F285" s="401"/>
      <c r="G285" s="86" t="str">
        <f>IF(AND(SPANewFlag=1,'3b. Impact - proposed (pub)'!G285&lt;&gt;""),'3b. Impact - proposed (pub)'!G285,"")</f>
        <v/>
      </c>
      <c r="H285" s="401"/>
      <c r="I285" s="401"/>
      <c r="J285" s="402">
        <f t="shared" si="126"/>
        <v>0</v>
      </c>
      <c r="K285" s="643" t="str">
        <f>IF(C285&lt;&gt;MsgNotUsed,'3b. Impact - proposed (pub)'!K285,"")</f>
        <v/>
      </c>
      <c r="L285" s="402">
        <f t="shared" si="127"/>
        <v>0</v>
      </c>
      <c r="M285" s="402">
        <f t="shared" si="128"/>
        <v>0</v>
      </c>
      <c r="N285" s="570"/>
      <c r="O285" s="628">
        <f t="shared" si="129"/>
        <v>0</v>
      </c>
      <c r="P285" s="628">
        <f t="shared" si="130"/>
        <v>0</v>
      </c>
      <c r="Q285" s="647" t="str">
        <f t="shared" si="131"/>
        <v/>
      </c>
      <c r="R285" s="647" t="str">
        <f t="shared" si="132"/>
        <v/>
      </c>
    </row>
    <row r="286" spans="1:18" x14ac:dyDescent="0.2">
      <c r="B286" s="79">
        <v>13</v>
      </c>
      <c r="C286" s="829" t="str">
        <f t="shared" si="125"/>
        <v>** NOT USED **</v>
      </c>
      <c r="D286" s="830"/>
      <c r="E286" s="831"/>
      <c r="F286" s="401"/>
      <c r="G286" s="86" t="str">
        <f>IF(AND(SPANewFlag=1,'3b. Impact - proposed (pub)'!G286&lt;&gt;""),'3b. Impact - proposed (pub)'!G286,"")</f>
        <v/>
      </c>
      <c r="H286" s="401"/>
      <c r="I286" s="401"/>
      <c r="J286" s="402">
        <f t="shared" si="126"/>
        <v>0</v>
      </c>
      <c r="K286" s="643" t="str">
        <f>IF(C286&lt;&gt;MsgNotUsed,'3b. Impact - proposed (pub)'!K286,"")</f>
        <v/>
      </c>
      <c r="L286" s="402">
        <f t="shared" si="127"/>
        <v>0</v>
      </c>
      <c r="M286" s="402">
        <f t="shared" si="128"/>
        <v>0</v>
      </c>
      <c r="N286" s="570"/>
      <c r="O286" s="628">
        <f t="shared" si="129"/>
        <v>0</v>
      </c>
      <c r="P286" s="628">
        <f t="shared" si="130"/>
        <v>0</v>
      </c>
      <c r="Q286" s="647" t="str">
        <f t="shared" si="131"/>
        <v/>
      </c>
      <c r="R286" s="647" t="str">
        <f t="shared" si="132"/>
        <v/>
      </c>
    </row>
    <row r="287" spans="1:18" x14ac:dyDescent="0.2">
      <c r="B287" s="79">
        <v>14</v>
      </c>
      <c r="C287" s="829" t="str">
        <f t="shared" si="125"/>
        <v>** NOT USED **</v>
      </c>
      <c r="D287" s="830"/>
      <c r="E287" s="831"/>
      <c r="F287" s="401"/>
      <c r="G287" s="86" t="str">
        <f>IF(AND(SPANewFlag=1,'3b. Impact - proposed (pub)'!G287&lt;&gt;""),'3b. Impact - proposed (pub)'!G287,"")</f>
        <v/>
      </c>
      <c r="H287" s="401"/>
      <c r="I287" s="401"/>
      <c r="J287" s="402">
        <f t="shared" si="126"/>
        <v>0</v>
      </c>
      <c r="K287" s="643" t="str">
        <f>IF(C287&lt;&gt;MsgNotUsed,'3b. Impact - proposed (pub)'!K287,"")</f>
        <v/>
      </c>
      <c r="L287" s="402">
        <f t="shared" si="127"/>
        <v>0</v>
      </c>
      <c r="M287" s="402">
        <f t="shared" si="128"/>
        <v>0</v>
      </c>
      <c r="N287" s="570"/>
      <c r="O287" s="628">
        <f t="shared" si="129"/>
        <v>0</v>
      </c>
      <c r="P287" s="628">
        <f t="shared" si="130"/>
        <v>0</v>
      </c>
      <c r="Q287" s="647" t="str">
        <f t="shared" si="131"/>
        <v/>
      </c>
      <c r="R287" s="647" t="str">
        <f t="shared" si="132"/>
        <v/>
      </c>
    </row>
    <row r="288" spans="1:18" x14ac:dyDescent="0.2">
      <c r="B288" s="79">
        <v>15</v>
      </c>
      <c r="C288" s="829" t="str">
        <f t="shared" si="125"/>
        <v>** NOT USED **</v>
      </c>
      <c r="D288" s="830"/>
      <c r="E288" s="831"/>
      <c r="F288" s="401"/>
      <c r="G288" s="86" t="str">
        <f>IF(AND(SPANewFlag=1,'3b. Impact - proposed (pub)'!G288&lt;&gt;""),'3b. Impact - proposed (pub)'!G288,"")</f>
        <v/>
      </c>
      <c r="H288" s="401"/>
      <c r="I288" s="401"/>
      <c r="J288" s="402">
        <f t="shared" si="126"/>
        <v>0</v>
      </c>
      <c r="K288" s="643" t="str">
        <f>IF(C288&lt;&gt;MsgNotUsed,'3b. Impact - proposed (pub)'!K288,"")</f>
        <v/>
      </c>
      <c r="L288" s="402">
        <f t="shared" si="127"/>
        <v>0</v>
      </c>
      <c r="M288" s="402">
        <f t="shared" si="128"/>
        <v>0</v>
      </c>
      <c r="N288" s="570"/>
      <c r="O288" s="628">
        <f t="shared" si="129"/>
        <v>0</v>
      </c>
      <c r="P288" s="628">
        <f t="shared" si="130"/>
        <v>0</v>
      </c>
      <c r="Q288" s="647" t="str">
        <f t="shared" si="131"/>
        <v/>
      </c>
      <c r="R288" s="647" t="str">
        <f t="shared" si="132"/>
        <v/>
      </c>
    </row>
    <row r="289" spans="1:18" x14ac:dyDescent="0.2">
      <c r="B289" s="79">
        <v>16</v>
      </c>
      <c r="C289" s="829" t="str">
        <f t="shared" si="125"/>
        <v>** NOT USED **</v>
      </c>
      <c r="D289" s="830"/>
      <c r="E289" s="831"/>
      <c r="F289" s="401"/>
      <c r="G289" s="86" t="str">
        <f>IF(AND(SPANewFlag=1,'3b. Impact - proposed (pub)'!G289&lt;&gt;""),'3b. Impact - proposed (pub)'!G289,"")</f>
        <v/>
      </c>
      <c r="H289" s="401"/>
      <c r="I289" s="401"/>
      <c r="J289" s="402">
        <f t="shared" si="126"/>
        <v>0</v>
      </c>
      <c r="K289" s="643" t="str">
        <f>IF(C289&lt;&gt;MsgNotUsed,'3b. Impact - proposed (pub)'!K289,"")</f>
        <v/>
      </c>
      <c r="L289" s="402">
        <f t="shared" si="127"/>
        <v>0</v>
      </c>
      <c r="M289" s="402">
        <f t="shared" si="128"/>
        <v>0</v>
      </c>
      <c r="N289" s="570"/>
      <c r="O289" s="628">
        <f t="shared" si="129"/>
        <v>0</v>
      </c>
      <c r="P289" s="628">
        <f t="shared" si="130"/>
        <v>0</v>
      </c>
      <c r="Q289" s="647" t="str">
        <f t="shared" si="131"/>
        <v/>
      </c>
      <c r="R289" s="647" t="str">
        <f t="shared" si="132"/>
        <v/>
      </c>
    </row>
    <row r="290" spans="1:18" x14ac:dyDescent="0.2">
      <c r="B290" s="79">
        <v>17</v>
      </c>
      <c r="C290" s="829" t="str">
        <f t="shared" si="125"/>
        <v>** NOT USED **</v>
      </c>
      <c r="D290" s="830"/>
      <c r="E290" s="831"/>
      <c r="F290" s="401"/>
      <c r="G290" s="86" t="str">
        <f>IF(AND(SPANewFlag=1,'3b. Impact - proposed (pub)'!G290&lt;&gt;""),'3b. Impact - proposed (pub)'!G290,"")</f>
        <v/>
      </c>
      <c r="H290" s="401"/>
      <c r="I290" s="401"/>
      <c r="J290" s="402">
        <f t="shared" si="126"/>
        <v>0</v>
      </c>
      <c r="K290" s="643" t="str">
        <f>IF(C290&lt;&gt;MsgNotUsed,'3b. Impact - proposed (pub)'!K290,"")</f>
        <v/>
      </c>
      <c r="L290" s="402">
        <f t="shared" si="127"/>
        <v>0</v>
      </c>
      <c r="M290" s="402">
        <f t="shared" si="128"/>
        <v>0</v>
      </c>
      <c r="N290" s="570"/>
      <c r="O290" s="628">
        <f t="shared" si="129"/>
        <v>0</v>
      </c>
      <c r="P290" s="628">
        <f t="shared" si="130"/>
        <v>0</v>
      </c>
      <c r="Q290" s="647" t="str">
        <f t="shared" si="131"/>
        <v/>
      </c>
      <c r="R290" s="647" t="str">
        <f t="shared" si="132"/>
        <v/>
      </c>
    </row>
    <row r="291" spans="1:18" x14ac:dyDescent="0.2">
      <c r="B291" s="79">
        <v>18</v>
      </c>
      <c r="C291" s="829" t="str">
        <f t="shared" si="125"/>
        <v>** NOT USED **</v>
      </c>
      <c r="D291" s="830"/>
      <c r="E291" s="831"/>
      <c r="F291" s="401"/>
      <c r="G291" s="86" t="str">
        <f>IF(AND(SPANewFlag=1,'3b. Impact - proposed (pub)'!G291&lt;&gt;""),'3b. Impact - proposed (pub)'!G291,"")</f>
        <v/>
      </c>
      <c r="H291" s="401"/>
      <c r="I291" s="401"/>
      <c r="J291" s="402">
        <f t="shared" si="126"/>
        <v>0</v>
      </c>
      <c r="K291" s="643" t="str">
        <f>IF(C291&lt;&gt;MsgNotUsed,'3b. Impact - proposed (pub)'!K291,"")</f>
        <v/>
      </c>
      <c r="L291" s="402">
        <f t="shared" si="127"/>
        <v>0</v>
      </c>
      <c r="M291" s="402">
        <f t="shared" si="128"/>
        <v>0</v>
      </c>
      <c r="N291" s="570"/>
      <c r="O291" s="628">
        <f t="shared" si="129"/>
        <v>0</v>
      </c>
      <c r="P291" s="628">
        <f t="shared" si="130"/>
        <v>0</v>
      </c>
      <c r="Q291" s="647" t="str">
        <f t="shared" si="131"/>
        <v/>
      </c>
      <c r="R291" s="647" t="str">
        <f t="shared" si="132"/>
        <v/>
      </c>
    </row>
    <row r="292" spans="1:18" x14ac:dyDescent="0.2">
      <c r="B292" s="79">
        <v>19</v>
      </c>
      <c r="C292" s="829" t="str">
        <f t="shared" si="125"/>
        <v>** NOT USED **</v>
      </c>
      <c r="D292" s="830"/>
      <c r="E292" s="831"/>
      <c r="F292" s="401"/>
      <c r="G292" s="86" t="str">
        <f>IF(AND(SPANewFlag=1,'3b. Impact - proposed (pub)'!G292&lt;&gt;""),'3b. Impact - proposed (pub)'!G292,"")</f>
        <v/>
      </c>
      <c r="H292" s="401"/>
      <c r="I292" s="401"/>
      <c r="J292" s="402">
        <f t="shared" si="126"/>
        <v>0</v>
      </c>
      <c r="K292" s="643" t="str">
        <f>IF(C292&lt;&gt;MsgNotUsed,'3b. Impact - proposed (pub)'!K292,"")</f>
        <v/>
      </c>
      <c r="L292" s="402">
        <f t="shared" si="127"/>
        <v>0</v>
      </c>
      <c r="M292" s="402">
        <f t="shared" si="128"/>
        <v>0</v>
      </c>
      <c r="N292" s="570"/>
      <c r="O292" s="628">
        <f t="shared" si="129"/>
        <v>0</v>
      </c>
      <c r="P292" s="628">
        <f t="shared" si="130"/>
        <v>0</v>
      </c>
      <c r="Q292" s="647" t="str">
        <f t="shared" si="131"/>
        <v/>
      </c>
      <c r="R292" s="647" t="str">
        <f t="shared" si="132"/>
        <v/>
      </c>
    </row>
    <row r="293" spans="1:18" x14ac:dyDescent="0.2">
      <c r="B293" s="79">
        <v>20</v>
      </c>
      <c r="C293" s="829" t="str">
        <f t="shared" si="125"/>
        <v>** NOT USED **</v>
      </c>
      <c r="D293" s="830"/>
      <c r="E293" s="831"/>
      <c r="F293" s="401"/>
      <c r="G293" s="86" t="str">
        <f>IF(AND(SPANewFlag=1,'3b. Impact - proposed (pub)'!G293&lt;&gt;""),'3b. Impact - proposed (pub)'!G293,"")</f>
        <v/>
      </c>
      <c r="H293" s="401"/>
      <c r="I293" s="401"/>
      <c r="J293" s="402">
        <f t="shared" si="126"/>
        <v>0</v>
      </c>
      <c r="K293" s="643" t="str">
        <f>IF(C293&lt;&gt;MsgNotUsed,'3b. Impact - proposed (pub)'!K293,"")</f>
        <v/>
      </c>
      <c r="L293" s="402">
        <f t="shared" si="127"/>
        <v>0</v>
      </c>
      <c r="M293" s="402">
        <f t="shared" si="128"/>
        <v>0</v>
      </c>
      <c r="N293" s="570"/>
      <c r="O293" s="628">
        <f t="shared" si="129"/>
        <v>0</v>
      </c>
      <c r="P293" s="628">
        <f t="shared" si="130"/>
        <v>0</v>
      </c>
      <c r="Q293" s="647" t="str">
        <f t="shared" si="131"/>
        <v/>
      </c>
      <c r="R293" s="647" t="str">
        <f t="shared" si="132"/>
        <v/>
      </c>
    </row>
    <row r="294" spans="1:18" x14ac:dyDescent="0.2">
      <c r="A294" s="171"/>
      <c r="B294" s="171"/>
      <c r="C294" s="171"/>
      <c r="D294" s="171"/>
      <c r="E294" s="171"/>
      <c r="F294" s="171"/>
      <c r="G294" s="171"/>
      <c r="H294" s="171"/>
      <c r="I294" s="171"/>
      <c r="J294" s="171"/>
      <c r="K294" s="171"/>
      <c r="L294" s="171"/>
      <c r="M294" s="171"/>
      <c r="Q294" s="646">
        <f>SUM(Q274:Q293)</f>
        <v>0</v>
      </c>
      <c r="R294" s="570"/>
    </row>
    <row r="295" spans="1:18" x14ac:dyDescent="0.2">
      <c r="A295" s="171"/>
      <c r="B295" s="171"/>
      <c r="C295" s="220"/>
      <c r="D295" s="220"/>
      <c r="E295" s="220"/>
      <c r="F295" s="215"/>
      <c r="G295" s="171"/>
      <c r="H295" s="171"/>
      <c r="I295" s="171"/>
      <c r="J295" s="171"/>
      <c r="K295" s="171"/>
      <c r="L295" s="171"/>
      <c r="M295" s="171"/>
    </row>
    <row r="296" spans="1:18" ht="15.75" x14ac:dyDescent="0.2">
      <c r="A296" s="176"/>
      <c r="B296" s="176"/>
      <c r="C296" s="174" t="s">
        <v>941</v>
      </c>
      <c r="D296" s="174"/>
      <c r="E296" s="174"/>
      <c r="F296" s="240"/>
      <c r="G296" s="177"/>
      <c r="H296" s="177"/>
      <c r="I296" s="177"/>
      <c r="J296" s="177"/>
      <c r="K296" s="177"/>
      <c r="L296" s="178"/>
      <c r="M296" s="178"/>
    </row>
    <row r="297" spans="1:18" x14ac:dyDescent="0.2">
      <c r="A297" s="5"/>
      <c r="B297" s="5"/>
      <c r="C297" s="18"/>
      <c r="D297" s="18"/>
      <c r="E297" s="18"/>
      <c r="F297" s="18"/>
      <c r="G297" s="18"/>
      <c r="H297" s="18"/>
      <c r="I297" s="18"/>
      <c r="J297" s="18"/>
      <c r="K297" s="18"/>
      <c r="L297" s="18"/>
      <c r="M297" s="18"/>
    </row>
    <row r="298" spans="1:18" x14ac:dyDescent="0.2">
      <c r="A298" s="5"/>
      <c r="B298" s="5"/>
      <c r="C298" s="18" t="s">
        <v>951</v>
      </c>
      <c r="D298" s="18"/>
      <c r="E298" s="18"/>
      <c r="F298" s="18"/>
      <c r="G298" s="18"/>
      <c r="H298" s="18"/>
      <c r="I298" s="18"/>
      <c r="J298" s="18"/>
      <c r="K298" s="18"/>
      <c r="L298" s="18"/>
      <c r="M298" s="18"/>
    </row>
  </sheetData>
  <mergeCells count="63">
    <mergeCell ref="C293:E293"/>
    <mergeCell ref="C284:E284"/>
    <mergeCell ref="C285:E285"/>
    <mergeCell ref="C286:E286"/>
    <mergeCell ref="C287:E287"/>
    <mergeCell ref="C288:E288"/>
    <mergeCell ref="C289:E289"/>
    <mergeCell ref="C290:E290"/>
    <mergeCell ref="C291:E291"/>
    <mergeCell ref="C292:E292"/>
    <mergeCell ref="K140:M140"/>
    <mergeCell ref="K32:M32"/>
    <mergeCell ref="K44:M44"/>
    <mergeCell ref="K56:M56"/>
    <mergeCell ref="K68:M68"/>
    <mergeCell ref="K80:M80"/>
    <mergeCell ref="L88:M88"/>
    <mergeCell ref="L100:M100"/>
    <mergeCell ref="L112:M112"/>
    <mergeCell ref="L124:M124"/>
    <mergeCell ref="L136:M136"/>
    <mergeCell ref="K92:M92"/>
    <mergeCell ref="K104:M104"/>
    <mergeCell ref="K116:M116"/>
    <mergeCell ref="K128:M128"/>
    <mergeCell ref="C276:E276"/>
    <mergeCell ref="C274:E274"/>
    <mergeCell ref="C275:E275"/>
    <mergeCell ref="C273:E273"/>
    <mergeCell ref="H272:J272"/>
    <mergeCell ref="K1:M1"/>
    <mergeCell ref="K152:M152"/>
    <mergeCell ref="K164:M164"/>
    <mergeCell ref="K176:M176"/>
    <mergeCell ref="C283:E283"/>
    <mergeCell ref="C277:E277"/>
    <mergeCell ref="C278:E278"/>
    <mergeCell ref="C279:E279"/>
    <mergeCell ref="C280:E280"/>
    <mergeCell ref="C281:E281"/>
    <mergeCell ref="C282:E282"/>
    <mergeCell ref="K248:M248"/>
    <mergeCell ref="K260:M260"/>
    <mergeCell ref="K188:M188"/>
    <mergeCell ref="K200:M200"/>
    <mergeCell ref="K212:M212"/>
    <mergeCell ref="L28:M28"/>
    <mergeCell ref="L40:M40"/>
    <mergeCell ref="L52:M52"/>
    <mergeCell ref="L64:M64"/>
    <mergeCell ref="L76:M76"/>
    <mergeCell ref="L148:M148"/>
    <mergeCell ref="L160:M160"/>
    <mergeCell ref="L172:M172"/>
    <mergeCell ref="L184:M184"/>
    <mergeCell ref="L196:M196"/>
    <mergeCell ref="L208:M208"/>
    <mergeCell ref="L220:M220"/>
    <mergeCell ref="L232:M232"/>
    <mergeCell ref="L244:M244"/>
    <mergeCell ref="L256:M256"/>
    <mergeCell ref="K224:M224"/>
    <mergeCell ref="K236:M236"/>
  </mergeCells>
  <conditionalFormatting sqref="F275:I275">
    <cfRule type="expression" dxfId="544" priority="146">
      <formula>$C$275=MsgNotUsed</formula>
    </cfRule>
  </conditionalFormatting>
  <conditionalFormatting sqref="F276:I276">
    <cfRule type="expression" dxfId="543" priority="145">
      <formula>$C$276=MsgNotUsed</formula>
    </cfRule>
  </conditionalFormatting>
  <conditionalFormatting sqref="F277:I277">
    <cfRule type="expression" dxfId="542" priority="144">
      <formula>$C$277=MsgNotUsed</formula>
    </cfRule>
  </conditionalFormatting>
  <conditionalFormatting sqref="F278:I278">
    <cfRule type="expression" dxfId="541" priority="143">
      <formula>$C$278=MsgNotUsed</formula>
    </cfRule>
  </conditionalFormatting>
  <conditionalFormatting sqref="F279:I279">
    <cfRule type="expression" dxfId="540" priority="142">
      <formula>$C$279=MsgNotUsed</formula>
    </cfRule>
  </conditionalFormatting>
  <conditionalFormatting sqref="F280:I280">
    <cfRule type="expression" dxfId="539" priority="141">
      <formula>$C$280=MsgNotUsed</formula>
    </cfRule>
  </conditionalFormatting>
  <conditionalFormatting sqref="F281:I281">
    <cfRule type="expression" dxfId="538" priority="140">
      <formula>$C$281=MsgNotUsed</formula>
    </cfRule>
  </conditionalFormatting>
  <conditionalFormatting sqref="F282:I282">
    <cfRule type="expression" dxfId="537" priority="139">
      <formula>$C$282=MsgNotUsed</formula>
    </cfRule>
  </conditionalFormatting>
  <conditionalFormatting sqref="F283:I283">
    <cfRule type="expression" dxfId="536" priority="138">
      <formula>$C$283=MsgNotUsed</formula>
    </cfRule>
  </conditionalFormatting>
  <conditionalFormatting sqref="I275:I293">
    <cfRule type="expression" dxfId="535" priority="137">
      <formula>SplitPPMarket&lt;&gt;"Y"</formula>
    </cfRule>
  </conditionalFormatting>
  <conditionalFormatting sqref="F274:I274">
    <cfRule type="expression" dxfId="534" priority="135">
      <formula>$C$274=MsgNotUsed</formula>
    </cfRule>
  </conditionalFormatting>
  <conditionalFormatting sqref="I274">
    <cfRule type="expression" dxfId="533" priority="134">
      <formula>SplitPPMarket&lt;&gt;"Y"</formula>
    </cfRule>
  </conditionalFormatting>
  <conditionalFormatting sqref="F284:I284">
    <cfRule type="expression" dxfId="532" priority="77">
      <formula>$C$284=MsgNotUsed</formula>
    </cfRule>
  </conditionalFormatting>
  <conditionalFormatting sqref="F285:I285">
    <cfRule type="expression" dxfId="531" priority="76">
      <formula>$C$285=MsgNotUsed</formula>
    </cfRule>
  </conditionalFormatting>
  <conditionalFormatting sqref="F286:I286">
    <cfRule type="expression" dxfId="530" priority="75">
      <formula>$C$286=MsgNotUsed</formula>
    </cfRule>
  </conditionalFormatting>
  <conditionalFormatting sqref="F287:I287">
    <cfRule type="expression" dxfId="529" priority="74">
      <formula>$C$287=MsgNotUsed</formula>
    </cfRule>
  </conditionalFormatting>
  <conditionalFormatting sqref="F288:I288">
    <cfRule type="expression" dxfId="528" priority="73">
      <formula>$C$288=MsgNotUsed</formula>
    </cfRule>
  </conditionalFormatting>
  <conditionalFormatting sqref="F289:I289">
    <cfRule type="expression" dxfId="527" priority="72">
      <formula>$C$289=MsgNotUsed</formula>
    </cfRule>
  </conditionalFormatting>
  <conditionalFormatting sqref="F290:I290">
    <cfRule type="expression" dxfId="526" priority="71">
      <formula>$C$290=MsgNotUsed</formula>
    </cfRule>
  </conditionalFormatting>
  <conditionalFormatting sqref="F291:I291">
    <cfRule type="expression" dxfId="525" priority="70">
      <formula>$C$291=MsgNotUsed</formula>
    </cfRule>
  </conditionalFormatting>
  <conditionalFormatting sqref="F292:I292">
    <cfRule type="expression" dxfId="524" priority="69">
      <formula>$C$292=MsgNotUsed</formula>
    </cfRule>
  </conditionalFormatting>
  <conditionalFormatting sqref="F293:I293">
    <cfRule type="expression" dxfId="523" priority="68">
      <formula>$C$293=MsgNotUsed</formula>
    </cfRule>
  </conditionalFormatting>
  <conditionalFormatting sqref="K32:M32">
    <cfRule type="notContainsBlanks" dxfId="522" priority="67">
      <formula>LEN(TRIM(K32))&gt;0</formula>
    </cfRule>
  </conditionalFormatting>
  <conditionalFormatting sqref="K44:M44">
    <cfRule type="notContainsBlanks" dxfId="521" priority="66">
      <formula>LEN(TRIM(K44))&gt;0</formula>
    </cfRule>
  </conditionalFormatting>
  <conditionalFormatting sqref="K56:M56">
    <cfRule type="notContainsBlanks" dxfId="520" priority="65">
      <formula>LEN(TRIM(K56))&gt;0</formula>
    </cfRule>
  </conditionalFormatting>
  <conditionalFormatting sqref="K68:M68">
    <cfRule type="notContainsBlanks" dxfId="519" priority="64">
      <formula>LEN(TRIM(K68))&gt;0</formula>
    </cfRule>
  </conditionalFormatting>
  <conditionalFormatting sqref="K80:M80">
    <cfRule type="notContainsBlanks" dxfId="518" priority="63">
      <formula>LEN(TRIM(K80))&gt;0</formula>
    </cfRule>
  </conditionalFormatting>
  <conditionalFormatting sqref="K92:M92">
    <cfRule type="notContainsBlanks" dxfId="517" priority="62">
      <formula>LEN(TRIM(K92))&gt;0</formula>
    </cfRule>
  </conditionalFormatting>
  <conditionalFormatting sqref="K104:M104">
    <cfRule type="notContainsBlanks" dxfId="516" priority="61">
      <formula>LEN(TRIM(K104))&gt;0</formula>
    </cfRule>
  </conditionalFormatting>
  <conditionalFormatting sqref="K116:M116">
    <cfRule type="notContainsBlanks" dxfId="515" priority="60">
      <formula>LEN(TRIM(K116))&gt;0</formula>
    </cfRule>
  </conditionalFormatting>
  <conditionalFormatting sqref="K128:M128">
    <cfRule type="notContainsBlanks" dxfId="514" priority="59">
      <formula>LEN(TRIM(K128))&gt;0</formula>
    </cfRule>
  </conditionalFormatting>
  <conditionalFormatting sqref="K140:M140">
    <cfRule type="notContainsBlanks" dxfId="513" priority="58">
      <formula>LEN(TRIM(K140))&gt;0</formula>
    </cfRule>
  </conditionalFormatting>
  <conditionalFormatting sqref="K152:M152">
    <cfRule type="notContainsBlanks" dxfId="512" priority="57">
      <formula>LEN(TRIM(K152))&gt;0</formula>
    </cfRule>
  </conditionalFormatting>
  <conditionalFormatting sqref="K164:M164">
    <cfRule type="notContainsBlanks" dxfId="511" priority="56">
      <formula>LEN(TRIM(K164))&gt;0</formula>
    </cfRule>
  </conditionalFormatting>
  <conditionalFormatting sqref="K176:M176">
    <cfRule type="notContainsBlanks" dxfId="510" priority="55">
      <formula>LEN(TRIM(K176))&gt;0</formula>
    </cfRule>
  </conditionalFormatting>
  <conditionalFormatting sqref="K188:M188">
    <cfRule type="notContainsBlanks" dxfId="509" priority="54">
      <formula>LEN(TRIM(K188))&gt;0</formula>
    </cfRule>
  </conditionalFormatting>
  <conditionalFormatting sqref="K200:M200">
    <cfRule type="notContainsBlanks" dxfId="508" priority="53">
      <formula>LEN(TRIM(K200))&gt;0</formula>
    </cfRule>
  </conditionalFormatting>
  <conditionalFormatting sqref="K212:M212">
    <cfRule type="notContainsBlanks" dxfId="507" priority="52">
      <formula>LEN(TRIM(K212))&gt;0</formula>
    </cfRule>
  </conditionalFormatting>
  <conditionalFormatting sqref="K224:M224">
    <cfRule type="notContainsBlanks" dxfId="506" priority="51">
      <formula>LEN(TRIM(K224))&gt;0</formula>
    </cfRule>
  </conditionalFormatting>
  <conditionalFormatting sqref="K236:M236">
    <cfRule type="notContainsBlanks" dxfId="505" priority="50">
      <formula>LEN(TRIM(K236))&gt;0</formula>
    </cfRule>
  </conditionalFormatting>
  <conditionalFormatting sqref="K248:M248">
    <cfRule type="notContainsBlanks" dxfId="504" priority="49">
      <formula>LEN(TRIM(K248))&gt;0</formula>
    </cfRule>
  </conditionalFormatting>
  <conditionalFormatting sqref="K260:M260">
    <cfRule type="notContainsBlanks" dxfId="503" priority="48">
      <formula>LEN(TRIM(K260))&gt;0</formula>
    </cfRule>
  </conditionalFormatting>
  <conditionalFormatting sqref="H272:J272">
    <cfRule type="notContainsBlanks" dxfId="502" priority="25">
      <formula>LEN(TRIM(H272))&gt;0</formula>
    </cfRule>
  </conditionalFormatting>
  <conditionalFormatting sqref="I273:J273">
    <cfRule type="expression" dxfId="501" priority="24">
      <formula>$Q$294=0</formula>
    </cfRule>
  </conditionalFormatting>
  <conditionalFormatting sqref="J277">
    <cfRule type="expression" dxfId="500" priority="20">
      <formula>$Q$277=0</formula>
    </cfRule>
  </conditionalFormatting>
  <conditionalFormatting sqref="I278:J278">
    <cfRule type="expression" dxfId="499" priority="19">
      <formula>$Q$278=0</formula>
    </cfRule>
  </conditionalFormatting>
  <conditionalFormatting sqref="I279:J279">
    <cfRule type="expression" dxfId="498" priority="18">
      <formula>$Q$279=0</formula>
    </cfRule>
  </conditionalFormatting>
  <conditionalFormatting sqref="I280:J280">
    <cfRule type="expression" dxfId="497" priority="17">
      <formula>$Q$280=0</formula>
    </cfRule>
  </conditionalFormatting>
  <conditionalFormatting sqref="I281:J281">
    <cfRule type="expression" dxfId="496" priority="16">
      <formula>$Q$281=0</formula>
    </cfRule>
  </conditionalFormatting>
  <conditionalFormatting sqref="I282:J282">
    <cfRule type="expression" dxfId="495" priority="15">
      <formula>$Q$282=0</formula>
    </cfRule>
  </conditionalFormatting>
  <conditionalFormatting sqref="I283:J283">
    <cfRule type="expression" dxfId="494" priority="14">
      <formula>$Q$283=0</formula>
    </cfRule>
  </conditionalFormatting>
  <conditionalFormatting sqref="I284:J284">
    <cfRule type="expression" dxfId="493" priority="13">
      <formula>$Q$284=0</formula>
    </cfRule>
  </conditionalFormatting>
  <conditionalFormatting sqref="I285:J285">
    <cfRule type="expression" dxfId="492" priority="12">
      <formula>$Q$285=0</formula>
    </cfRule>
  </conditionalFormatting>
  <conditionalFormatting sqref="I286:J286">
    <cfRule type="expression" dxfId="491" priority="11">
      <formula>$Q$286=0</formula>
    </cfRule>
  </conditionalFormatting>
  <conditionalFormatting sqref="I287:J287">
    <cfRule type="expression" dxfId="490" priority="10">
      <formula>$Q$287=0</formula>
    </cfRule>
  </conditionalFormatting>
  <conditionalFormatting sqref="I288:J288">
    <cfRule type="expression" dxfId="489" priority="9">
      <formula>$Q$288=0</formula>
    </cfRule>
  </conditionalFormatting>
  <conditionalFormatting sqref="I289:J289">
    <cfRule type="expression" dxfId="488" priority="8">
      <formula>$Q$289=0</formula>
    </cfRule>
  </conditionalFormatting>
  <conditionalFormatting sqref="I290:J290">
    <cfRule type="expression" dxfId="487" priority="7">
      <formula>$Q$290=0</formula>
    </cfRule>
  </conditionalFormatting>
  <conditionalFormatting sqref="I291:J291">
    <cfRule type="expression" dxfId="486" priority="6">
      <formula>$Q$291=0</formula>
    </cfRule>
  </conditionalFormatting>
  <conditionalFormatting sqref="I292:J292">
    <cfRule type="expression" dxfId="485" priority="5">
      <formula>$Q$292=0</formula>
    </cfRule>
  </conditionalFormatting>
  <conditionalFormatting sqref="I293:J293">
    <cfRule type="expression" dxfId="484" priority="4">
      <formula>$Q$293=0</formula>
    </cfRule>
  </conditionalFormatting>
  <conditionalFormatting sqref="I274:J274">
    <cfRule type="expression" dxfId="483" priority="3">
      <formula>$Q$274=0</formula>
    </cfRule>
  </conditionalFormatting>
  <conditionalFormatting sqref="I275:J275">
    <cfRule type="expression" dxfId="482" priority="2">
      <formula>$Q$275=0</formula>
    </cfRule>
  </conditionalFormatting>
  <conditionalFormatting sqref="I276:J276">
    <cfRule type="expression" dxfId="481" priority="1">
      <formula>$Q$276=0</formula>
    </cfRule>
  </conditionalFormatting>
  <dataValidations disablePrompts="1" count="1">
    <dataValidation allowBlank="1" showErrorMessage="1" sqref="D139:I141 D36:I38 D120:I122 D127:I129 D48:I50 D31:I34 D60:I62 D15:I17 D115:I117 D67:I69 D72:I74 D79:I81 D84:I86 D91:I93 D108:I110 D96:I98 D103:I105 D264:I266 D55:I57 D43:I45 D24:I24 F58:I58 D132:I134 D144:I146 D151:I153 D156:I158 D163:I165 D168:I170 D175:I177 D180:I182 D187:I189 D192:I194 D199:I201 D204:I206 D211:I213 D216:I218 D223:I225 D228:I230 D235:I237 D240:I242 D247:I249 D252:I254 D259:I261 D20:I22 J58:M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pageSetUpPr fitToPage="1"/>
  </sheetPr>
  <dimension ref="A1:AT427"/>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3" width="3.7109375" hidden="1" customWidth="1"/>
    <col min="4" max="4" width="50.7109375" customWidth="1"/>
    <col min="5" max="22" width="15.7109375" customWidth="1"/>
    <col min="23" max="23" width="15.7109375" style="570" customWidth="1"/>
    <col min="24" max="24" width="3.7109375" hidden="1" customWidth="1"/>
    <col min="25" max="25" width="10.7109375" hidden="1" customWidth="1"/>
    <col min="26" max="27" width="3.7109375" hidden="1" customWidth="1"/>
    <col min="28" max="28" width="50.7109375" hidden="1" customWidth="1"/>
    <col min="29" max="46" width="10.7109375" hidden="1" customWidth="1"/>
  </cols>
  <sheetData>
    <row r="1" spans="1:46" ht="23.25" x14ac:dyDescent="0.2">
      <c r="A1" s="469">
        <f>IF((SUM(E39:J39)&lt;&gt;0),2,0)</f>
        <v>0</v>
      </c>
      <c r="B1" s="464"/>
      <c r="C1" s="465"/>
      <c r="D1" s="471" t="s">
        <v>709</v>
      </c>
      <c r="E1" s="465"/>
      <c r="F1" s="465"/>
      <c r="G1" s="465"/>
      <c r="H1" s="845" t="str">
        <f>ScriptSource &amp; IF(AND(C153&lt;&gt;0,C125&lt;&gt;0),ScriptSource &amp; " - additional market-share &amp; epidemiology based scripts",IF(C153&lt;&gt;0," - additional market-share based scripts",IF(C125&lt;&gt;0," - additional epidemiology based scripts"," - no additions")))</f>
        <v xml:space="preserve"> - no additions</v>
      </c>
      <c r="I1" s="845"/>
      <c r="J1" s="845"/>
      <c r="K1" s="845"/>
      <c r="L1" s="845"/>
      <c r="M1" s="845"/>
      <c r="N1" s="84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row>
    <row r="2" spans="1:46" ht="15.75" x14ac:dyDescent="0.2">
      <c r="A2" s="465"/>
      <c r="B2" s="465"/>
      <c r="C2" s="465"/>
      <c r="D2" s="468" t="str">
        <f>CONCATENATE("Name of medicine: ", MedicineBrand)</f>
        <v>Name of medicine:  (®)</v>
      </c>
      <c r="E2" s="465"/>
      <c r="F2" s="465"/>
      <c r="G2" s="465"/>
      <c r="H2" s="465"/>
      <c r="I2" s="468"/>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row>
    <row r="3" spans="1:46" ht="15.75" x14ac:dyDescent="0.2">
      <c r="A3" s="465"/>
      <c r="B3" s="465"/>
      <c r="C3" s="465"/>
      <c r="D3" s="468" t="str">
        <f>CONCATENATE("Indication: ", Indication)</f>
        <v xml:space="preserve">Indication: </v>
      </c>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row>
    <row r="4" spans="1:46" s="575" customFormat="1" x14ac:dyDescent="0.2">
      <c r="A4" s="572"/>
      <c r="B4" s="572"/>
      <c r="C4" s="572"/>
      <c r="D4" s="266"/>
      <c r="E4" s="572"/>
      <c r="F4" s="572"/>
      <c r="G4" s="572"/>
      <c r="H4" s="572"/>
      <c r="I4" s="572"/>
      <c r="J4" s="572"/>
      <c r="K4" s="572"/>
      <c r="L4" s="572"/>
      <c r="M4" s="572"/>
      <c r="N4" s="572"/>
      <c r="O4" s="572"/>
      <c r="P4" s="572"/>
      <c r="Q4" s="572"/>
      <c r="R4" s="572"/>
      <c r="S4" s="571"/>
      <c r="T4" s="571"/>
      <c r="U4" s="571"/>
      <c r="V4" s="571"/>
      <c r="W4" s="571"/>
      <c r="AB4" s="571"/>
      <c r="AC4" s="571"/>
      <c r="AD4" s="571"/>
      <c r="AE4" s="571"/>
      <c r="AF4" s="571"/>
      <c r="AG4" s="571"/>
      <c r="AH4" s="571"/>
      <c r="AI4" s="571"/>
      <c r="AJ4" s="571"/>
      <c r="AK4" s="571"/>
      <c r="AL4" s="571"/>
      <c r="AM4" s="571"/>
      <c r="AN4" s="571"/>
      <c r="AO4" s="571"/>
      <c r="AP4" s="571"/>
      <c r="AQ4" s="571"/>
      <c r="AR4" s="571"/>
      <c r="AS4" s="571"/>
      <c r="AT4" s="571"/>
    </row>
    <row r="5" spans="1:46" ht="15.75" x14ac:dyDescent="0.2">
      <c r="A5" s="173"/>
      <c r="B5" s="173"/>
      <c r="C5" s="173"/>
      <c r="D5" s="174" t="s">
        <v>2</v>
      </c>
      <c r="E5" s="175"/>
      <c r="F5" s="175"/>
      <c r="G5" s="175"/>
      <c r="H5" s="175"/>
      <c r="I5" s="175"/>
      <c r="J5" s="175"/>
      <c r="K5" s="175"/>
      <c r="L5" s="175"/>
      <c r="M5" s="175"/>
      <c r="N5" s="175"/>
      <c r="O5" s="175"/>
      <c r="P5" s="175"/>
      <c r="Q5" s="175"/>
      <c r="R5" s="175"/>
      <c r="S5" s="175"/>
      <c r="T5" s="175"/>
      <c r="U5" s="175"/>
      <c r="V5" s="175"/>
      <c r="W5" s="175"/>
      <c r="X5" s="13"/>
      <c r="Y5" s="13"/>
      <c r="Z5" s="13"/>
      <c r="AA5" s="13"/>
      <c r="AB5" s="39"/>
      <c r="AC5" s="39"/>
      <c r="AD5" s="39"/>
      <c r="AE5" s="39"/>
      <c r="AF5" s="39"/>
      <c r="AG5" s="39"/>
      <c r="AH5" s="39"/>
      <c r="AI5" s="39"/>
      <c r="AJ5" s="39"/>
      <c r="AK5" s="39"/>
      <c r="AL5" s="39"/>
      <c r="AM5" s="39"/>
      <c r="AN5" s="39"/>
      <c r="AO5" s="39"/>
      <c r="AP5" s="39"/>
      <c r="AQ5" s="39"/>
      <c r="AR5" s="39"/>
      <c r="AS5" s="39"/>
      <c r="AT5" s="39"/>
    </row>
    <row r="6" spans="1:46" ht="14.25" x14ac:dyDescent="0.2">
      <c r="A6" s="171"/>
      <c r="B6" s="171"/>
      <c r="C6" s="171"/>
      <c r="D6" s="209"/>
      <c r="E6" s="171"/>
      <c r="F6" s="171"/>
      <c r="G6" s="171"/>
      <c r="H6" s="171"/>
      <c r="I6" s="171"/>
      <c r="J6" s="171"/>
      <c r="K6" s="171"/>
      <c r="L6" s="171"/>
      <c r="M6" s="171"/>
      <c r="N6" s="171"/>
      <c r="O6" s="171"/>
      <c r="P6" s="171"/>
      <c r="Q6" s="171"/>
      <c r="R6" s="171"/>
      <c r="S6" s="5"/>
      <c r="T6" s="5"/>
      <c r="U6" s="5"/>
      <c r="V6" s="5"/>
      <c r="W6" s="5"/>
      <c r="X6" s="13"/>
      <c r="Y6" s="13"/>
      <c r="Z6" s="13"/>
      <c r="AA6" s="13"/>
      <c r="AB6" s="5"/>
      <c r="AC6" s="5"/>
      <c r="AD6" s="5"/>
      <c r="AE6" s="5"/>
      <c r="AF6" s="5"/>
      <c r="AG6" s="5"/>
      <c r="AH6" s="5"/>
      <c r="AI6" s="5"/>
      <c r="AJ6" s="5"/>
      <c r="AK6" s="5"/>
      <c r="AL6" s="5"/>
      <c r="AM6" s="5"/>
      <c r="AN6" s="5"/>
      <c r="AO6" s="5"/>
      <c r="AP6" s="5"/>
      <c r="AQ6" s="5"/>
      <c r="AR6" s="5"/>
      <c r="AS6" s="5"/>
      <c r="AT6" s="5"/>
    </row>
    <row r="7" spans="1:46" x14ac:dyDescent="0.2">
      <c r="A7" s="171"/>
      <c r="B7" s="171"/>
      <c r="C7" s="171"/>
      <c r="D7" s="6" t="s">
        <v>901</v>
      </c>
      <c r="E7" s="121"/>
      <c r="F7" s="121"/>
      <c r="G7" s="121"/>
      <c r="H7" s="121"/>
      <c r="I7" s="121"/>
      <c r="J7" s="121"/>
      <c r="K7" s="171"/>
      <c r="L7" s="171"/>
      <c r="M7" s="171"/>
      <c r="N7" s="171"/>
      <c r="O7" s="171"/>
      <c r="P7" s="171"/>
      <c r="Q7" s="171"/>
      <c r="R7" s="171"/>
      <c r="S7" s="5"/>
      <c r="T7" s="5"/>
      <c r="U7" s="5"/>
      <c r="V7" s="5"/>
      <c r="W7" s="5"/>
      <c r="X7" s="13"/>
      <c r="Y7" s="13"/>
      <c r="Z7" s="13"/>
      <c r="AA7" s="13"/>
      <c r="AB7" s="5"/>
      <c r="AC7" s="5"/>
      <c r="AD7" s="5"/>
      <c r="AE7" s="5"/>
      <c r="AF7" s="5"/>
      <c r="AG7" s="5"/>
      <c r="AH7" s="5"/>
      <c r="AI7" s="5"/>
      <c r="AJ7" s="5"/>
      <c r="AK7" s="5"/>
      <c r="AL7" s="5"/>
      <c r="AM7" s="5"/>
      <c r="AN7" s="5"/>
      <c r="AO7" s="5"/>
      <c r="AP7" s="5"/>
      <c r="AQ7" s="5"/>
      <c r="AR7" s="5"/>
      <c r="AS7" s="5"/>
      <c r="AT7" s="5"/>
    </row>
    <row r="8" spans="1:46" x14ac:dyDescent="0.2">
      <c r="A8" s="171"/>
      <c r="B8" s="171"/>
      <c r="C8" s="171"/>
      <c r="D8" s="6" t="s">
        <v>1012</v>
      </c>
      <c r="E8" s="121"/>
      <c r="F8" s="121"/>
      <c r="G8" s="121"/>
      <c r="H8" s="121"/>
      <c r="I8" s="121"/>
      <c r="J8" s="121"/>
      <c r="K8" s="171"/>
      <c r="L8" s="171"/>
      <c r="M8" s="171"/>
      <c r="N8" s="171"/>
      <c r="O8" s="171"/>
      <c r="P8" s="171"/>
      <c r="Q8" s="171"/>
      <c r="R8" s="171"/>
      <c r="S8" s="5"/>
      <c r="T8" s="5"/>
      <c r="U8" s="5"/>
      <c r="V8" s="5"/>
      <c r="W8" s="5"/>
      <c r="X8" s="13"/>
      <c r="Y8" s="13"/>
      <c r="Z8" s="13"/>
      <c r="AA8" s="13"/>
      <c r="AB8" s="5"/>
      <c r="AC8" s="5"/>
      <c r="AD8" s="5"/>
      <c r="AE8" s="5"/>
      <c r="AF8" s="5"/>
      <c r="AG8" s="5"/>
      <c r="AH8" s="5"/>
      <c r="AI8" s="5"/>
      <c r="AJ8" s="5"/>
      <c r="AK8" s="5"/>
      <c r="AL8" s="5"/>
      <c r="AM8" s="5"/>
      <c r="AN8" s="5"/>
      <c r="AO8" s="5"/>
      <c r="AP8" s="5"/>
      <c r="AQ8" s="5"/>
      <c r="AR8" s="5"/>
      <c r="AS8" s="5"/>
      <c r="AT8" s="5"/>
    </row>
    <row r="9" spans="1:46" x14ac:dyDescent="0.2">
      <c r="A9" s="171"/>
      <c r="B9" s="171"/>
      <c r="C9" s="171"/>
      <c r="D9" s="6"/>
      <c r="E9" s="121"/>
      <c r="F9" s="121"/>
      <c r="G9" s="121"/>
      <c r="H9" s="121"/>
      <c r="I9" s="121"/>
      <c r="J9" s="121"/>
      <c r="K9" s="171"/>
      <c r="L9" s="171"/>
      <c r="M9" s="171"/>
      <c r="N9" s="171"/>
      <c r="O9" s="171"/>
      <c r="P9" s="171"/>
      <c r="Q9" s="171"/>
      <c r="R9" s="171"/>
      <c r="S9" s="5"/>
      <c r="T9" s="5"/>
      <c r="U9" s="5"/>
      <c r="V9" s="5"/>
      <c r="W9" s="5"/>
      <c r="X9" s="13"/>
      <c r="Y9" s="13"/>
      <c r="Z9" s="13"/>
      <c r="AA9" s="13"/>
      <c r="AB9" s="5"/>
      <c r="AC9" s="5"/>
      <c r="AD9" s="5"/>
      <c r="AE9" s="5"/>
      <c r="AF9" s="5"/>
      <c r="AG9" s="5"/>
      <c r="AH9" s="5"/>
      <c r="AI9" s="5"/>
      <c r="AJ9" s="5"/>
      <c r="AK9" s="5"/>
      <c r="AL9" s="5"/>
      <c r="AM9" s="5"/>
      <c r="AN9" s="5"/>
      <c r="AO9" s="5"/>
      <c r="AP9" s="5"/>
      <c r="AQ9" s="5"/>
      <c r="AR9" s="5"/>
      <c r="AS9" s="5"/>
      <c r="AT9" s="5"/>
    </row>
    <row r="10" spans="1:46" ht="15.75" x14ac:dyDescent="0.2">
      <c r="A10" s="176"/>
      <c r="B10" s="176"/>
      <c r="C10" s="176"/>
      <c r="D10" s="174" t="s">
        <v>939</v>
      </c>
      <c r="E10" s="175"/>
      <c r="F10" s="175"/>
      <c r="G10" s="175"/>
      <c r="H10" s="110"/>
      <c r="I10" s="110"/>
      <c r="J10" s="110"/>
      <c r="K10" s="175"/>
      <c r="L10" s="175"/>
      <c r="M10" s="175"/>
      <c r="N10" s="175"/>
      <c r="O10" s="175"/>
      <c r="P10" s="175"/>
      <c r="Q10" s="175"/>
      <c r="R10" s="175"/>
      <c r="S10" s="175"/>
      <c r="T10" s="175"/>
      <c r="U10" s="175"/>
      <c r="V10" s="175"/>
      <c r="W10" s="175"/>
      <c r="X10" s="13"/>
      <c r="Y10" s="13"/>
      <c r="Z10" s="13"/>
      <c r="AA10" s="13"/>
      <c r="AB10" s="40"/>
      <c r="AC10" s="40"/>
      <c r="AD10" s="40"/>
      <c r="AE10" s="40"/>
      <c r="AF10" s="40"/>
      <c r="AG10" s="40"/>
      <c r="AH10" s="40"/>
      <c r="AI10" s="40"/>
      <c r="AJ10" s="40"/>
      <c r="AK10" s="40"/>
      <c r="AL10" s="40"/>
      <c r="AM10" s="40"/>
      <c r="AN10" s="40"/>
      <c r="AO10" s="40"/>
      <c r="AP10" s="40"/>
      <c r="AQ10" s="40"/>
      <c r="AR10" s="40"/>
      <c r="AS10" s="40"/>
      <c r="AT10" s="40"/>
    </row>
    <row r="11" spans="1:46" x14ac:dyDescent="0.2">
      <c r="A11" s="171"/>
      <c r="B11" s="171"/>
      <c r="C11" s="171"/>
      <c r="D11" s="171"/>
      <c r="E11" s="171"/>
      <c r="F11" s="171"/>
      <c r="G11" s="171"/>
      <c r="H11" s="171"/>
      <c r="I11" s="171"/>
      <c r="J11" s="171"/>
      <c r="K11" s="171"/>
      <c r="L11" s="171"/>
      <c r="M11" s="171"/>
      <c r="N11" s="171"/>
      <c r="O11" s="171"/>
      <c r="P11" s="171"/>
      <c r="Q11" s="171"/>
      <c r="R11" s="171"/>
      <c r="S11" s="5"/>
      <c r="T11" s="5"/>
      <c r="U11" s="5"/>
      <c r="V11" s="5"/>
      <c r="W11" s="5"/>
      <c r="X11" s="13"/>
      <c r="Y11" s="13"/>
      <c r="Z11" s="13"/>
      <c r="AA11" s="13"/>
      <c r="AB11" s="5"/>
      <c r="AC11" s="5"/>
      <c r="AD11" s="5"/>
      <c r="AE11" s="5"/>
      <c r="AF11" s="5"/>
      <c r="AG11" s="5"/>
      <c r="AH11" s="5"/>
      <c r="AI11" s="5"/>
      <c r="AJ11" s="5"/>
      <c r="AK11" s="5"/>
      <c r="AL11" s="5"/>
      <c r="AM11" s="5"/>
      <c r="AN11" s="5"/>
      <c r="AO11" s="5"/>
      <c r="AP11" s="5"/>
      <c r="AQ11" s="5"/>
      <c r="AR11" s="5"/>
      <c r="AS11" s="5"/>
      <c r="AT11" s="5"/>
    </row>
    <row r="12" spans="1:46" x14ac:dyDescent="0.2">
      <c r="A12" s="171"/>
      <c r="B12" s="171"/>
      <c r="C12" s="171"/>
      <c r="D12" s="211" t="s">
        <v>902</v>
      </c>
      <c r="E12" s="171"/>
      <c r="F12" s="171"/>
      <c r="G12" s="171"/>
      <c r="H12" s="171"/>
      <c r="I12" s="770" t="str">
        <f>IF(SUM(B16:B35) &gt; 0,MsgError &amp; VLOOKUP("DupScripts",ErrorMessages,2,FALSE),"")</f>
        <v/>
      </c>
      <c r="J12" s="770"/>
      <c r="K12" s="770"/>
      <c r="L12" s="770"/>
      <c r="M12" s="770"/>
      <c r="N12" s="770"/>
      <c r="O12" s="770"/>
      <c r="P12" s="171"/>
      <c r="Q12" s="171"/>
      <c r="R12" s="171"/>
      <c r="S12" s="5"/>
      <c r="T12" s="5"/>
      <c r="U12" s="5"/>
      <c r="V12" s="5"/>
      <c r="W12" s="5"/>
      <c r="X12" s="13"/>
      <c r="Y12" s="13"/>
      <c r="Z12" s="13"/>
      <c r="AA12" s="13"/>
      <c r="AB12" s="5"/>
      <c r="AC12" s="5"/>
      <c r="AD12" s="5"/>
      <c r="AE12" s="5"/>
      <c r="AF12" s="5"/>
      <c r="AG12" s="5"/>
      <c r="AH12" s="5"/>
      <c r="AI12" s="5"/>
      <c r="AJ12" s="5"/>
      <c r="AK12" s="5"/>
      <c r="AL12" s="5"/>
      <c r="AM12" s="5"/>
      <c r="AN12" s="5"/>
      <c r="AO12" s="5"/>
      <c r="AP12" s="5"/>
      <c r="AQ12" s="5"/>
      <c r="AR12" s="5"/>
      <c r="AS12" s="5"/>
      <c r="AT12" s="5"/>
    </row>
    <row r="13" spans="1:46" x14ac:dyDescent="0.2">
      <c r="A13" s="171"/>
      <c r="B13" s="171"/>
      <c r="C13" s="171"/>
      <c r="D13" s="171"/>
      <c r="E13" s="171"/>
      <c r="F13" s="171"/>
      <c r="G13" s="171"/>
      <c r="H13" s="171"/>
      <c r="I13" s="171"/>
      <c r="J13" s="171"/>
      <c r="K13" s="171"/>
      <c r="L13" s="171"/>
      <c r="M13" s="171"/>
      <c r="N13" s="171"/>
      <c r="O13" s="171"/>
      <c r="P13" s="171"/>
      <c r="Q13" s="171"/>
      <c r="R13" s="171"/>
      <c r="S13" s="5"/>
      <c r="T13" s="5"/>
      <c r="U13" s="5"/>
      <c r="V13" s="5"/>
      <c r="W13" s="5"/>
      <c r="X13" s="13"/>
      <c r="Y13" s="13"/>
      <c r="Z13" s="13"/>
      <c r="AA13" s="13"/>
      <c r="AB13" s="5"/>
      <c r="AC13" s="5"/>
      <c r="AD13" s="5"/>
      <c r="AE13" s="5"/>
      <c r="AF13" s="5"/>
      <c r="AG13" s="5"/>
      <c r="AH13" s="5"/>
      <c r="AI13" s="5"/>
      <c r="AJ13" s="5"/>
      <c r="AK13" s="5"/>
      <c r="AL13" s="5"/>
      <c r="AM13" s="5"/>
      <c r="AN13" s="5"/>
      <c r="AO13" s="5"/>
      <c r="AP13" s="5"/>
      <c r="AQ13" s="5"/>
      <c r="AR13" s="5"/>
      <c r="AS13" s="5"/>
      <c r="AT13" s="5"/>
    </row>
    <row r="14" spans="1:46" x14ac:dyDescent="0.2">
      <c r="A14" s="171"/>
      <c r="B14" s="171"/>
      <c r="C14" s="171"/>
      <c r="D14" s="211"/>
      <c r="E14" s="792" t="s">
        <v>256</v>
      </c>
      <c r="F14" s="802"/>
      <c r="G14" s="802"/>
      <c r="H14" s="802"/>
      <c r="I14" s="802"/>
      <c r="J14" s="803"/>
      <c r="K14" s="6"/>
      <c r="L14" s="792" t="s">
        <v>257</v>
      </c>
      <c r="M14" s="802"/>
      <c r="N14" s="802"/>
      <c r="O14" s="802"/>
      <c r="P14" s="802"/>
      <c r="Q14" s="803"/>
      <c r="R14" s="171"/>
      <c r="S14" s="5"/>
      <c r="T14" s="5"/>
      <c r="U14" s="5"/>
      <c r="V14" s="5"/>
      <c r="W14" s="5"/>
      <c r="X14" s="13"/>
      <c r="Y14" s="836" t="s">
        <v>837</v>
      </c>
      <c r="Z14" s="13"/>
      <c r="AA14" s="13"/>
      <c r="AB14" s="5"/>
      <c r="AC14" s="5"/>
      <c r="AD14" s="5"/>
      <c r="AE14" s="5"/>
      <c r="AF14" s="5"/>
      <c r="AG14" s="5"/>
      <c r="AH14" s="5"/>
      <c r="AI14" s="5"/>
      <c r="AJ14" s="5"/>
      <c r="AK14" s="5"/>
      <c r="AL14" s="5"/>
      <c r="AM14" s="5"/>
      <c r="AN14" s="5"/>
      <c r="AO14" s="5"/>
      <c r="AP14" s="5"/>
      <c r="AQ14" s="5"/>
      <c r="AR14" s="5"/>
      <c r="AS14" s="5"/>
      <c r="AT14" s="5"/>
    </row>
    <row r="15" spans="1:46" x14ac:dyDescent="0.2">
      <c r="A15" s="171"/>
      <c r="B15" s="171"/>
      <c r="C15" s="171"/>
      <c r="D15" s="89" t="s">
        <v>883</v>
      </c>
      <c r="E15" s="112">
        <f>FirstYear</f>
        <v>0</v>
      </c>
      <c r="F15" s="112">
        <f>E15+1</f>
        <v>1</v>
      </c>
      <c r="G15" s="112">
        <f>F15+1</f>
        <v>2</v>
      </c>
      <c r="H15" s="112">
        <f>G15+1</f>
        <v>3</v>
      </c>
      <c r="I15" s="112">
        <f>H15+1</f>
        <v>4</v>
      </c>
      <c r="J15" s="112">
        <f>I15+1</f>
        <v>5</v>
      </c>
      <c r="K15" s="171"/>
      <c r="L15" s="112">
        <f>FirstYear</f>
        <v>0</v>
      </c>
      <c r="M15" s="112">
        <f>L15+1</f>
        <v>1</v>
      </c>
      <c r="N15" s="112">
        <f>M15+1</f>
        <v>2</v>
      </c>
      <c r="O15" s="112">
        <f>N15+1</f>
        <v>3</v>
      </c>
      <c r="P15" s="112">
        <f>O15+1</f>
        <v>4</v>
      </c>
      <c r="Q15" s="112">
        <f>P15+1</f>
        <v>5</v>
      </c>
      <c r="R15" s="171"/>
      <c r="S15" s="5"/>
      <c r="T15" s="5"/>
      <c r="U15" s="5"/>
      <c r="V15" s="5"/>
      <c r="W15" s="5"/>
      <c r="X15" s="13"/>
      <c r="Y15" s="837"/>
      <c r="Z15" s="13"/>
      <c r="AA15" s="13"/>
      <c r="AB15" s="83" t="s">
        <v>883</v>
      </c>
      <c r="AC15" s="5"/>
      <c r="AD15" s="5"/>
      <c r="AE15" s="5"/>
      <c r="AF15" s="5"/>
      <c r="AG15" s="5"/>
      <c r="AH15" s="5"/>
      <c r="AI15" s="5"/>
      <c r="AJ15" s="5"/>
      <c r="AK15" s="5"/>
      <c r="AL15" s="5"/>
      <c r="AM15" s="5"/>
      <c r="AN15" s="5"/>
      <c r="AO15" s="5"/>
      <c r="AP15" s="5"/>
      <c r="AQ15" s="5"/>
      <c r="AR15" s="5"/>
      <c r="AS15" s="5"/>
      <c r="AT15" s="5"/>
    </row>
    <row r="16" spans="1:46" x14ac:dyDescent="0.2">
      <c r="A16" s="171"/>
      <c r="B16" s="352">
        <f t="shared" ref="B16:B35" si="0">IF(AND(D77&lt;&gt;MsgNotUsed,D48&lt;&gt;MsgNotUsed),1,0)</f>
        <v>0</v>
      </c>
      <c r="C16" s="79">
        <v>1</v>
      </c>
      <c r="D16" s="116" t="str">
        <f t="shared" ref="D16:D35" si="1">IF(D48&lt;&gt;MsgNotUsed,D48,IF(D77&lt;&gt;MsgNotUsed,D77,MsgNotUsed))</f>
        <v>** NOT USED **</v>
      </c>
      <c r="E16" s="410">
        <f t="shared" ref="E16:J25" si="2">IF($D48&lt;&gt;MsgNotUsed,E48,IF($D77&lt;&gt;MsgNotUsed,E77,0))</f>
        <v>0</v>
      </c>
      <c r="F16" s="607">
        <f t="shared" si="2"/>
        <v>0</v>
      </c>
      <c r="G16" s="607">
        <f t="shared" si="2"/>
        <v>0</v>
      </c>
      <c r="H16" s="607">
        <f t="shared" si="2"/>
        <v>0</v>
      </c>
      <c r="I16" s="607">
        <f t="shared" si="2"/>
        <v>0</v>
      </c>
      <c r="J16" s="607">
        <f t="shared" si="2"/>
        <v>0</v>
      </c>
      <c r="K16" s="171"/>
      <c r="L16" s="607">
        <f t="shared" ref="L16:Q25" si="3">IF($D48&lt;&gt;MsgNotUsed,L48,IF($D77&lt;&gt;MsgNotUsed,L77,0))</f>
        <v>0</v>
      </c>
      <c r="M16" s="607">
        <f t="shared" si="3"/>
        <v>0</v>
      </c>
      <c r="N16" s="607">
        <f t="shared" si="3"/>
        <v>0</v>
      </c>
      <c r="O16" s="607">
        <f t="shared" si="3"/>
        <v>0</v>
      </c>
      <c r="P16" s="607">
        <f t="shared" si="3"/>
        <v>0</v>
      </c>
      <c r="Q16" s="607">
        <f t="shared" si="3"/>
        <v>0</v>
      </c>
      <c r="R16" s="171"/>
      <c r="S16" s="5"/>
      <c r="T16" s="5"/>
      <c r="U16" s="5"/>
      <c r="V16" s="5"/>
      <c r="W16" s="5"/>
      <c r="X16" s="13"/>
      <c r="Y16" s="662">
        <f t="shared" ref="Y16:Y35" si="4">IF(D133&lt;&gt;"",P133,IF($I$42="",P105,INDEX(CoPayBandMS,C16)))</f>
        <v>0</v>
      </c>
      <c r="Z16" s="13"/>
      <c r="AA16" s="13"/>
      <c r="AB16" s="349" t="str">
        <f>D16</f>
        <v>** NOT USED **</v>
      </c>
      <c r="AC16" s="79">
        <v>1</v>
      </c>
      <c r="AD16" s="5"/>
      <c r="AE16" s="5"/>
      <c r="AF16" s="5"/>
      <c r="AG16" s="5"/>
      <c r="AH16" s="5"/>
      <c r="AI16" s="5"/>
      <c r="AJ16" s="5"/>
      <c r="AK16" s="5"/>
      <c r="AL16" s="5"/>
      <c r="AM16" s="5"/>
      <c r="AN16" s="5"/>
      <c r="AO16" s="5"/>
      <c r="AP16" s="5"/>
      <c r="AQ16" s="5"/>
      <c r="AR16" s="5"/>
      <c r="AS16" s="5"/>
      <c r="AT16" s="5"/>
    </row>
    <row r="17" spans="1:46" x14ac:dyDescent="0.2">
      <c r="A17" s="171"/>
      <c r="B17" s="352">
        <f t="shared" si="0"/>
        <v>0</v>
      </c>
      <c r="C17" s="79">
        <v>2</v>
      </c>
      <c r="D17" s="622" t="str">
        <f t="shared" si="1"/>
        <v>** NOT USED **</v>
      </c>
      <c r="E17" s="607">
        <f t="shared" si="2"/>
        <v>0</v>
      </c>
      <c r="F17" s="607">
        <f t="shared" si="2"/>
        <v>0</v>
      </c>
      <c r="G17" s="607">
        <f t="shared" si="2"/>
        <v>0</v>
      </c>
      <c r="H17" s="607">
        <f t="shared" si="2"/>
        <v>0</v>
      </c>
      <c r="I17" s="607">
        <f t="shared" si="2"/>
        <v>0</v>
      </c>
      <c r="J17" s="607">
        <f t="shared" si="2"/>
        <v>0</v>
      </c>
      <c r="K17" s="171"/>
      <c r="L17" s="607">
        <f t="shared" si="3"/>
        <v>0</v>
      </c>
      <c r="M17" s="607">
        <f t="shared" si="3"/>
        <v>0</v>
      </c>
      <c r="N17" s="607">
        <f t="shared" si="3"/>
        <v>0</v>
      </c>
      <c r="O17" s="607">
        <f t="shared" si="3"/>
        <v>0</v>
      </c>
      <c r="P17" s="607">
        <f t="shared" si="3"/>
        <v>0</v>
      </c>
      <c r="Q17" s="607">
        <f t="shared" si="3"/>
        <v>0</v>
      </c>
      <c r="R17" s="171"/>
      <c r="S17" s="5"/>
      <c r="T17" s="5"/>
      <c r="U17" s="5"/>
      <c r="V17" s="5"/>
      <c r="W17" s="5"/>
      <c r="X17" s="13"/>
      <c r="Y17" s="662">
        <f t="shared" si="4"/>
        <v>0</v>
      </c>
      <c r="Z17" s="13"/>
      <c r="AA17" s="13"/>
      <c r="AB17" s="349" t="str">
        <f t="shared" ref="AB17:AB35" si="5">D17</f>
        <v>** NOT USED **</v>
      </c>
      <c r="AC17" s="79">
        <v>2</v>
      </c>
      <c r="AD17" s="5"/>
      <c r="AE17" s="5"/>
      <c r="AF17" s="5"/>
      <c r="AG17" s="5"/>
      <c r="AH17" s="5"/>
      <c r="AI17" s="5"/>
      <c r="AJ17" s="5"/>
      <c r="AK17" s="5"/>
      <c r="AL17" s="5"/>
      <c r="AM17" s="5"/>
      <c r="AN17" s="5"/>
      <c r="AO17" s="5"/>
      <c r="AP17" s="5"/>
      <c r="AQ17" s="5"/>
      <c r="AR17" s="5"/>
      <c r="AS17" s="5"/>
      <c r="AT17" s="5"/>
    </row>
    <row r="18" spans="1:46" x14ac:dyDescent="0.2">
      <c r="A18" s="171"/>
      <c r="B18" s="352">
        <f t="shared" si="0"/>
        <v>0</v>
      </c>
      <c r="C18" s="79">
        <v>3</v>
      </c>
      <c r="D18" s="622" t="str">
        <f t="shared" si="1"/>
        <v>** NOT USED **</v>
      </c>
      <c r="E18" s="607">
        <f t="shared" si="2"/>
        <v>0</v>
      </c>
      <c r="F18" s="607">
        <f t="shared" si="2"/>
        <v>0</v>
      </c>
      <c r="G18" s="607">
        <f t="shared" si="2"/>
        <v>0</v>
      </c>
      <c r="H18" s="607">
        <f t="shared" si="2"/>
        <v>0</v>
      </c>
      <c r="I18" s="607">
        <f t="shared" si="2"/>
        <v>0</v>
      </c>
      <c r="J18" s="607">
        <f t="shared" si="2"/>
        <v>0</v>
      </c>
      <c r="K18" s="171"/>
      <c r="L18" s="607">
        <f t="shared" si="3"/>
        <v>0</v>
      </c>
      <c r="M18" s="607">
        <f t="shared" si="3"/>
        <v>0</v>
      </c>
      <c r="N18" s="607">
        <f t="shared" si="3"/>
        <v>0</v>
      </c>
      <c r="O18" s="607">
        <f t="shared" si="3"/>
        <v>0</v>
      </c>
      <c r="P18" s="607">
        <f t="shared" si="3"/>
        <v>0</v>
      </c>
      <c r="Q18" s="607">
        <f t="shared" si="3"/>
        <v>0</v>
      </c>
      <c r="R18" s="171"/>
      <c r="S18" s="5"/>
      <c r="T18" s="5"/>
      <c r="U18" s="5"/>
      <c r="V18" s="5"/>
      <c r="W18" s="5"/>
      <c r="X18" s="13"/>
      <c r="Y18" s="662">
        <f t="shared" si="4"/>
        <v>0</v>
      </c>
      <c r="Z18" s="13"/>
      <c r="AA18" s="13"/>
      <c r="AB18" s="349" t="str">
        <f t="shared" si="5"/>
        <v>** NOT USED **</v>
      </c>
      <c r="AC18" s="79">
        <v>3</v>
      </c>
      <c r="AD18" s="5"/>
      <c r="AE18" s="5"/>
      <c r="AF18" s="5"/>
      <c r="AG18" s="5"/>
      <c r="AH18" s="5"/>
      <c r="AI18" s="5"/>
      <c r="AJ18" s="5"/>
      <c r="AK18" s="5"/>
      <c r="AL18" s="5"/>
      <c r="AM18" s="5"/>
      <c r="AN18" s="5"/>
      <c r="AO18" s="5"/>
      <c r="AP18" s="5"/>
      <c r="AQ18" s="5"/>
      <c r="AR18" s="5"/>
      <c r="AS18" s="5"/>
      <c r="AT18" s="5"/>
    </row>
    <row r="19" spans="1:46" x14ac:dyDescent="0.2">
      <c r="A19" s="171"/>
      <c r="B19" s="352">
        <f t="shared" si="0"/>
        <v>0</v>
      </c>
      <c r="C19" s="79">
        <v>4</v>
      </c>
      <c r="D19" s="622" t="str">
        <f t="shared" si="1"/>
        <v>** NOT USED **</v>
      </c>
      <c r="E19" s="607">
        <f t="shared" si="2"/>
        <v>0</v>
      </c>
      <c r="F19" s="607">
        <f t="shared" si="2"/>
        <v>0</v>
      </c>
      <c r="G19" s="607">
        <f t="shared" si="2"/>
        <v>0</v>
      </c>
      <c r="H19" s="607">
        <f t="shared" si="2"/>
        <v>0</v>
      </c>
      <c r="I19" s="607">
        <f t="shared" si="2"/>
        <v>0</v>
      </c>
      <c r="J19" s="607">
        <f t="shared" si="2"/>
        <v>0</v>
      </c>
      <c r="K19" s="171"/>
      <c r="L19" s="607">
        <f t="shared" si="3"/>
        <v>0</v>
      </c>
      <c r="M19" s="607">
        <f t="shared" si="3"/>
        <v>0</v>
      </c>
      <c r="N19" s="607">
        <f t="shared" si="3"/>
        <v>0</v>
      </c>
      <c r="O19" s="607">
        <f t="shared" si="3"/>
        <v>0</v>
      </c>
      <c r="P19" s="607">
        <f t="shared" si="3"/>
        <v>0</v>
      </c>
      <c r="Q19" s="607">
        <f t="shared" si="3"/>
        <v>0</v>
      </c>
      <c r="R19" s="171"/>
      <c r="S19" s="5"/>
      <c r="T19" s="5"/>
      <c r="U19" s="5"/>
      <c r="V19" s="5"/>
      <c r="W19" s="5"/>
      <c r="X19" s="13"/>
      <c r="Y19" s="662">
        <f t="shared" si="4"/>
        <v>0</v>
      </c>
      <c r="Z19" s="13"/>
      <c r="AA19" s="13"/>
      <c r="AB19" s="349" t="str">
        <f t="shared" si="5"/>
        <v>** NOT USED **</v>
      </c>
      <c r="AC19" s="79">
        <v>4</v>
      </c>
      <c r="AD19" s="5"/>
      <c r="AE19" s="5"/>
      <c r="AF19" s="5"/>
      <c r="AG19" s="5"/>
      <c r="AH19" s="5"/>
      <c r="AI19" s="5"/>
      <c r="AJ19" s="5"/>
      <c r="AK19" s="5"/>
      <c r="AL19" s="5"/>
      <c r="AM19" s="5"/>
      <c r="AN19" s="5"/>
      <c r="AO19" s="5"/>
      <c r="AP19" s="5"/>
      <c r="AQ19" s="5"/>
      <c r="AR19" s="5"/>
      <c r="AS19" s="5"/>
      <c r="AT19" s="5"/>
    </row>
    <row r="20" spans="1:46" x14ac:dyDescent="0.2">
      <c r="A20" s="171"/>
      <c r="B20" s="352">
        <f t="shared" si="0"/>
        <v>0</v>
      </c>
      <c r="C20" s="79">
        <v>5</v>
      </c>
      <c r="D20" s="622" t="str">
        <f t="shared" si="1"/>
        <v>** NOT USED **</v>
      </c>
      <c r="E20" s="607">
        <f t="shared" si="2"/>
        <v>0</v>
      </c>
      <c r="F20" s="607">
        <f t="shared" si="2"/>
        <v>0</v>
      </c>
      <c r="G20" s="607">
        <f t="shared" si="2"/>
        <v>0</v>
      </c>
      <c r="H20" s="607">
        <f t="shared" si="2"/>
        <v>0</v>
      </c>
      <c r="I20" s="607">
        <f t="shared" si="2"/>
        <v>0</v>
      </c>
      <c r="J20" s="607">
        <f t="shared" si="2"/>
        <v>0</v>
      </c>
      <c r="K20" s="171"/>
      <c r="L20" s="607">
        <f t="shared" si="3"/>
        <v>0</v>
      </c>
      <c r="M20" s="607">
        <f t="shared" si="3"/>
        <v>0</v>
      </c>
      <c r="N20" s="607">
        <f t="shared" si="3"/>
        <v>0</v>
      </c>
      <c r="O20" s="607">
        <f t="shared" si="3"/>
        <v>0</v>
      </c>
      <c r="P20" s="607">
        <f t="shared" si="3"/>
        <v>0</v>
      </c>
      <c r="Q20" s="607">
        <f t="shared" si="3"/>
        <v>0</v>
      </c>
      <c r="R20" s="171"/>
      <c r="S20" s="5"/>
      <c r="T20" s="5"/>
      <c r="U20" s="5"/>
      <c r="V20" s="5"/>
      <c r="W20" s="5"/>
      <c r="X20" s="13"/>
      <c r="Y20" s="662">
        <f t="shared" si="4"/>
        <v>0</v>
      </c>
      <c r="Z20" s="13"/>
      <c r="AA20" s="13"/>
      <c r="AB20" s="349" t="str">
        <f t="shared" si="5"/>
        <v>** NOT USED **</v>
      </c>
      <c r="AC20" s="79">
        <v>5</v>
      </c>
      <c r="AD20" s="5"/>
      <c r="AE20" s="5"/>
      <c r="AF20" s="5"/>
      <c r="AG20" s="5"/>
      <c r="AH20" s="5"/>
      <c r="AI20" s="5"/>
      <c r="AJ20" s="5"/>
      <c r="AK20" s="5"/>
      <c r="AL20" s="5"/>
      <c r="AM20" s="5"/>
      <c r="AN20" s="5"/>
      <c r="AO20" s="5"/>
      <c r="AP20" s="5"/>
      <c r="AQ20" s="5"/>
      <c r="AR20" s="5"/>
      <c r="AS20" s="5"/>
      <c r="AT20" s="5"/>
    </row>
    <row r="21" spans="1:46" x14ac:dyDescent="0.2">
      <c r="A21" s="171"/>
      <c r="B21" s="352">
        <f t="shared" si="0"/>
        <v>0</v>
      </c>
      <c r="C21" s="79">
        <v>6</v>
      </c>
      <c r="D21" s="622" t="str">
        <f t="shared" si="1"/>
        <v>** NOT USED **</v>
      </c>
      <c r="E21" s="607">
        <f t="shared" si="2"/>
        <v>0</v>
      </c>
      <c r="F21" s="607">
        <f t="shared" si="2"/>
        <v>0</v>
      </c>
      <c r="G21" s="607">
        <f t="shared" si="2"/>
        <v>0</v>
      </c>
      <c r="H21" s="607">
        <f t="shared" si="2"/>
        <v>0</v>
      </c>
      <c r="I21" s="607">
        <f t="shared" si="2"/>
        <v>0</v>
      </c>
      <c r="J21" s="607">
        <f t="shared" si="2"/>
        <v>0</v>
      </c>
      <c r="K21" s="171"/>
      <c r="L21" s="607">
        <f t="shared" si="3"/>
        <v>0</v>
      </c>
      <c r="M21" s="607">
        <f t="shared" si="3"/>
        <v>0</v>
      </c>
      <c r="N21" s="607">
        <f t="shared" si="3"/>
        <v>0</v>
      </c>
      <c r="O21" s="607">
        <f t="shared" si="3"/>
        <v>0</v>
      </c>
      <c r="P21" s="607">
        <f t="shared" si="3"/>
        <v>0</v>
      </c>
      <c r="Q21" s="607">
        <f t="shared" si="3"/>
        <v>0</v>
      </c>
      <c r="R21" s="171"/>
      <c r="S21" s="5"/>
      <c r="T21" s="5"/>
      <c r="U21" s="5"/>
      <c r="V21" s="5"/>
      <c r="W21" s="5"/>
      <c r="X21" s="13"/>
      <c r="Y21" s="662">
        <f t="shared" si="4"/>
        <v>0</v>
      </c>
      <c r="Z21" s="13"/>
      <c r="AA21" s="13"/>
      <c r="AB21" s="349" t="str">
        <f t="shared" si="5"/>
        <v>** NOT USED **</v>
      </c>
      <c r="AC21" s="79">
        <v>6</v>
      </c>
      <c r="AD21" s="5"/>
      <c r="AE21" s="5"/>
      <c r="AF21" s="5"/>
      <c r="AG21" s="5"/>
      <c r="AH21" s="5"/>
      <c r="AI21" s="5"/>
      <c r="AJ21" s="5"/>
      <c r="AK21" s="5"/>
      <c r="AL21" s="5"/>
      <c r="AM21" s="5"/>
      <c r="AN21" s="5"/>
      <c r="AO21" s="5"/>
      <c r="AP21" s="5"/>
      <c r="AQ21" s="5"/>
      <c r="AR21" s="5"/>
      <c r="AS21" s="5"/>
      <c r="AT21" s="5"/>
    </row>
    <row r="22" spans="1:46" x14ac:dyDescent="0.2">
      <c r="A22" s="171"/>
      <c r="B22" s="352">
        <f t="shared" si="0"/>
        <v>0</v>
      </c>
      <c r="C22" s="79">
        <v>7</v>
      </c>
      <c r="D22" s="622" t="str">
        <f t="shared" si="1"/>
        <v>** NOT USED **</v>
      </c>
      <c r="E22" s="607">
        <f t="shared" si="2"/>
        <v>0</v>
      </c>
      <c r="F22" s="607">
        <f t="shared" si="2"/>
        <v>0</v>
      </c>
      <c r="G22" s="607">
        <f t="shared" si="2"/>
        <v>0</v>
      </c>
      <c r="H22" s="607">
        <f t="shared" si="2"/>
        <v>0</v>
      </c>
      <c r="I22" s="607">
        <f t="shared" si="2"/>
        <v>0</v>
      </c>
      <c r="J22" s="607">
        <f t="shared" si="2"/>
        <v>0</v>
      </c>
      <c r="K22" s="171"/>
      <c r="L22" s="607">
        <f t="shared" si="3"/>
        <v>0</v>
      </c>
      <c r="M22" s="607">
        <f t="shared" si="3"/>
        <v>0</v>
      </c>
      <c r="N22" s="607">
        <f t="shared" si="3"/>
        <v>0</v>
      </c>
      <c r="O22" s="607">
        <f t="shared" si="3"/>
        <v>0</v>
      </c>
      <c r="P22" s="607">
        <f t="shared" si="3"/>
        <v>0</v>
      </c>
      <c r="Q22" s="607">
        <f t="shared" si="3"/>
        <v>0</v>
      </c>
      <c r="R22" s="171"/>
      <c r="S22" s="5"/>
      <c r="T22" s="5"/>
      <c r="U22" s="5"/>
      <c r="V22" s="5"/>
      <c r="W22" s="5"/>
      <c r="X22" s="13"/>
      <c r="Y22" s="662">
        <f t="shared" si="4"/>
        <v>0</v>
      </c>
      <c r="Z22" s="13"/>
      <c r="AA22" s="13"/>
      <c r="AB22" s="349" t="str">
        <f t="shared" si="5"/>
        <v>** NOT USED **</v>
      </c>
      <c r="AC22" s="79">
        <v>7</v>
      </c>
      <c r="AD22" s="5"/>
      <c r="AE22" s="5"/>
      <c r="AF22" s="5"/>
      <c r="AG22" s="5"/>
      <c r="AH22" s="5"/>
      <c r="AI22" s="5"/>
      <c r="AJ22" s="5"/>
      <c r="AK22" s="5"/>
      <c r="AL22" s="5"/>
      <c r="AM22" s="5"/>
      <c r="AN22" s="5"/>
      <c r="AO22" s="5"/>
      <c r="AP22" s="5"/>
      <c r="AQ22" s="5"/>
      <c r="AR22" s="5"/>
      <c r="AS22" s="5"/>
      <c r="AT22" s="5"/>
    </row>
    <row r="23" spans="1:46" x14ac:dyDescent="0.2">
      <c r="A23" s="171"/>
      <c r="B23" s="352">
        <f t="shared" si="0"/>
        <v>0</v>
      </c>
      <c r="C23" s="79">
        <v>8</v>
      </c>
      <c r="D23" s="622" t="str">
        <f t="shared" si="1"/>
        <v>** NOT USED **</v>
      </c>
      <c r="E23" s="607">
        <f t="shared" si="2"/>
        <v>0</v>
      </c>
      <c r="F23" s="607">
        <f t="shared" si="2"/>
        <v>0</v>
      </c>
      <c r="G23" s="607">
        <f t="shared" si="2"/>
        <v>0</v>
      </c>
      <c r="H23" s="607">
        <f t="shared" si="2"/>
        <v>0</v>
      </c>
      <c r="I23" s="607">
        <f t="shared" si="2"/>
        <v>0</v>
      </c>
      <c r="J23" s="607">
        <f t="shared" si="2"/>
        <v>0</v>
      </c>
      <c r="K23" s="171"/>
      <c r="L23" s="607">
        <f t="shared" si="3"/>
        <v>0</v>
      </c>
      <c r="M23" s="607">
        <f t="shared" si="3"/>
        <v>0</v>
      </c>
      <c r="N23" s="607">
        <f t="shared" si="3"/>
        <v>0</v>
      </c>
      <c r="O23" s="607">
        <f t="shared" si="3"/>
        <v>0</v>
      </c>
      <c r="P23" s="607">
        <f t="shared" si="3"/>
        <v>0</v>
      </c>
      <c r="Q23" s="607">
        <f t="shared" si="3"/>
        <v>0</v>
      </c>
      <c r="R23" s="171"/>
      <c r="S23" s="5"/>
      <c r="T23" s="5"/>
      <c r="U23" s="5"/>
      <c r="V23" s="5"/>
      <c r="W23" s="5"/>
      <c r="X23" s="13"/>
      <c r="Y23" s="662">
        <f t="shared" si="4"/>
        <v>0</v>
      </c>
      <c r="Z23" s="13"/>
      <c r="AA23" s="13"/>
      <c r="AB23" s="349" t="str">
        <f t="shared" si="5"/>
        <v>** NOT USED **</v>
      </c>
      <c r="AC23" s="79">
        <v>8</v>
      </c>
      <c r="AD23" s="5"/>
      <c r="AE23" s="5"/>
      <c r="AF23" s="5"/>
      <c r="AG23" s="5"/>
      <c r="AH23" s="5"/>
      <c r="AI23" s="5"/>
      <c r="AJ23" s="5"/>
      <c r="AK23" s="5"/>
      <c r="AL23" s="5"/>
      <c r="AM23" s="5"/>
      <c r="AN23" s="5"/>
      <c r="AO23" s="5"/>
      <c r="AP23" s="5"/>
      <c r="AQ23" s="5"/>
      <c r="AR23" s="5"/>
      <c r="AS23" s="5"/>
      <c r="AT23" s="5"/>
    </row>
    <row r="24" spans="1:46" x14ac:dyDescent="0.2">
      <c r="A24" s="171"/>
      <c r="B24" s="352">
        <f t="shared" si="0"/>
        <v>0</v>
      </c>
      <c r="C24" s="79">
        <v>9</v>
      </c>
      <c r="D24" s="622" t="str">
        <f t="shared" si="1"/>
        <v>** NOT USED **</v>
      </c>
      <c r="E24" s="607">
        <f t="shared" si="2"/>
        <v>0</v>
      </c>
      <c r="F24" s="607">
        <f t="shared" si="2"/>
        <v>0</v>
      </c>
      <c r="G24" s="607">
        <f t="shared" si="2"/>
        <v>0</v>
      </c>
      <c r="H24" s="607">
        <f t="shared" si="2"/>
        <v>0</v>
      </c>
      <c r="I24" s="607">
        <f t="shared" si="2"/>
        <v>0</v>
      </c>
      <c r="J24" s="607">
        <f t="shared" si="2"/>
        <v>0</v>
      </c>
      <c r="K24" s="171"/>
      <c r="L24" s="607">
        <f t="shared" si="3"/>
        <v>0</v>
      </c>
      <c r="M24" s="607">
        <f t="shared" si="3"/>
        <v>0</v>
      </c>
      <c r="N24" s="607">
        <f t="shared" si="3"/>
        <v>0</v>
      </c>
      <c r="O24" s="607">
        <f t="shared" si="3"/>
        <v>0</v>
      </c>
      <c r="P24" s="607">
        <f t="shared" si="3"/>
        <v>0</v>
      </c>
      <c r="Q24" s="607">
        <f t="shared" si="3"/>
        <v>0</v>
      </c>
      <c r="R24" s="171"/>
      <c r="S24" s="5"/>
      <c r="T24" s="5"/>
      <c r="U24" s="5"/>
      <c r="V24" s="5"/>
      <c r="W24" s="5"/>
      <c r="X24" s="13"/>
      <c r="Y24" s="662">
        <f t="shared" si="4"/>
        <v>0</v>
      </c>
      <c r="Z24" s="13"/>
      <c r="AA24" s="13"/>
      <c r="AB24" s="349" t="str">
        <f t="shared" si="5"/>
        <v>** NOT USED **</v>
      </c>
      <c r="AC24" s="79">
        <v>9</v>
      </c>
      <c r="AD24" s="5"/>
      <c r="AE24" s="5"/>
      <c r="AF24" s="5"/>
      <c r="AG24" s="5"/>
      <c r="AH24" s="5"/>
      <c r="AI24" s="5"/>
      <c r="AJ24" s="5"/>
      <c r="AK24" s="5"/>
      <c r="AL24" s="5"/>
      <c r="AM24" s="5"/>
      <c r="AN24" s="5"/>
      <c r="AO24" s="5"/>
      <c r="AP24" s="5"/>
      <c r="AQ24" s="5"/>
      <c r="AR24" s="5"/>
      <c r="AS24" s="5"/>
      <c r="AT24" s="5"/>
    </row>
    <row r="25" spans="1:46" x14ac:dyDescent="0.2">
      <c r="A25" s="171"/>
      <c r="B25" s="352">
        <f t="shared" si="0"/>
        <v>0</v>
      </c>
      <c r="C25" s="79">
        <v>10</v>
      </c>
      <c r="D25" s="622" t="str">
        <f t="shared" si="1"/>
        <v>** NOT USED **</v>
      </c>
      <c r="E25" s="607">
        <f t="shared" si="2"/>
        <v>0</v>
      </c>
      <c r="F25" s="607">
        <f t="shared" si="2"/>
        <v>0</v>
      </c>
      <c r="G25" s="607">
        <f t="shared" si="2"/>
        <v>0</v>
      </c>
      <c r="H25" s="607">
        <f t="shared" si="2"/>
        <v>0</v>
      </c>
      <c r="I25" s="607">
        <f t="shared" si="2"/>
        <v>0</v>
      </c>
      <c r="J25" s="607">
        <f t="shared" si="2"/>
        <v>0</v>
      </c>
      <c r="K25" s="171"/>
      <c r="L25" s="607">
        <f t="shared" si="3"/>
        <v>0</v>
      </c>
      <c r="M25" s="607">
        <f t="shared" si="3"/>
        <v>0</v>
      </c>
      <c r="N25" s="607">
        <f t="shared" si="3"/>
        <v>0</v>
      </c>
      <c r="O25" s="607">
        <f t="shared" si="3"/>
        <v>0</v>
      </c>
      <c r="P25" s="607">
        <f t="shared" si="3"/>
        <v>0</v>
      </c>
      <c r="Q25" s="607">
        <f t="shared" si="3"/>
        <v>0</v>
      </c>
      <c r="R25" s="171"/>
      <c r="S25" s="5"/>
      <c r="T25" s="5"/>
      <c r="U25" s="5"/>
      <c r="V25" s="5"/>
      <c r="W25" s="5"/>
      <c r="X25" s="13"/>
      <c r="Y25" s="662">
        <f t="shared" si="4"/>
        <v>0</v>
      </c>
      <c r="Z25" s="13"/>
      <c r="AA25" s="13"/>
      <c r="AB25" s="349" t="str">
        <f t="shared" si="5"/>
        <v>** NOT USED **</v>
      </c>
      <c r="AC25" s="79">
        <v>10</v>
      </c>
      <c r="AD25" s="5"/>
      <c r="AE25" s="5"/>
      <c r="AF25" s="5"/>
      <c r="AG25" s="5"/>
      <c r="AH25" s="5"/>
      <c r="AI25" s="5"/>
      <c r="AJ25" s="5"/>
      <c r="AK25" s="5"/>
      <c r="AL25" s="5"/>
      <c r="AM25" s="5"/>
      <c r="AN25" s="5"/>
      <c r="AO25" s="5"/>
      <c r="AP25" s="5"/>
      <c r="AQ25" s="5"/>
      <c r="AR25" s="5"/>
      <c r="AS25" s="5"/>
      <c r="AT25" s="5"/>
    </row>
    <row r="26" spans="1:46" x14ac:dyDescent="0.2">
      <c r="A26" s="171"/>
      <c r="B26" s="352">
        <f t="shared" si="0"/>
        <v>0</v>
      </c>
      <c r="C26" s="79">
        <v>11</v>
      </c>
      <c r="D26" s="622" t="str">
        <f t="shared" si="1"/>
        <v>** NOT USED **</v>
      </c>
      <c r="E26" s="607">
        <f t="shared" ref="E26:J35" si="6">IF($D58&lt;&gt;MsgNotUsed,E58,IF($D87&lt;&gt;MsgNotUsed,E87,0))</f>
        <v>0</v>
      </c>
      <c r="F26" s="607">
        <f t="shared" si="6"/>
        <v>0</v>
      </c>
      <c r="G26" s="607">
        <f t="shared" si="6"/>
        <v>0</v>
      </c>
      <c r="H26" s="607">
        <f t="shared" si="6"/>
        <v>0</v>
      </c>
      <c r="I26" s="607">
        <f t="shared" si="6"/>
        <v>0</v>
      </c>
      <c r="J26" s="607">
        <f t="shared" si="6"/>
        <v>0</v>
      </c>
      <c r="K26" s="171"/>
      <c r="L26" s="607">
        <f t="shared" ref="L26:Q35" si="7">IF($D58&lt;&gt;MsgNotUsed,L58,IF($D87&lt;&gt;MsgNotUsed,L87,0))</f>
        <v>0</v>
      </c>
      <c r="M26" s="607">
        <f t="shared" si="7"/>
        <v>0</v>
      </c>
      <c r="N26" s="607">
        <f t="shared" si="7"/>
        <v>0</v>
      </c>
      <c r="O26" s="607">
        <f t="shared" si="7"/>
        <v>0</v>
      </c>
      <c r="P26" s="607">
        <f t="shared" si="7"/>
        <v>0</v>
      </c>
      <c r="Q26" s="607">
        <f t="shared" si="7"/>
        <v>0</v>
      </c>
      <c r="R26" s="171"/>
      <c r="S26" s="5"/>
      <c r="T26" s="5"/>
      <c r="U26" s="5"/>
      <c r="V26" s="5"/>
      <c r="W26" s="5"/>
      <c r="X26" s="13"/>
      <c r="Y26" s="662">
        <f t="shared" si="4"/>
        <v>0</v>
      </c>
      <c r="Z26" s="13"/>
      <c r="AA26" s="13"/>
      <c r="AB26" s="349" t="str">
        <f t="shared" si="5"/>
        <v>** NOT USED **</v>
      </c>
      <c r="AC26" s="79">
        <v>11</v>
      </c>
      <c r="AD26" s="5"/>
      <c r="AE26" s="5"/>
      <c r="AF26" s="5"/>
      <c r="AG26" s="5"/>
      <c r="AH26" s="5"/>
      <c r="AI26" s="5"/>
      <c r="AJ26" s="5"/>
      <c r="AK26" s="5"/>
      <c r="AL26" s="5"/>
      <c r="AM26" s="5"/>
      <c r="AN26" s="5"/>
      <c r="AO26" s="5"/>
      <c r="AP26" s="5"/>
      <c r="AQ26" s="5"/>
      <c r="AR26" s="5"/>
      <c r="AS26" s="5"/>
      <c r="AT26" s="5"/>
    </row>
    <row r="27" spans="1:46" x14ac:dyDescent="0.2">
      <c r="A27" s="171"/>
      <c r="B27" s="352">
        <f t="shared" si="0"/>
        <v>0</v>
      </c>
      <c r="C27" s="79">
        <v>12</v>
      </c>
      <c r="D27" s="622" t="str">
        <f t="shared" si="1"/>
        <v>** NOT USED **</v>
      </c>
      <c r="E27" s="607">
        <f t="shared" si="6"/>
        <v>0</v>
      </c>
      <c r="F27" s="607">
        <f t="shared" si="6"/>
        <v>0</v>
      </c>
      <c r="G27" s="607">
        <f t="shared" si="6"/>
        <v>0</v>
      </c>
      <c r="H27" s="607">
        <f t="shared" si="6"/>
        <v>0</v>
      </c>
      <c r="I27" s="607">
        <f t="shared" si="6"/>
        <v>0</v>
      </c>
      <c r="J27" s="607">
        <f t="shared" si="6"/>
        <v>0</v>
      </c>
      <c r="K27" s="171"/>
      <c r="L27" s="607">
        <f t="shared" si="7"/>
        <v>0</v>
      </c>
      <c r="M27" s="607">
        <f t="shared" si="7"/>
        <v>0</v>
      </c>
      <c r="N27" s="607">
        <f t="shared" si="7"/>
        <v>0</v>
      </c>
      <c r="O27" s="607">
        <f t="shared" si="7"/>
        <v>0</v>
      </c>
      <c r="P27" s="607">
        <f t="shared" si="7"/>
        <v>0</v>
      </c>
      <c r="Q27" s="607">
        <f t="shared" si="7"/>
        <v>0</v>
      </c>
      <c r="R27" s="171"/>
      <c r="S27" s="5"/>
      <c r="T27" s="5"/>
      <c r="U27" s="5"/>
      <c r="V27" s="5"/>
      <c r="W27" s="5"/>
      <c r="X27" s="13"/>
      <c r="Y27" s="662">
        <f t="shared" si="4"/>
        <v>0</v>
      </c>
      <c r="Z27" s="13"/>
      <c r="AA27" s="13"/>
      <c r="AB27" s="349" t="str">
        <f t="shared" si="5"/>
        <v>** NOT USED **</v>
      </c>
      <c r="AC27" s="79">
        <v>12</v>
      </c>
      <c r="AD27" s="5"/>
      <c r="AE27" s="5"/>
      <c r="AF27" s="5"/>
      <c r="AG27" s="5"/>
      <c r="AH27" s="5"/>
      <c r="AI27" s="5"/>
      <c r="AJ27" s="5"/>
      <c r="AK27" s="5"/>
      <c r="AL27" s="5"/>
      <c r="AM27" s="5"/>
      <c r="AN27" s="5"/>
      <c r="AO27" s="5"/>
      <c r="AP27" s="5"/>
      <c r="AQ27" s="5"/>
      <c r="AR27" s="5"/>
      <c r="AS27" s="5"/>
      <c r="AT27" s="5"/>
    </row>
    <row r="28" spans="1:46" x14ac:dyDescent="0.2">
      <c r="A28" s="171"/>
      <c r="B28" s="352">
        <f t="shared" si="0"/>
        <v>0</v>
      </c>
      <c r="C28" s="79">
        <v>13</v>
      </c>
      <c r="D28" s="622" t="str">
        <f t="shared" si="1"/>
        <v>** NOT USED **</v>
      </c>
      <c r="E28" s="607">
        <f t="shared" si="6"/>
        <v>0</v>
      </c>
      <c r="F28" s="607">
        <f t="shared" si="6"/>
        <v>0</v>
      </c>
      <c r="G28" s="607">
        <f t="shared" si="6"/>
        <v>0</v>
      </c>
      <c r="H28" s="607">
        <f t="shared" si="6"/>
        <v>0</v>
      </c>
      <c r="I28" s="607">
        <f t="shared" si="6"/>
        <v>0</v>
      </c>
      <c r="J28" s="607">
        <f t="shared" si="6"/>
        <v>0</v>
      </c>
      <c r="K28" s="171"/>
      <c r="L28" s="607">
        <f t="shared" si="7"/>
        <v>0</v>
      </c>
      <c r="M28" s="607">
        <f t="shared" si="7"/>
        <v>0</v>
      </c>
      <c r="N28" s="607">
        <f t="shared" si="7"/>
        <v>0</v>
      </c>
      <c r="O28" s="607">
        <f t="shared" si="7"/>
        <v>0</v>
      </c>
      <c r="P28" s="607">
        <f t="shared" si="7"/>
        <v>0</v>
      </c>
      <c r="Q28" s="607">
        <f t="shared" si="7"/>
        <v>0</v>
      </c>
      <c r="R28" s="171"/>
      <c r="S28" s="5"/>
      <c r="T28" s="5"/>
      <c r="U28" s="5"/>
      <c r="V28" s="5"/>
      <c r="W28" s="5"/>
      <c r="X28" s="13"/>
      <c r="Y28" s="662">
        <f t="shared" si="4"/>
        <v>0</v>
      </c>
      <c r="Z28" s="13"/>
      <c r="AA28" s="13"/>
      <c r="AB28" s="349" t="str">
        <f t="shared" si="5"/>
        <v>** NOT USED **</v>
      </c>
      <c r="AC28" s="79">
        <v>13</v>
      </c>
      <c r="AD28" s="5"/>
      <c r="AE28" s="5"/>
      <c r="AF28" s="5"/>
      <c r="AG28" s="5"/>
      <c r="AH28" s="5"/>
      <c r="AI28" s="5"/>
      <c r="AJ28" s="5"/>
      <c r="AK28" s="5"/>
      <c r="AL28" s="5"/>
      <c r="AM28" s="5"/>
      <c r="AN28" s="5"/>
      <c r="AO28" s="5"/>
      <c r="AP28" s="5"/>
      <c r="AQ28" s="5"/>
      <c r="AR28" s="5"/>
      <c r="AS28" s="5"/>
      <c r="AT28" s="5"/>
    </row>
    <row r="29" spans="1:46" x14ac:dyDescent="0.2">
      <c r="A29" s="171"/>
      <c r="B29" s="352">
        <f t="shared" si="0"/>
        <v>0</v>
      </c>
      <c r="C29" s="79">
        <v>14</v>
      </c>
      <c r="D29" s="622" t="str">
        <f t="shared" si="1"/>
        <v>** NOT USED **</v>
      </c>
      <c r="E29" s="607">
        <f t="shared" si="6"/>
        <v>0</v>
      </c>
      <c r="F29" s="607">
        <f t="shared" si="6"/>
        <v>0</v>
      </c>
      <c r="G29" s="607">
        <f t="shared" si="6"/>
        <v>0</v>
      </c>
      <c r="H29" s="607">
        <f t="shared" si="6"/>
        <v>0</v>
      </c>
      <c r="I29" s="607">
        <f t="shared" si="6"/>
        <v>0</v>
      </c>
      <c r="J29" s="607">
        <f t="shared" si="6"/>
        <v>0</v>
      </c>
      <c r="K29" s="171"/>
      <c r="L29" s="607">
        <f t="shared" si="7"/>
        <v>0</v>
      </c>
      <c r="M29" s="607">
        <f t="shared" si="7"/>
        <v>0</v>
      </c>
      <c r="N29" s="607">
        <f t="shared" si="7"/>
        <v>0</v>
      </c>
      <c r="O29" s="607">
        <f t="shared" si="7"/>
        <v>0</v>
      </c>
      <c r="P29" s="607">
        <f t="shared" si="7"/>
        <v>0</v>
      </c>
      <c r="Q29" s="607">
        <f t="shared" si="7"/>
        <v>0</v>
      </c>
      <c r="R29" s="171"/>
      <c r="S29" s="5"/>
      <c r="T29" s="5"/>
      <c r="U29" s="5"/>
      <c r="V29" s="5"/>
      <c r="W29" s="5"/>
      <c r="X29" s="13"/>
      <c r="Y29" s="662">
        <f t="shared" si="4"/>
        <v>0</v>
      </c>
      <c r="Z29" s="13"/>
      <c r="AA29" s="13"/>
      <c r="AB29" s="349" t="str">
        <f t="shared" si="5"/>
        <v>** NOT USED **</v>
      </c>
      <c r="AC29" s="79">
        <v>14</v>
      </c>
      <c r="AD29" s="5"/>
      <c r="AE29" s="5"/>
      <c r="AF29" s="5"/>
      <c r="AG29" s="5"/>
      <c r="AH29" s="5"/>
      <c r="AI29" s="5"/>
      <c r="AJ29" s="5"/>
      <c r="AK29" s="5"/>
      <c r="AL29" s="5"/>
      <c r="AM29" s="5"/>
      <c r="AN29" s="5"/>
      <c r="AO29" s="5"/>
      <c r="AP29" s="5"/>
      <c r="AQ29" s="5"/>
      <c r="AR29" s="5"/>
      <c r="AS29" s="5"/>
      <c r="AT29" s="5"/>
    </row>
    <row r="30" spans="1:46" x14ac:dyDescent="0.2">
      <c r="A30" s="171"/>
      <c r="B30" s="352">
        <f t="shared" si="0"/>
        <v>0</v>
      </c>
      <c r="C30" s="79">
        <v>15</v>
      </c>
      <c r="D30" s="622" t="str">
        <f t="shared" si="1"/>
        <v>** NOT USED **</v>
      </c>
      <c r="E30" s="607">
        <f t="shared" si="6"/>
        <v>0</v>
      </c>
      <c r="F30" s="607">
        <f t="shared" si="6"/>
        <v>0</v>
      </c>
      <c r="G30" s="607">
        <f t="shared" si="6"/>
        <v>0</v>
      </c>
      <c r="H30" s="607">
        <f t="shared" si="6"/>
        <v>0</v>
      </c>
      <c r="I30" s="607">
        <f t="shared" si="6"/>
        <v>0</v>
      </c>
      <c r="J30" s="607">
        <f t="shared" si="6"/>
        <v>0</v>
      </c>
      <c r="K30" s="171"/>
      <c r="L30" s="607">
        <f t="shared" si="7"/>
        <v>0</v>
      </c>
      <c r="M30" s="607">
        <f t="shared" si="7"/>
        <v>0</v>
      </c>
      <c r="N30" s="607">
        <f t="shared" si="7"/>
        <v>0</v>
      </c>
      <c r="O30" s="607">
        <f t="shared" si="7"/>
        <v>0</v>
      </c>
      <c r="P30" s="607">
        <f t="shared" si="7"/>
        <v>0</v>
      </c>
      <c r="Q30" s="607">
        <f t="shared" si="7"/>
        <v>0</v>
      </c>
      <c r="R30" s="171"/>
      <c r="S30" s="5"/>
      <c r="T30" s="5"/>
      <c r="U30" s="5"/>
      <c r="V30" s="5"/>
      <c r="W30" s="5"/>
      <c r="X30" s="13"/>
      <c r="Y30" s="662">
        <f t="shared" si="4"/>
        <v>0</v>
      </c>
      <c r="Z30" s="13"/>
      <c r="AA30" s="13"/>
      <c r="AB30" s="349" t="str">
        <f t="shared" si="5"/>
        <v>** NOT USED **</v>
      </c>
      <c r="AC30" s="79">
        <v>15</v>
      </c>
      <c r="AD30" s="5"/>
      <c r="AE30" s="5"/>
      <c r="AF30" s="5"/>
      <c r="AG30" s="5"/>
      <c r="AH30" s="5"/>
      <c r="AI30" s="5"/>
      <c r="AJ30" s="5"/>
      <c r="AK30" s="5"/>
      <c r="AL30" s="5"/>
      <c r="AM30" s="5"/>
      <c r="AN30" s="5"/>
      <c r="AO30" s="5"/>
      <c r="AP30" s="5"/>
      <c r="AQ30" s="5"/>
      <c r="AR30" s="5"/>
      <c r="AS30" s="5"/>
      <c r="AT30" s="5"/>
    </row>
    <row r="31" spans="1:46" x14ac:dyDescent="0.2">
      <c r="A31" s="171"/>
      <c r="B31" s="352">
        <f t="shared" si="0"/>
        <v>0</v>
      </c>
      <c r="C31" s="79">
        <v>16</v>
      </c>
      <c r="D31" s="622" t="str">
        <f t="shared" si="1"/>
        <v>** NOT USED **</v>
      </c>
      <c r="E31" s="607">
        <f t="shared" si="6"/>
        <v>0</v>
      </c>
      <c r="F31" s="607">
        <f t="shared" si="6"/>
        <v>0</v>
      </c>
      <c r="G31" s="607">
        <f t="shared" si="6"/>
        <v>0</v>
      </c>
      <c r="H31" s="607">
        <f t="shared" si="6"/>
        <v>0</v>
      </c>
      <c r="I31" s="607">
        <f t="shared" si="6"/>
        <v>0</v>
      </c>
      <c r="J31" s="607">
        <f t="shared" si="6"/>
        <v>0</v>
      </c>
      <c r="K31" s="171"/>
      <c r="L31" s="607">
        <f t="shared" si="7"/>
        <v>0</v>
      </c>
      <c r="M31" s="607">
        <f t="shared" si="7"/>
        <v>0</v>
      </c>
      <c r="N31" s="607">
        <f t="shared" si="7"/>
        <v>0</v>
      </c>
      <c r="O31" s="607">
        <f t="shared" si="7"/>
        <v>0</v>
      </c>
      <c r="P31" s="607">
        <f t="shared" si="7"/>
        <v>0</v>
      </c>
      <c r="Q31" s="607">
        <f t="shared" si="7"/>
        <v>0</v>
      </c>
      <c r="R31" s="171"/>
      <c r="S31" s="5"/>
      <c r="T31" s="5"/>
      <c r="U31" s="5"/>
      <c r="V31" s="5"/>
      <c r="W31" s="5"/>
      <c r="X31" s="13"/>
      <c r="Y31" s="662">
        <f t="shared" si="4"/>
        <v>0</v>
      </c>
      <c r="Z31" s="13"/>
      <c r="AA31" s="13"/>
      <c r="AB31" s="349" t="str">
        <f t="shared" si="5"/>
        <v>** NOT USED **</v>
      </c>
      <c r="AC31" s="79">
        <v>16</v>
      </c>
      <c r="AD31" s="5"/>
      <c r="AE31" s="5"/>
      <c r="AF31" s="5"/>
      <c r="AG31" s="5"/>
      <c r="AH31" s="5"/>
      <c r="AI31" s="5"/>
      <c r="AJ31" s="5"/>
      <c r="AK31" s="5"/>
      <c r="AL31" s="5"/>
      <c r="AM31" s="5"/>
      <c r="AN31" s="5"/>
      <c r="AO31" s="5"/>
      <c r="AP31" s="5"/>
      <c r="AQ31" s="5"/>
      <c r="AR31" s="5"/>
      <c r="AS31" s="5"/>
      <c r="AT31" s="5"/>
    </row>
    <row r="32" spans="1:46" x14ac:dyDescent="0.2">
      <c r="A32" s="171"/>
      <c r="B32" s="352">
        <f t="shared" si="0"/>
        <v>0</v>
      </c>
      <c r="C32" s="79">
        <v>17</v>
      </c>
      <c r="D32" s="622" t="str">
        <f t="shared" si="1"/>
        <v>** NOT USED **</v>
      </c>
      <c r="E32" s="607">
        <f t="shared" si="6"/>
        <v>0</v>
      </c>
      <c r="F32" s="607">
        <f t="shared" si="6"/>
        <v>0</v>
      </c>
      <c r="G32" s="607">
        <f t="shared" si="6"/>
        <v>0</v>
      </c>
      <c r="H32" s="607">
        <f t="shared" si="6"/>
        <v>0</v>
      </c>
      <c r="I32" s="607">
        <f t="shared" si="6"/>
        <v>0</v>
      </c>
      <c r="J32" s="607">
        <f t="shared" si="6"/>
        <v>0</v>
      </c>
      <c r="K32" s="171"/>
      <c r="L32" s="607">
        <f t="shared" si="7"/>
        <v>0</v>
      </c>
      <c r="M32" s="607">
        <f t="shared" si="7"/>
        <v>0</v>
      </c>
      <c r="N32" s="607">
        <f t="shared" si="7"/>
        <v>0</v>
      </c>
      <c r="O32" s="607">
        <f t="shared" si="7"/>
        <v>0</v>
      </c>
      <c r="P32" s="607">
        <f t="shared" si="7"/>
        <v>0</v>
      </c>
      <c r="Q32" s="607">
        <f t="shared" si="7"/>
        <v>0</v>
      </c>
      <c r="R32" s="171"/>
      <c r="S32" s="5"/>
      <c r="T32" s="5"/>
      <c r="U32" s="5"/>
      <c r="V32" s="5"/>
      <c r="W32" s="5"/>
      <c r="X32" s="13"/>
      <c r="Y32" s="662">
        <f t="shared" si="4"/>
        <v>0</v>
      </c>
      <c r="Z32" s="13"/>
      <c r="AA32" s="13"/>
      <c r="AB32" s="349" t="str">
        <f t="shared" si="5"/>
        <v>** NOT USED **</v>
      </c>
      <c r="AC32" s="79">
        <v>17</v>
      </c>
      <c r="AD32" s="5"/>
      <c r="AE32" s="5"/>
      <c r="AF32" s="5"/>
      <c r="AG32" s="5"/>
      <c r="AH32" s="5"/>
      <c r="AI32" s="5"/>
      <c r="AJ32" s="5"/>
      <c r="AK32" s="5"/>
      <c r="AL32" s="5"/>
      <c r="AM32" s="5"/>
      <c r="AN32" s="5"/>
      <c r="AO32" s="5"/>
      <c r="AP32" s="5"/>
      <c r="AQ32" s="5"/>
      <c r="AR32" s="5"/>
      <c r="AS32" s="5"/>
      <c r="AT32" s="5"/>
    </row>
    <row r="33" spans="1:46" x14ac:dyDescent="0.2">
      <c r="A33" s="171"/>
      <c r="B33" s="352">
        <f t="shared" si="0"/>
        <v>0</v>
      </c>
      <c r="C33" s="79">
        <v>18</v>
      </c>
      <c r="D33" s="622" t="str">
        <f t="shared" si="1"/>
        <v>** NOT USED **</v>
      </c>
      <c r="E33" s="607">
        <f t="shared" si="6"/>
        <v>0</v>
      </c>
      <c r="F33" s="607">
        <f t="shared" si="6"/>
        <v>0</v>
      </c>
      <c r="G33" s="607">
        <f t="shared" si="6"/>
        <v>0</v>
      </c>
      <c r="H33" s="607">
        <f t="shared" si="6"/>
        <v>0</v>
      </c>
      <c r="I33" s="607">
        <f t="shared" si="6"/>
        <v>0</v>
      </c>
      <c r="J33" s="607">
        <f t="shared" si="6"/>
        <v>0</v>
      </c>
      <c r="K33" s="171"/>
      <c r="L33" s="607">
        <f t="shared" si="7"/>
        <v>0</v>
      </c>
      <c r="M33" s="607">
        <f t="shared" si="7"/>
        <v>0</v>
      </c>
      <c r="N33" s="607">
        <f t="shared" si="7"/>
        <v>0</v>
      </c>
      <c r="O33" s="607">
        <f t="shared" si="7"/>
        <v>0</v>
      </c>
      <c r="P33" s="607">
        <f t="shared" si="7"/>
        <v>0</v>
      </c>
      <c r="Q33" s="607">
        <f t="shared" si="7"/>
        <v>0</v>
      </c>
      <c r="R33" s="171"/>
      <c r="S33" s="5"/>
      <c r="T33" s="5"/>
      <c r="U33" s="5"/>
      <c r="V33" s="5"/>
      <c r="W33" s="5"/>
      <c r="X33" s="13"/>
      <c r="Y33" s="662">
        <f t="shared" si="4"/>
        <v>0</v>
      </c>
      <c r="Z33" s="13"/>
      <c r="AA33" s="13"/>
      <c r="AB33" s="349" t="str">
        <f t="shared" si="5"/>
        <v>** NOT USED **</v>
      </c>
      <c r="AC33" s="79">
        <v>18</v>
      </c>
      <c r="AD33" s="5"/>
      <c r="AE33" s="5"/>
      <c r="AF33" s="5"/>
      <c r="AG33" s="5"/>
      <c r="AH33" s="5"/>
      <c r="AI33" s="5"/>
      <c r="AJ33" s="5"/>
      <c r="AK33" s="5"/>
      <c r="AL33" s="5"/>
      <c r="AM33" s="5"/>
      <c r="AN33" s="5"/>
      <c r="AO33" s="5"/>
      <c r="AP33" s="5"/>
      <c r="AQ33" s="5"/>
      <c r="AR33" s="5"/>
      <c r="AS33" s="5"/>
      <c r="AT33" s="5"/>
    </row>
    <row r="34" spans="1:46" x14ac:dyDescent="0.2">
      <c r="A34" s="171"/>
      <c r="B34" s="352">
        <f t="shared" si="0"/>
        <v>0</v>
      </c>
      <c r="C34" s="79">
        <v>19</v>
      </c>
      <c r="D34" s="622" t="str">
        <f t="shared" si="1"/>
        <v>** NOT USED **</v>
      </c>
      <c r="E34" s="607">
        <f t="shared" si="6"/>
        <v>0</v>
      </c>
      <c r="F34" s="607">
        <f t="shared" si="6"/>
        <v>0</v>
      </c>
      <c r="G34" s="607">
        <f t="shared" si="6"/>
        <v>0</v>
      </c>
      <c r="H34" s="607">
        <f t="shared" si="6"/>
        <v>0</v>
      </c>
      <c r="I34" s="607">
        <f t="shared" si="6"/>
        <v>0</v>
      </c>
      <c r="J34" s="607">
        <f t="shared" si="6"/>
        <v>0</v>
      </c>
      <c r="K34" s="171"/>
      <c r="L34" s="607">
        <f t="shared" si="7"/>
        <v>0</v>
      </c>
      <c r="M34" s="607">
        <f t="shared" si="7"/>
        <v>0</v>
      </c>
      <c r="N34" s="607">
        <f t="shared" si="7"/>
        <v>0</v>
      </c>
      <c r="O34" s="607">
        <f t="shared" si="7"/>
        <v>0</v>
      </c>
      <c r="P34" s="607">
        <f t="shared" si="7"/>
        <v>0</v>
      </c>
      <c r="Q34" s="607">
        <f t="shared" si="7"/>
        <v>0</v>
      </c>
      <c r="R34" s="171"/>
      <c r="S34" s="5"/>
      <c r="T34" s="5"/>
      <c r="U34" s="5"/>
      <c r="V34" s="5"/>
      <c r="W34" s="5"/>
      <c r="X34" s="13"/>
      <c r="Y34" s="662">
        <f t="shared" si="4"/>
        <v>0</v>
      </c>
      <c r="Z34" s="13"/>
      <c r="AA34" s="13"/>
      <c r="AB34" s="349" t="str">
        <f t="shared" si="5"/>
        <v>** NOT USED **</v>
      </c>
      <c r="AC34" s="79">
        <v>19</v>
      </c>
      <c r="AD34" s="5"/>
      <c r="AE34" s="5"/>
      <c r="AF34" s="5"/>
      <c r="AG34" s="5"/>
      <c r="AH34" s="5"/>
      <c r="AI34" s="5"/>
      <c r="AJ34" s="5"/>
      <c r="AK34" s="5"/>
      <c r="AL34" s="5"/>
      <c r="AM34" s="5"/>
      <c r="AN34" s="5"/>
      <c r="AO34" s="5"/>
      <c r="AP34" s="5"/>
      <c r="AQ34" s="5"/>
      <c r="AR34" s="5"/>
      <c r="AS34" s="5"/>
      <c r="AT34" s="5"/>
    </row>
    <row r="35" spans="1:46" x14ac:dyDescent="0.2">
      <c r="A35" s="171"/>
      <c r="B35" s="352">
        <f t="shared" si="0"/>
        <v>0</v>
      </c>
      <c r="C35" s="79">
        <v>20</v>
      </c>
      <c r="D35" s="622" t="str">
        <f t="shared" si="1"/>
        <v>** NOT USED **</v>
      </c>
      <c r="E35" s="607">
        <f t="shared" si="6"/>
        <v>0</v>
      </c>
      <c r="F35" s="607">
        <f t="shared" si="6"/>
        <v>0</v>
      </c>
      <c r="G35" s="607">
        <f t="shared" si="6"/>
        <v>0</v>
      </c>
      <c r="H35" s="607">
        <f t="shared" si="6"/>
        <v>0</v>
      </c>
      <c r="I35" s="607">
        <f t="shared" si="6"/>
        <v>0</v>
      </c>
      <c r="J35" s="607">
        <f t="shared" si="6"/>
        <v>0</v>
      </c>
      <c r="K35" s="171"/>
      <c r="L35" s="607">
        <f t="shared" si="7"/>
        <v>0</v>
      </c>
      <c r="M35" s="607">
        <f t="shared" si="7"/>
        <v>0</v>
      </c>
      <c r="N35" s="607">
        <f t="shared" si="7"/>
        <v>0</v>
      </c>
      <c r="O35" s="607">
        <f t="shared" si="7"/>
        <v>0</v>
      </c>
      <c r="P35" s="607">
        <f t="shared" si="7"/>
        <v>0</v>
      </c>
      <c r="Q35" s="607">
        <f t="shared" si="7"/>
        <v>0</v>
      </c>
      <c r="R35" s="171"/>
      <c r="S35" s="5"/>
      <c r="T35" s="5"/>
      <c r="U35" s="5"/>
      <c r="V35" s="5"/>
      <c r="W35" s="5"/>
      <c r="X35" s="13"/>
      <c r="Y35" s="662">
        <f t="shared" si="4"/>
        <v>0</v>
      </c>
      <c r="Z35" s="13"/>
      <c r="AA35" s="13"/>
      <c r="AB35" s="349" t="str">
        <f t="shared" si="5"/>
        <v>** NOT USED **</v>
      </c>
      <c r="AC35" s="79">
        <v>20</v>
      </c>
      <c r="AD35" s="5"/>
      <c r="AE35" s="5"/>
      <c r="AF35" s="5"/>
      <c r="AG35" s="5"/>
      <c r="AH35" s="5"/>
      <c r="AI35" s="5"/>
      <c r="AJ35" s="5"/>
      <c r="AK35" s="5"/>
      <c r="AL35" s="5"/>
      <c r="AM35" s="5"/>
      <c r="AN35" s="5"/>
      <c r="AO35" s="5"/>
      <c r="AP35" s="5"/>
      <c r="AQ35" s="5"/>
      <c r="AR35" s="5"/>
      <c r="AS35" s="5"/>
      <c r="AT35" s="5"/>
    </row>
    <row r="36" spans="1:46" x14ac:dyDescent="0.2">
      <c r="A36" s="171"/>
      <c r="B36" s="171"/>
      <c r="C36" s="171"/>
      <c r="D36" s="85" t="s">
        <v>255</v>
      </c>
      <c r="E36" s="50">
        <f>SUM(E16:E35)</f>
        <v>0</v>
      </c>
      <c r="F36" s="50">
        <f t="shared" ref="F36:J36" si="8">SUM(F16:F35)</f>
        <v>0</v>
      </c>
      <c r="G36" s="50">
        <f t="shared" si="8"/>
        <v>0</v>
      </c>
      <c r="H36" s="50">
        <f t="shared" si="8"/>
        <v>0</v>
      </c>
      <c r="I36" s="50">
        <f t="shared" si="8"/>
        <v>0</v>
      </c>
      <c r="J36" s="50">
        <f t="shared" si="8"/>
        <v>0</v>
      </c>
      <c r="K36" s="171"/>
      <c r="L36" s="50">
        <f>SUM(L16:L35)</f>
        <v>0</v>
      </c>
      <c r="M36" s="50">
        <f t="shared" ref="M36:Q36" si="9">SUM(M16:M35)</f>
        <v>0</v>
      </c>
      <c r="N36" s="50">
        <f t="shared" si="9"/>
        <v>0</v>
      </c>
      <c r="O36" s="50">
        <f t="shared" si="9"/>
        <v>0</v>
      </c>
      <c r="P36" s="50">
        <f t="shared" si="9"/>
        <v>0</v>
      </c>
      <c r="Q36" s="50">
        <f t="shared" si="9"/>
        <v>0</v>
      </c>
      <c r="R36" s="171"/>
      <c r="S36" s="5"/>
      <c r="T36" s="5"/>
      <c r="U36" s="5"/>
      <c r="V36" s="5"/>
      <c r="W36" s="5"/>
      <c r="X36" s="13"/>
      <c r="Z36" s="13"/>
      <c r="AA36" s="13"/>
      <c r="AC36" s="5"/>
      <c r="AD36" s="5"/>
      <c r="AE36" s="5"/>
      <c r="AF36" s="5"/>
      <c r="AG36" s="5"/>
      <c r="AH36" s="5"/>
      <c r="AI36" s="5"/>
      <c r="AJ36" s="5"/>
      <c r="AK36" s="5"/>
      <c r="AL36" s="5"/>
      <c r="AM36" s="5"/>
      <c r="AN36" s="5"/>
      <c r="AO36" s="5"/>
      <c r="AP36" s="5"/>
      <c r="AQ36" s="5"/>
      <c r="AR36" s="5"/>
      <c r="AS36" s="5"/>
      <c r="AT36" s="5"/>
    </row>
    <row r="37" spans="1:46" x14ac:dyDescent="0.2">
      <c r="A37" s="172"/>
      <c r="B37" s="172"/>
      <c r="C37" s="172"/>
      <c r="D37" s="172"/>
      <c r="E37" s="172"/>
      <c r="F37" s="172"/>
      <c r="G37" s="172"/>
      <c r="H37" s="172"/>
      <c r="I37" s="172"/>
      <c r="J37" s="172"/>
      <c r="K37" s="172"/>
      <c r="L37" s="172"/>
      <c r="M37" s="172"/>
      <c r="N37" s="172"/>
      <c r="O37" s="172"/>
      <c r="P37" s="172"/>
      <c r="Q37" s="172"/>
      <c r="R37" s="172"/>
      <c r="X37" s="13"/>
      <c r="Y37" s="13"/>
      <c r="Z37" s="13"/>
      <c r="AA37" s="13"/>
    </row>
    <row r="38" spans="1:46" x14ac:dyDescent="0.2">
      <c r="A38" s="172"/>
      <c r="B38" s="172"/>
      <c r="C38" s="172"/>
      <c r="D38" s="171"/>
      <c r="E38" s="112">
        <f>FirstYear</f>
        <v>0</v>
      </c>
      <c r="F38" s="112">
        <f>E38+1</f>
        <v>1</v>
      </c>
      <c r="G38" s="112">
        <f>F38+1</f>
        <v>2</v>
      </c>
      <c r="H38" s="112">
        <f>G38+1</f>
        <v>3</v>
      </c>
      <c r="I38" s="112">
        <f>H38+1</f>
        <v>4</v>
      </c>
      <c r="J38" s="112">
        <f>I38+1</f>
        <v>5</v>
      </c>
      <c r="K38" s="172"/>
      <c r="L38" s="172"/>
      <c r="M38" s="172"/>
      <c r="N38" s="172"/>
      <c r="O38" s="172"/>
      <c r="P38" s="172"/>
      <c r="Q38" s="172"/>
      <c r="R38" s="172"/>
      <c r="X38" s="13"/>
      <c r="Y38" s="13"/>
      <c r="Z38" s="13"/>
      <c r="AA38" s="13"/>
    </row>
    <row r="39" spans="1:46" x14ac:dyDescent="0.2">
      <c r="A39" s="172"/>
      <c r="B39" s="172"/>
      <c r="C39" s="172"/>
      <c r="D39" s="11" t="s">
        <v>265</v>
      </c>
      <c r="E39" s="55">
        <f>E36+L36</f>
        <v>0</v>
      </c>
      <c r="F39" s="55">
        <f>F36+M36</f>
        <v>0</v>
      </c>
      <c r="G39" s="55">
        <f>G36+N36</f>
        <v>0</v>
      </c>
      <c r="H39" s="55">
        <f>H36+O36</f>
        <v>0</v>
      </c>
      <c r="I39" s="55">
        <f>I36+P36</f>
        <v>0</v>
      </c>
      <c r="J39" s="55">
        <f t="shared" ref="J39" si="10">J36+Q36</f>
        <v>0</v>
      </c>
      <c r="K39" s="172"/>
      <c r="L39" s="172"/>
      <c r="M39" s="172"/>
      <c r="N39" s="172"/>
      <c r="O39" s="172"/>
      <c r="P39" s="172"/>
      <c r="Q39" s="172"/>
      <c r="R39" s="172"/>
      <c r="X39" s="13"/>
      <c r="Y39" s="13"/>
      <c r="Z39" s="13"/>
      <c r="AA39" s="13"/>
    </row>
    <row r="40" spans="1:46" x14ac:dyDescent="0.2">
      <c r="A40" s="172"/>
      <c r="B40" s="172"/>
      <c r="C40" s="172"/>
      <c r="D40" s="172"/>
      <c r="E40" s="172"/>
      <c r="F40" s="172"/>
      <c r="G40" s="172"/>
      <c r="H40" s="172"/>
      <c r="I40" s="172"/>
      <c r="J40" s="172"/>
      <c r="K40" s="172"/>
      <c r="L40" s="172"/>
      <c r="M40" s="172"/>
      <c r="N40" s="172"/>
      <c r="O40" s="172"/>
      <c r="P40" s="172"/>
      <c r="Q40" s="172"/>
      <c r="R40" s="172"/>
      <c r="X40" s="13"/>
      <c r="Y40" s="13"/>
      <c r="Z40" s="13"/>
      <c r="AA40" s="13"/>
    </row>
    <row r="41" spans="1:46" x14ac:dyDescent="0.2">
      <c r="A41" s="172"/>
      <c r="B41" s="172"/>
      <c r="C41" s="172"/>
      <c r="D41" s="172"/>
      <c r="E41" s="172"/>
      <c r="F41" s="172"/>
      <c r="G41" s="172"/>
      <c r="H41" s="172"/>
      <c r="I41" s="172"/>
      <c r="J41" s="172"/>
      <c r="K41" s="172"/>
      <c r="L41" s="172"/>
      <c r="M41" s="172"/>
      <c r="N41" s="172"/>
      <c r="O41" s="172"/>
      <c r="P41" s="172"/>
      <c r="Q41" s="172"/>
      <c r="R41" s="172"/>
      <c r="S41" s="453"/>
      <c r="T41" s="453"/>
      <c r="U41" s="453"/>
      <c r="V41" s="453"/>
      <c r="X41" s="13"/>
      <c r="Y41" s="13"/>
      <c r="Z41" s="13"/>
      <c r="AA41" s="13"/>
      <c r="AB41" s="453"/>
      <c r="AC41" s="453"/>
      <c r="AD41" s="453"/>
      <c r="AE41" s="453"/>
      <c r="AF41" s="453"/>
      <c r="AG41" s="453"/>
      <c r="AH41" s="453"/>
      <c r="AI41" s="453"/>
      <c r="AJ41" s="453"/>
      <c r="AK41" s="453"/>
      <c r="AL41" s="453"/>
      <c r="AM41" s="453"/>
      <c r="AN41" s="453"/>
      <c r="AO41" s="453"/>
      <c r="AP41" s="453"/>
      <c r="AQ41" s="453"/>
      <c r="AR41" s="453"/>
      <c r="AS41" s="453"/>
      <c r="AT41" s="453"/>
    </row>
    <row r="42" spans="1:46" ht="15.75" x14ac:dyDescent="0.2">
      <c r="A42" s="187"/>
      <c r="B42" s="187"/>
      <c r="C42" s="187"/>
      <c r="D42" s="174" t="s">
        <v>948</v>
      </c>
      <c r="E42" s="228"/>
      <c r="F42" s="175"/>
      <c r="G42" s="175"/>
      <c r="H42" s="175"/>
      <c r="I42" s="771" t="str">
        <f>IF(B68=0,MsgNotUsed,"")</f>
        <v>** NOT USED **</v>
      </c>
      <c r="J42" s="771"/>
      <c r="K42" s="175"/>
      <c r="L42" s="175"/>
      <c r="M42" s="175"/>
      <c r="N42" s="175"/>
      <c r="O42" s="175"/>
      <c r="P42" s="771"/>
      <c r="Q42" s="772"/>
      <c r="R42" s="175"/>
      <c r="S42" s="175"/>
      <c r="T42" s="175"/>
      <c r="U42" s="175"/>
      <c r="V42" s="175"/>
      <c r="W42" s="175"/>
      <c r="X42" s="13"/>
      <c r="Y42" s="13"/>
      <c r="Z42" s="13"/>
      <c r="AA42" s="13"/>
      <c r="AB42" s="41"/>
      <c r="AC42" s="41"/>
      <c r="AD42" s="41"/>
      <c r="AE42" s="41"/>
      <c r="AF42" s="41"/>
      <c r="AG42" s="41"/>
    </row>
    <row r="43" spans="1:46" outlineLevel="1" x14ac:dyDescent="0.2">
      <c r="A43" s="171"/>
      <c r="B43" s="171"/>
      <c r="C43" s="171"/>
      <c r="D43" s="213"/>
      <c r="E43" s="213"/>
      <c r="F43" s="213"/>
      <c r="G43" s="213"/>
      <c r="H43" s="213"/>
      <c r="I43" s="213"/>
      <c r="J43" s="213"/>
      <c r="K43" s="213"/>
      <c r="L43" s="213"/>
      <c r="M43" s="213"/>
      <c r="N43" s="213"/>
      <c r="O43" s="213"/>
      <c r="P43" s="213"/>
      <c r="Q43" s="213"/>
      <c r="R43" s="213"/>
      <c r="S43" s="213"/>
      <c r="T43" s="213"/>
      <c r="U43" s="213"/>
      <c r="V43" s="213"/>
      <c r="W43" s="213"/>
      <c r="X43" s="13"/>
      <c r="Y43" s="13"/>
      <c r="Z43" s="13"/>
      <c r="AA43" s="13"/>
      <c r="AB43" s="5"/>
      <c r="AC43" s="5"/>
      <c r="AD43" s="5"/>
      <c r="AE43" s="5"/>
      <c r="AF43" s="5"/>
      <c r="AG43" s="5"/>
    </row>
    <row r="44" spans="1:46" outlineLevel="1" x14ac:dyDescent="0.2">
      <c r="A44" s="171"/>
      <c r="B44" s="171"/>
      <c r="C44" s="171"/>
      <c r="D44" s="211" t="s">
        <v>903</v>
      </c>
      <c r="E44" s="213"/>
      <c r="F44" s="213"/>
      <c r="G44" s="213"/>
      <c r="H44" s="213"/>
      <c r="I44" s="213"/>
      <c r="J44" s="213"/>
      <c r="K44" s="213"/>
      <c r="L44" s="213"/>
      <c r="M44" s="213"/>
      <c r="N44" s="213"/>
      <c r="O44" s="213"/>
      <c r="P44" s="213"/>
      <c r="Q44" s="213"/>
      <c r="R44" s="213"/>
      <c r="S44" s="213"/>
      <c r="T44" s="213"/>
      <c r="U44" s="213"/>
      <c r="V44" s="213"/>
      <c r="W44" s="213"/>
      <c r="X44" s="13"/>
      <c r="Y44" s="13"/>
      <c r="Z44" s="13"/>
      <c r="AA44" s="13"/>
      <c r="AB44" s="5"/>
      <c r="AC44" s="5"/>
      <c r="AD44" s="5"/>
      <c r="AE44" s="5"/>
      <c r="AF44" s="5"/>
      <c r="AG44" s="5"/>
      <c r="AH44" s="5"/>
      <c r="AJ44" s="5"/>
      <c r="AK44" s="5"/>
      <c r="AL44" s="5"/>
      <c r="AM44" s="5"/>
      <c r="AN44" s="5"/>
      <c r="AO44" s="5"/>
      <c r="AP44" s="5"/>
      <c r="AQ44" s="5"/>
      <c r="AR44" s="5"/>
      <c r="AS44" s="5"/>
      <c r="AT44" s="5"/>
    </row>
    <row r="45" spans="1:46" outlineLevel="1" x14ac:dyDescent="0.2">
      <c r="A45" s="171"/>
      <c r="B45" s="171"/>
      <c r="C45" s="171"/>
      <c r="D45" s="213"/>
      <c r="E45" s="213"/>
      <c r="F45" s="213"/>
      <c r="G45" s="213"/>
      <c r="H45" s="213"/>
      <c r="I45" s="213"/>
      <c r="J45" s="213"/>
      <c r="K45" s="213"/>
      <c r="L45" s="213"/>
      <c r="M45" s="213"/>
      <c r="N45" s="213"/>
      <c r="O45" s="213"/>
      <c r="P45" s="213"/>
      <c r="Q45" s="213"/>
      <c r="R45" s="213"/>
      <c r="S45" s="213"/>
      <c r="T45" s="213"/>
      <c r="U45" s="213"/>
      <c r="V45" s="213"/>
      <c r="W45" s="213"/>
      <c r="X45" s="13"/>
      <c r="Y45" s="13"/>
      <c r="Z45" s="13"/>
      <c r="AA45" s="13"/>
      <c r="AB45" s="5"/>
      <c r="AC45" s="5"/>
      <c r="AD45" s="5"/>
      <c r="AE45" s="5"/>
      <c r="AF45" s="5"/>
      <c r="AG45" s="5"/>
      <c r="AH45" s="5"/>
      <c r="AI45" s="828" t="s">
        <v>258</v>
      </c>
      <c r="AJ45" s="828"/>
      <c r="AK45" s="828"/>
      <c r="AL45" s="828"/>
      <c r="AM45" s="828"/>
      <c r="AN45" s="828"/>
      <c r="AO45" s="828"/>
      <c r="AP45" s="828"/>
      <c r="AQ45" s="828"/>
      <c r="AR45" s="828"/>
      <c r="AS45" s="828"/>
      <c r="AT45" s="828"/>
    </row>
    <row r="46" spans="1:46" outlineLevel="1" x14ac:dyDescent="0.2">
      <c r="A46" s="171"/>
      <c r="B46" s="171"/>
      <c r="C46" s="171"/>
      <c r="D46" s="211"/>
      <c r="E46" s="792" t="s">
        <v>256</v>
      </c>
      <c r="F46" s="802"/>
      <c r="G46" s="802"/>
      <c r="H46" s="802"/>
      <c r="I46" s="802"/>
      <c r="J46" s="803"/>
      <c r="K46" s="6"/>
      <c r="L46" s="792" t="s">
        <v>257</v>
      </c>
      <c r="M46" s="802"/>
      <c r="N46" s="802"/>
      <c r="O46" s="802"/>
      <c r="P46" s="802"/>
      <c r="Q46" s="803"/>
      <c r="R46" s="171"/>
      <c r="S46" s="171"/>
      <c r="T46" s="171"/>
      <c r="U46" s="171"/>
      <c r="V46" s="171"/>
      <c r="W46" s="592"/>
      <c r="X46" s="13"/>
      <c r="Y46" s="13"/>
      <c r="Z46" s="13"/>
      <c r="AA46" s="13"/>
      <c r="AB46" s="5"/>
      <c r="AC46" s="5"/>
      <c r="AD46" s="5"/>
      <c r="AE46" s="5"/>
      <c r="AF46" s="5"/>
      <c r="AG46" s="5"/>
      <c r="AH46" s="5"/>
      <c r="AI46" s="820" t="str">
        <f>TxPhase1PxTotal</f>
        <v/>
      </c>
      <c r="AJ46" s="820"/>
      <c r="AK46" s="820"/>
      <c r="AL46" s="820"/>
      <c r="AM46" s="820"/>
      <c r="AN46" s="820"/>
      <c r="AO46" s="820" t="str">
        <f>TxPhase2PxTotal</f>
        <v/>
      </c>
      <c r="AP46" s="820"/>
      <c r="AQ46" s="820"/>
      <c r="AR46" s="820"/>
      <c r="AS46" s="820"/>
      <c r="AT46" s="820"/>
    </row>
    <row r="47" spans="1:46" outlineLevel="1" x14ac:dyDescent="0.2">
      <c r="A47" s="171"/>
      <c r="B47" s="171"/>
      <c r="C47" s="171"/>
      <c r="D47" s="89" t="s">
        <v>883</v>
      </c>
      <c r="E47" s="339">
        <f>FirstYear</f>
        <v>0</v>
      </c>
      <c r="F47" s="339">
        <f>E47+1</f>
        <v>1</v>
      </c>
      <c r="G47" s="339">
        <f>F47+1</f>
        <v>2</v>
      </c>
      <c r="H47" s="339">
        <f>G47+1</f>
        <v>3</v>
      </c>
      <c r="I47" s="339">
        <f>H47+1</f>
        <v>4</v>
      </c>
      <c r="J47" s="339">
        <f>I47+1</f>
        <v>5</v>
      </c>
      <c r="K47" s="171"/>
      <c r="L47" s="339">
        <f>FirstYear</f>
        <v>0</v>
      </c>
      <c r="M47" s="339">
        <f>L47+1</f>
        <v>1</v>
      </c>
      <c r="N47" s="339">
        <f>M47+1</f>
        <v>2</v>
      </c>
      <c r="O47" s="339">
        <f>N47+1</f>
        <v>3</v>
      </c>
      <c r="P47" s="339">
        <f>O47+1</f>
        <v>4</v>
      </c>
      <c r="Q47" s="339">
        <f>P47+1</f>
        <v>5</v>
      </c>
      <c r="R47" s="171"/>
      <c r="S47" s="171"/>
      <c r="T47" s="171"/>
      <c r="U47" s="171"/>
      <c r="V47" s="171"/>
      <c r="W47" s="592"/>
      <c r="X47" s="13"/>
      <c r="Y47" s="13"/>
      <c r="Z47" s="13"/>
      <c r="AA47" s="13"/>
      <c r="AB47" s="5"/>
      <c r="AC47" s="5"/>
      <c r="AD47" s="5"/>
      <c r="AE47" s="5"/>
      <c r="AF47" s="5"/>
      <c r="AG47" s="5"/>
      <c r="AH47" s="641"/>
      <c r="AI47" s="335">
        <f>FirstYear</f>
        <v>0</v>
      </c>
      <c r="AJ47" s="335">
        <f>AI47+1</f>
        <v>1</v>
      </c>
      <c r="AK47" s="335">
        <f>AJ47+1</f>
        <v>2</v>
      </c>
      <c r="AL47" s="335">
        <f>AK47+1</f>
        <v>3</v>
      </c>
      <c r="AM47" s="335">
        <f>AL47+1</f>
        <v>4</v>
      </c>
      <c r="AN47" s="335">
        <f>AM47+1</f>
        <v>5</v>
      </c>
      <c r="AO47" s="335">
        <f>FirstYear</f>
        <v>0</v>
      </c>
      <c r="AP47" s="335">
        <f>AO47+1</f>
        <v>1</v>
      </c>
      <c r="AQ47" s="335">
        <f>AP47+1</f>
        <v>2</v>
      </c>
      <c r="AR47" s="335">
        <f>AQ47+1</f>
        <v>3</v>
      </c>
      <c r="AS47" s="335">
        <f>AR47+1</f>
        <v>4</v>
      </c>
      <c r="AT47" s="335">
        <f>AS47+1</f>
        <v>5</v>
      </c>
    </row>
    <row r="48" spans="1:46" outlineLevel="1" x14ac:dyDescent="0.2">
      <c r="A48" s="171"/>
      <c r="B48" s="405">
        <f t="shared" ref="B48:B67" si="11">IF(D48&lt;&gt;MsgNotUsed,1,0)</f>
        <v>0</v>
      </c>
      <c r="C48" s="79">
        <v>1</v>
      </c>
      <c r="D48" s="343" t="str">
        <f t="shared" ref="D48:D67" si="12">AB105</f>
        <v>** NOT USED **</v>
      </c>
      <c r="E48" s="47">
        <f t="shared" ref="E48:E67" si="13">IF(AND($D105&lt;&gt;"",$O105&lt;&gt;""),IF($AC105="C",AO48,AI48)*$O105*$R105,0)</f>
        <v>0</v>
      </c>
      <c r="F48" s="47">
        <f t="shared" ref="F48:F67" si="14">IF(AND($D105&lt;&gt;"",$O105&lt;&gt;""),IF($AC105="C",AP48,AJ48)*$O105*$R105,0)</f>
        <v>0</v>
      </c>
      <c r="G48" s="47">
        <f t="shared" ref="G48:G67" si="15">IF(AND($D105&lt;&gt;"",$O105&lt;&gt;""),IF($AC105="C",AQ48,AK48)*$O105*$R105,0)</f>
        <v>0</v>
      </c>
      <c r="H48" s="47">
        <f t="shared" ref="H48:H67" si="16">IF(AND($D105&lt;&gt;"",$O105&lt;&gt;""),IF($AC105="C",AR48,AL48)*$O105*$R105,0)</f>
        <v>0</v>
      </c>
      <c r="I48" s="47">
        <f t="shared" ref="I48:I67" si="17">IF(AND($D105&lt;&gt;"",$O105&lt;&gt;""),IF($AC105="C",AS48,AM48)*$O105*$R105,0)</f>
        <v>0</v>
      </c>
      <c r="J48" s="47">
        <f t="shared" ref="J48:J67" si="18">IF(AND($D105&lt;&gt;"",$O105&lt;&gt;""),IF($AC105="C",AT48,AN48)*$O105*$R105,0)</f>
        <v>0</v>
      </c>
      <c r="K48" s="171"/>
      <c r="L48" s="47">
        <f t="shared" ref="L48:L67" si="19">IF(AND($D105&lt;&gt;"",$O105&lt;&gt;""),IF($AC105="C",AO73,AI73)*$O105*$R105,0)</f>
        <v>0</v>
      </c>
      <c r="M48" s="47">
        <f t="shared" ref="M48:M67" si="20">IF(AND($D105&lt;&gt;"",$O105&lt;&gt;""),IF($AC105="C",AP73,AJ73)*$O105*$R105,0)</f>
        <v>0</v>
      </c>
      <c r="N48" s="47">
        <f t="shared" ref="N48:N67" si="21">IF(AND($D105&lt;&gt;"",$O105&lt;&gt;""),IF($AC105="C",AQ73,AK73)*$O105*$R105,0)</f>
        <v>0</v>
      </c>
      <c r="O48" s="47">
        <f t="shared" ref="O48:O67" si="22">IF(AND($D105&lt;&gt;"",$O105&lt;&gt;""),IF($AC105="C",AR73,AL73)*$O105*$R105,0)</f>
        <v>0</v>
      </c>
      <c r="P48" s="47">
        <f t="shared" ref="P48:P67" si="23">IF(AND($D105&lt;&gt;"",$O105&lt;&gt;""),IF($AC105="C",AS73,AM73)*$O105*$R105,0)</f>
        <v>0</v>
      </c>
      <c r="Q48" s="47">
        <f t="shared" ref="Q48:Q67" si="24">IF(AND($D105&lt;&gt;"",$O105&lt;&gt;""),IF($AC105="C",AT73,AN73)*$O105*$R105,0)</f>
        <v>0</v>
      </c>
      <c r="R48" s="171"/>
      <c r="S48" s="171"/>
      <c r="T48" s="171"/>
      <c r="U48" s="171"/>
      <c r="V48" s="171"/>
      <c r="W48" s="592"/>
      <c r="X48" s="13"/>
      <c r="Y48" s="13"/>
      <c r="Z48" s="13"/>
      <c r="AA48" s="13"/>
      <c r="AB48" s="5"/>
      <c r="AC48" s="5"/>
      <c r="AD48" s="5"/>
      <c r="AE48" s="5"/>
      <c r="AF48" s="5"/>
      <c r="AG48" s="5"/>
      <c r="AH48" s="424">
        <v>1</v>
      </c>
      <c r="AI48" s="338">
        <f t="shared" ref="AI48:AT48" si="25">IF(OR(ScriptSourceCode=1,ScriptSourceCode=3),AI105-AI73,0)</f>
        <v>0</v>
      </c>
      <c r="AJ48" s="338">
        <f t="shared" si="25"/>
        <v>0</v>
      </c>
      <c r="AK48" s="338">
        <f t="shared" si="25"/>
        <v>0</v>
      </c>
      <c r="AL48" s="338">
        <f t="shared" si="25"/>
        <v>0</v>
      </c>
      <c r="AM48" s="338">
        <f t="shared" si="25"/>
        <v>0</v>
      </c>
      <c r="AN48" s="338">
        <f t="shared" si="25"/>
        <v>0</v>
      </c>
      <c r="AO48" s="338">
        <f t="shared" si="25"/>
        <v>0</v>
      </c>
      <c r="AP48" s="338">
        <f t="shared" si="25"/>
        <v>0</v>
      </c>
      <c r="AQ48" s="338">
        <f t="shared" si="25"/>
        <v>0</v>
      </c>
      <c r="AR48" s="338">
        <f t="shared" si="25"/>
        <v>0</v>
      </c>
      <c r="AS48" s="338">
        <f t="shared" si="25"/>
        <v>0</v>
      </c>
      <c r="AT48" s="338">
        <f t="shared" si="25"/>
        <v>0</v>
      </c>
    </row>
    <row r="49" spans="1:46" outlineLevel="1" x14ac:dyDescent="0.2">
      <c r="A49" s="171"/>
      <c r="B49" s="405">
        <f t="shared" si="11"/>
        <v>0</v>
      </c>
      <c r="C49" s="79">
        <v>2</v>
      </c>
      <c r="D49" s="395" t="str">
        <f t="shared" si="12"/>
        <v>** NOT USED **</v>
      </c>
      <c r="E49" s="47">
        <f t="shared" si="13"/>
        <v>0</v>
      </c>
      <c r="F49" s="47">
        <f t="shared" si="14"/>
        <v>0</v>
      </c>
      <c r="G49" s="47">
        <f t="shared" si="15"/>
        <v>0</v>
      </c>
      <c r="H49" s="47">
        <f t="shared" si="16"/>
        <v>0</v>
      </c>
      <c r="I49" s="47">
        <f t="shared" si="17"/>
        <v>0</v>
      </c>
      <c r="J49" s="47">
        <f t="shared" si="18"/>
        <v>0</v>
      </c>
      <c r="K49" s="171"/>
      <c r="L49" s="47">
        <f t="shared" si="19"/>
        <v>0</v>
      </c>
      <c r="M49" s="47">
        <f t="shared" si="20"/>
        <v>0</v>
      </c>
      <c r="N49" s="47">
        <f t="shared" si="21"/>
        <v>0</v>
      </c>
      <c r="O49" s="47">
        <f t="shared" si="22"/>
        <v>0</v>
      </c>
      <c r="P49" s="47">
        <f t="shared" si="23"/>
        <v>0</v>
      </c>
      <c r="Q49" s="47">
        <f t="shared" si="24"/>
        <v>0</v>
      </c>
      <c r="R49" s="171"/>
      <c r="S49" s="171"/>
      <c r="T49" s="171"/>
      <c r="U49" s="171"/>
      <c r="V49" s="171"/>
      <c r="W49" s="592"/>
      <c r="X49" s="13"/>
      <c r="Y49" s="13"/>
      <c r="Z49" s="13"/>
      <c r="AA49" s="13"/>
      <c r="AB49" s="5"/>
      <c r="AC49" s="5"/>
      <c r="AD49" s="5"/>
      <c r="AE49" s="5"/>
      <c r="AF49" s="5"/>
      <c r="AG49" s="5"/>
      <c r="AH49" s="424">
        <v>2</v>
      </c>
      <c r="AI49" s="338">
        <f t="shared" ref="AI49:AT49" si="26">IF(OR(ScriptSourceCode=1,ScriptSourceCode=3),AI106-AI74,0)</f>
        <v>0</v>
      </c>
      <c r="AJ49" s="338">
        <f t="shared" si="26"/>
        <v>0</v>
      </c>
      <c r="AK49" s="338">
        <f t="shared" si="26"/>
        <v>0</v>
      </c>
      <c r="AL49" s="338">
        <f t="shared" si="26"/>
        <v>0</v>
      </c>
      <c r="AM49" s="338">
        <f t="shared" si="26"/>
        <v>0</v>
      </c>
      <c r="AN49" s="338">
        <f t="shared" si="26"/>
        <v>0</v>
      </c>
      <c r="AO49" s="338">
        <f t="shared" si="26"/>
        <v>0</v>
      </c>
      <c r="AP49" s="338">
        <f t="shared" si="26"/>
        <v>0</v>
      </c>
      <c r="AQ49" s="338">
        <f t="shared" si="26"/>
        <v>0</v>
      </c>
      <c r="AR49" s="338">
        <f t="shared" si="26"/>
        <v>0</v>
      </c>
      <c r="AS49" s="338">
        <f t="shared" si="26"/>
        <v>0</v>
      </c>
      <c r="AT49" s="338">
        <f t="shared" si="26"/>
        <v>0</v>
      </c>
    </row>
    <row r="50" spans="1:46" outlineLevel="1" x14ac:dyDescent="0.2">
      <c r="A50" s="171"/>
      <c r="B50" s="405">
        <f t="shared" si="11"/>
        <v>0</v>
      </c>
      <c r="C50" s="79">
        <v>3</v>
      </c>
      <c r="D50" s="395" t="str">
        <f t="shared" si="12"/>
        <v>** NOT USED **</v>
      </c>
      <c r="E50" s="47">
        <f t="shared" si="13"/>
        <v>0</v>
      </c>
      <c r="F50" s="47">
        <f t="shared" si="14"/>
        <v>0</v>
      </c>
      <c r="G50" s="47">
        <f t="shared" si="15"/>
        <v>0</v>
      </c>
      <c r="H50" s="47">
        <f t="shared" si="16"/>
        <v>0</v>
      </c>
      <c r="I50" s="47">
        <f t="shared" si="17"/>
        <v>0</v>
      </c>
      <c r="J50" s="47">
        <f t="shared" si="18"/>
        <v>0</v>
      </c>
      <c r="K50" s="171"/>
      <c r="L50" s="47">
        <f t="shared" si="19"/>
        <v>0</v>
      </c>
      <c r="M50" s="47">
        <f t="shared" si="20"/>
        <v>0</v>
      </c>
      <c r="N50" s="47">
        <f t="shared" si="21"/>
        <v>0</v>
      </c>
      <c r="O50" s="47">
        <f t="shared" si="22"/>
        <v>0</v>
      </c>
      <c r="P50" s="47">
        <f t="shared" si="23"/>
        <v>0</v>
      </c>
      <c r="Q50" s="47">
        <f t="shared" si="24"/>
        <v>0</v>
      </c>
      <c r="R50" s="171"/>
      <c r="S50" s="171"/>
      <c r="T50" s="171"/>
      <c r="U50" s="171"/>
      <c r="V50" s="171"/>
      <c r="W50" s="592"/>
      <c r="X50" s="13"/>
      <c r="Y50" s="13"/>
      <c r="Z50" s="13"/>
      <c r="AA50" s="13"/>
      <c r="AB50" s="5"/>
      <c r="AC50" s="5"/>
      <c r="AD50" s="5"/>
      <c r="AE50" s="5"/>
      <c r="AF50" s="5"/>
      <c r="AG50" s="5"/>
      <c r="AH50" s="424">
        <v>3</v>
      </c>
      <c r="AI50" s="338">
        <f t="shared" ref="AI50:AT50" si="27">IF(OR(ScriptSourceCode=1,ScriptSourceCode=3),AI107-AI75,0)</f>
        <v>0</v>
      </c>
      <c r="AJ50" s="338">
        <f t="shared" si="27"/>
        <v>0</v>
      </c>
      <c r="AK50" s="338">
        <f t="shared" si="27"/>
        <v>0</v>
      </c>
      <c r="AL50" s="338">
        <f t="shared" si="27"/>
        <v>0</v>
      </c>
      <c r="AM50" s="338">
        <f t="shared" si="27"/>
        <v>0</v>
      </c>
      <c r="AN50" s="338">
        <f t="shared" si="27"/>
        <v>0</v>
      </c>
      <c r="AO50" s="338">
        <f t="shared" si="27"/>
        <v>0</v>
      </c>
      <c r="AP50" s="338">
        <f t="shared" si="27"/>
        <v>0</v>
      </c>
      <c r="AQ50" s="338">
        <f t="shared" si="27"/>
        <v>0</v>
      </c>
      <c r="AR50" s="338">
        <f t="shared" si="27"/>
        <v>0</v>
      </c>
      <c r="AS50" s="338">
        <f t="shared" si="27"/>
        <v>0</v>
      </c>
      <c r="AT50" s="338">
        <f t="shared" si="27"/>
        <v>0</v>
      </c>
    </row>
    <row r="51" spans="1:46" outlineLevel="1" x14ac:dyDescent="0.2">
      <c r="A51" s="171"/>
      <c r="B51" s="405">
        <f t="shared" si="11"/>
        <v>0</v>
      </c>
      <c r="C51" s="79">
        <v>4</v>
      </c>
      <c r="D51" s="395" t="str">
        <f t="shared" si="12"/>
        <v>** NOT USED **</v>
      </c>
      <c r="E51" s="47">
        <f t="shared" si="13"/>
        <v>0</v>
      </c>
      <c r="F51" s="47">
        <f t="shared" si="14"/>
        <v>0</v>
      </c>
      <c r="G51" s="47">
        <f t="shared" si="15"/>
        <v>0</v>
      </c>
      <c r="H51" s="47">
        <f t="shared" si="16"/>
        <v>0</v>
      </c>
      <c r="I51" s="47">
        <f t="shared" si="17"/>
        <v>0</v>
      </c>
      <c r="J51" s="47">
        <f t="shared" si="18"/>
        <v>0</v>
      </c>
      <c r="K51" s="171"/>
      <c r="L51" s="47">
        <f t="shared" si="19"/>
        <v>0</v>
      </c>
      <c r="M51" s="47">
        <f t="shared" si="20"/>
        <v>0</v>
      </c>
      <c r="N51" s="47">
        <f t="shared" si="21"/>
        <v>0</v>
      </c>
      <c r="O51" s="47">
        <f t="shared" si="22"/>
        <v>0</v>
      </c>
      <c r="P51" s="47">
        <f t="shared" si="23"/>
        <v>0</v>
      </c>
      <c r="Q51" s="47">
        <f t="shared" si="24"/>
        <v>0</v>
      </c>
      <c r="R51" s="171"/>
      <c r="S51" s="171"/>
      <c r="T51" s="171"/>
      <c r="U51" s="171"/>
      <c r="V51" s="171"/>
      <c r="W51" s="592"/>
      <c r="X51" s="13"/>
      <c r="Y51" s="13"/>
      <c r="Z51" s="13"/>
      <c r="AA51" s="13"/>
      <c r="AB51" s="5"/>
      <c r="AC51" s="5"/>
      <c r="AD51" s="5"/>
      <c r="AE51" s="5"/>
      <c r="AF51" s="5"/>
      <c r="AG51" s="5"/>
      <c r="AH51" s="424">
        <v>4</v>
      </c>
      <c r="AI51" s="338">
        <f t="shared" ref="AI51:AT51" si="28">IF(OR(ScriptSourceCode=1,ScriptSourceCode=3),AI108-AI76,0)</f>
        <v>0</v>
      </c>
      <c r="AJ51" s="338">
        <f t="shared" si="28"/>
        <v>0</v>
      </c>
      <c r="AK51" s="338">
        <f t="shared" si="28"/>
        <v>0</v>
      </c>
      <c r="AL51" s="338">
        <f t="shared" si="28"/>
        <v>0</v>
      </c>
      <c r="AM51" s="338">
        <f t="shared" si="28"/>
        <v>0</v>
      </c>
      <c r="AN51" s="338">
        <f t="shared" si="28"/>
        <v>0</v>
      </c>
      <c r="AO51" s="338">
        <f t="shared" si="28"/>
        <v>0</v>
      </c>
      <c r="AP51" s="338">
        <f t="shared" si="28"/>
        <v>0</v>
      </c>
      <c r="AQ51" s="338">
        <f t="shared" si="28"/>
        <v>0</v>
      </c>
      <c r="AR51" s="338">
        <f t="shared" si="28"/>
        <v>0</v>
      </c>
      <c r="AS51" s="338">
        <f t="shared" si="28"/>
        <v>0</v>
      </c>
      <c r="AT51" s="338">
        <f t="shared" si="28"/>
        <v>0</v>
      </c>
    </row>
    <row r="52" spans="1:46" outlineLevel="1" x14ac:dyDescent="0.2">
      <c r="A52" s="171"/>
      <c r="B52" s="405">
        <f t="shared" si="11"/>
        <v>0</v>
      </c>
      <c r="C52" s="79">
        <v>5</v>
      </c>
      <c r="D52" s="395" t="str">
        <f t="shared" si="12"/>
        <v>** NOT USED **</v>
      </c>
      <c r="E52" s="47">
        <f t="shared" si="13"/>
        <v>0</v>
      </c>
      <c r="F52" s="47">
        <f t="shared" si="14"/>
        <v>0</v>
      </c>
      <c r="G52" s="47">
        <f t="shared" si="15"/>
        <v>0</v>
      </c>
      <c r="H52" s="47">
        <f t="shared" si="16"/>
        <v>0</v>
      </c>
      <c r="I52" s="47">
        <f t="shared" si="17"/>
        <v>0</v>
      </c>
      <c r="J52" s="47">
        <f t="shared" si="18"/>
        <v>0</v>
      </c>
      <c r="K52" s="171"/>
      <c r="L52" s="47">
        <f t="shared" si="19"/>
        <v>0</v>
      </c>
      <c r="M52" s="47">
        <f t="shared" si="20"/>
        <v>0</v>
      </c>
      <c r="N52" s="47">
        <f t="shared" si="21"/>
        <v>0</v>
      </c>
      <c r="O52" s="47">
        <f t="shared" si="22"/>
        <v>0</v>
      </c>
      <c r="P52" s="47">
        <f t="shared" si="23"/>
        <v>0</v>
      </c>
      <c r="Q52" s="47">
        <f t="shared" si="24"/>
        <v>0</v>
      </c>
      <c r="R52" s="171"/>
      <c r="S52" s="171"/>
      <c r="T52" s="171"/>
      <c r="U52" s="171"/>
      <c r="V52" s="171"/>
      <c r="W52" s="592"/>
      <c r="X52" s="13"/>
      <c r="Y52" s="13"/>
      <c r="Z52" s="13"/>
      <c r="AA52" s="13"/>
      <c r="AB52" s="5"/>
      <c r="AC52" s="5"/>
      <c r="AD52" s="5"/>
      <c r="AE52" s="5"/>
      <c r="AF52" s="5"/>
      <c r="AG52" s="5"/>
      <c r="AH52" s="424">
        <v>5</v>
      </c>
      <c r="AI52" s="338">
        <f t="shared" ref="AI52:AT52" si="29">IF(OR(ScriptSourceCode=1,ScriptSourceCode=3),AI109-AI77,0)</f>
        <v>0</v>
      </c>
      <c r="AJ52" s="338">
        <f t="shared" si="29"/>
        <v>0</v>
      </c>
      <c r="AK52" s="338">
        <f t="shared" si="29"/>
        <v>0</v>
      </c>
      <c r="AL52" s="338">
        <f t="shared" si="29"/>
        <v>0</v>
      </c>
      <c r="AM52" s="338">
        <f t="shared" si="29"/>
        <v>0</v>
      </c>
      <c r="AN52" s="338">
        <f t="shared" si="29"/>
        <v>0</v>
      </c>
      <c r="AO52" s="338">
        <f t="shared" si="29"/>
        <v>0</v>
      </c>
      <c r="AP52" s="338">
        <f t="shared" si="29"/>
        <v>0</v>
      </c>
      <c r="AQ52" s="338">
        <f t="shared" si="29"/>
        <v>0</v>
      </c>
      <c r="AR52" s="338">
        <f t="shared" si="29"/>
        <v>0</v>
      </c>
      <c r="AS52" s="338">
        <f t="shared" si="29"/>
        <v>0</v>
      </c>
      <c r="AT52" s="338">
        <f t="shared" si="29"/>
        <v>0</v>
      </c>
    </row>
    <row r="53" spans="1:46" outlineLevel="1" x14ac:dyDescent="0.2">
      <c r="A53" s="171"/>
      <c r="B53" s="405">
        <f t="shared" si="11"/>
        <v>0</v>
      </c>
      <c r="C53" s="79">
        <v>6</v>
      </c>
      <c r="D53" s="395" t="str">
        <f t="shared" si="12"/>
        <v>** NOT USED **</v>
      </c>
      <c r="E53" s="47">
        <f t="shared" si="13"/>
        <v>0</v>
      </c>
      <c r="F53" s="47">
        <f t="shared" si="14"/>
        <v>0</v>
      </c>
      <c r="G53" s="47">
        <f t="shared" si="15"/>
        <v>0</v>
      </c>
      <c r="H53" s="47">
        <f t="shared" si="16"/>
        <v>0</v>
      </c>
      <c r="I53" s="47">
        <f t="shared" si="17"/>
        <v>0</v>
      </c>
      <c r="J53" s="47">
        <f t="shared" si="18"/>
        <v>0</v>
      </c>
      <c r="K53" s="171"/>
      <c r="L53" s="47">
        <f t="shared" si="19"/>
        <v>0</v>
      </c>
      <c r="M53" s="47">
        <f t="shared" si="20"/>
        <v>0</v>
      </c>
      <c r="N53" s="47">
        <f t="shared" si="21"/>
        <v>0</v>
      </c>
      <c r="O53" s="47">
        <f t="shared" si="22"/>
        <v>0</v>
      </c>
      <c r="P53" s="47">
        <f t="shared" si="23"/>
        <v>0</v>
      </c>
      <c r="Q53" s="47">
        <f t="shared" si="24"/>
        <v>0</v>
      </c>
      <c r="R53" s="171"/>
      <c r="S53" s="171"/>
      <c r="T53" s="171"/>
      <c r="U53" s="171"/>
      <c r="V53" s="171"/>
      <c r="W53" s="592"/>
      <c r="X53" s="13"/>
      <c r="Y53" s="13"/>
      <c r="Z53" s="13"/>
      <c r="AA53" s="13"/>
      <c r="AB53" s="5"/>
      <c r="AC53" s="5"/>
      <c r="AD53" s="5"/>
      <c r="AE53" s="5"/>
      <c r="AF53" s="5"/>
      <c r="AG53" s="5"/>
      <c r="AH53" s="424">
        <v>6</v>
      </c>
      <c r="AI53" s="338">
        <f t="shared" ref="AI53:AT53" si="30">IF(OR(ScriptSourceCode=1,ScriptSourceCode=3),AI110-AI78,0)</f>
        <v>0</v>
      </c>
      <c r="AJ53" s="338">
        <f t="shared" si="30"/>
        <v>0</v>
      </c>
      <c r="AK53" s="338">
        <f t="shared" si="30"/>
        <v>0</v>
      </c>
      <c r="AL53" s="338">
        <f t="shared" si="30"/>
        <v>0</v>
      </c>
      <c r="AM53" s="338">
        <f t="shared" si="30"/>
        <v>0</v>
      </c>
      <c r="AN53" s="338">
        <f t="shared" si="30"/>
        <v>0</v>
      </c>
      <c r="AO53" s="338">
        <f t="shared" si="30"/>
        <v>0</v>
      </c>
      <c r="AP53" s="338">
        <f t="shared" si="30"/>
        <v>0</v>
      </c>
      <c r="AQ53" s="338">
        <f t="shared" si="30"/>
        <v>0</v>
      </c>
      <c r="AR53" s="338">
        <f t="shared" si="30"/>
        <v>0</v>
      </c>
      <c r="AS53" s="338">
        <f t="shared" si="30"/>
        <v>0</v>
      </c>
      <c r="AT53" s="338">
        <f t="shared" si="30"/>
        <v>0</v>
      </c>
    </row>
    <row r="54" spans="1:46" outlineLevel="1" x14ac:dyDescent="0.2">
      <c r="A54" s="171"/>
      <c r="B54" s="405">
        <f t="shared" si="11"/>
        <v>0</v>
      </c>
      <c r="C54" s="79">
        <v>7</v>
      </c>
      <c r="D54" s="395" t="str">
        <f t="shared" si="12"/>
        <v>** NOT USED **</v>
      </c>
      <c r="E54" s="47">
        <f t="shared" si="13"/>
        <v>0</v>
      </c>
      <c r="F54" s="47">
        <f t="shared" si="14"/>
        <v>0</v>
      </c>
      <c r="G54" s="47">
        <f t="shared" si="15"/>
        <v>0</v>
      </c>
      <c r="H54" s="47">
        <f t="shared" si="16"/>
        <v>0</v>
      </c>
      <c r="I54" s="47">
        <f t="shared" si="17"/>
        <v>0</v>
      </c>
      <c r="J54" s="47">
        <f t="shared" si="18"/>
        <v>0</v>
      </c>
      <c r="K54" s="171"/>
      <c r="L54" s="47">
        <f t="shared" si="19"/>
        <v>0</v>
      </c>
      <c r="M54" s="47">
        <f t="shared" si="20"/>
        <v>0</v>
      </c>
      <c r="N54" s="47">
        <f t="shared" si="21"/>
        <v>0</v>
      </c>
      <c r="O54" s="47">
        <f t="shared" si="22"/>
        <v>0</v>
      </c>
      <c r="P54" s="47">
        <f t="shared" si="23"/>
        <v>0</v>
      </c>
      <c r="Q54" s="47">
        <f t="shared" si="24"/>
        <v>0</v>
      </c>
      <c r="R54" s="171"/>
      <c r="S54" s="171"/>
      <c r="T54" s="171"/>
      <c r="U54" s="171"/>
      <c r="V54" s="171"/>
      <c r="W54" s="592"/>
      <c r="X54" s="13"/>
      <c r="Y54" s="13"/>
      <c r="Z54" s="13"/>
      <c r="AA54" s="13"/>
      <c r="AB54" s="5"/>
      <c r="AC54" s="5"/>
      <c r="AD54" s="5"/>
      <c r="AE54" s="5"/>
      <c r="AF54" s="5"/>
      <c r="AG54" s="5"/>
      <c r="AH54" s="424">
        <v>7</v>
      </c>
      <c r="AI54" s="338">
        <f t="shared" ref="AI54:AT54" si="31">IF(OR(ScriptSourceCode=1,ScriptSourceCode=3),AI111-AI79,0)</f>
        <v>0</v>
      </c>
      <c r="AJ54" s="338">
        <f t="shared" si="31"/>
        <v>0</v>
      </c>
      <c r="AK54" s="338">
        <f t="shared" si="31"/>
        <v>0</v>
      </c>
      <c r="AL54" s="338">
        <f t="shared" si="31"/>
        <v>0</v>
      </c>
      <c r="AM54" s="338">
        <f t="shared" si="31"/>
        <v>0</v>
      </c>
      <c r="AN54" s="338">
        <f t="shared" si="31"/>
        <v>0</v>
      </c>
      <c r="AO54" s="338">
        <f t="shared" si="31"/>
        <v>0</v>
      </c>
      <c r="AP54" s="338">
        <f t="shared" si="31"/>
        <v>0</v>
      </c>
      <c r="AQ54" s="338">
        <f t="shared" si="31"/>
        <v>0</v>
      </c>
      <c r="AR54" s="338">
        <f t="shared" si="31"/>
        <v>0</v>
      </c>
      <c r="AS54" s="338">
        <f t="shared" si="31"/>
        <v>0</v>
      </c>
      <c r="AT54" s="338">
        <f t="shared" si="31"/>
        <v>0</v>
      </c>
    </row>
    <row r="55" spans="1:46" outlineLevel="1" x14ac:dyDescent="0.2">
      <c r="A55" s="171"/>
      <c r="B55" s="405">
        <f t="shared" si="11"/>
        <v>0</v>
      </c>
      <c r="C55" s="79">
        <v>8</v>
      </c>
      <c r="D55" s="395" t="str">
        <f t="shared" si="12"/>
        <v>** NOT USED **</v>
      </c>
      <c r="E55" s="47">
        <f t="shared" si="13"/>
        <v>0</v>
      </c>
      <c r="F55" s="47">
        <f t="shared" si="14"/>
        <v>0</v>
      </c>
      <c r="G55" s="47">
        <f t="shared" si="15"/>
        <v>0</v>
      </c>
      <c r="H55" s="47">
        <f t="shared" si="16"/>
        <v>0</v>
      </c>
      <c r="I55" s="47">
        <f t="shared" si="17"/>
        <v>0</v>
      </c>
      <c r="J55" s="47">
        <f t="shared" si="18"/>
        <v>0</v>
      </c>
      <c r="K55" s="171"/>
      <c r="L55" s="47">
        <f t="shared" si="19"/>
        <v>0</v>
      </c>
      <c r="M55" s="47">
        <f t="shared" si="20"/>
        <v>0</v>
      </c>
      <c r="N55" s="47">
        <f t="shared" si="21"/>
        <v>0</v>
      </c>
      <c r="O55" s="47">
        <f t="shared" si="22"/>
        <v>0</v>
      </c>
      <c r="P55" s="47">
        <f t="shared" si="23"/>
        <v>0</v>
      </c>
      <c r="Q55" s="47">
        <f t="shared" si="24"/>
        <v>0</v>
      </c>
      <c r="R55" s="171"/>
      <c r="S55" s="171"/>
      <c r="T55" s="171"/>
      <c r="U55" s="171"/>
      <c r="V55" s="171"/>
      <c r="W55" s="592"/>
      <c r="X55" s="13"/>
      <c r="Y55" s="13"/>
      <c r="Z55" s="13"/>
      <c r="AA55" s="13"/>
      <c r="AB55" s="5"/>
      <c r="AC55" s="5"/>
      <c r="AD55" s="5"/>
      <c r="AE55" s="5"/>
      <c r="AF55" s="5"/>
      <c r="AG55" s="5"/>
      <c r="AH55" s="424">
        <v>8</v>
      </c>
      <c r="AI55" s="338">
        <f t="shared" ref="AI55:AT55" si="32">IF(OR(ScriptSourceCode=1,ScriptSourceCode=3),AI112-AI80,0)</f>
        <v>0</v>
      </c>
      <c r="AJ55" s="338">
        <f t="shared" si="32"/>
        <v>0</v>
      </c>
      <c r="AK55" s="338">
        <f t="shared" si="32"/>
        <v>0</v>
      </c>
      <c r="AL55" s="338">
        <f t="shared" si="32"/>
        <v>0</v>
      </c>
      <c r="AM55" s="338">
        <f t="shared" si="32"/>
        <v>0</v>
      </c>
      <c r="AN55" s="338">
        <f t="shared" si="32"/>
        <v>0</v>
      </c>
      <c r="AO55" s="338">
        <f t="shared" si="32"/>
        <v>0</v>
      </c>
      <c r="AP55" s="338">
        <f t="shared" si="32"/>
        <v>0</v>
      </c>
      <c r="AQ55" s="338">
        <f t="shared" si="32"/>
        <v>0</v>
      </c>
      <c r="AR55" s="338">
        <f t="shared" si="32"/>
        <v>0</v>
      </c>
      <c r="AS55" s="338">
        <f t="shared" si="32"/>
        <v>0</v>
      </c>
      <c r="AT55" s="338">
        <f t="shared" si="32"/>
        <v>0</v>
      </c>
    </row>
    <row r="56" spans="1:46" outlineLevel="1" x14ac:dyDescent="0.2">
      <c r="A56" s="171"/>
      <c r="B56" s="405">
        <f t="shared" si="11"/>
        <v>0</v>
      </c>
      <c r="C56" s="79">
        <v>9</v>
      </c>
      <c r="D56" s="395" t="str">
        <f t="shared" si="12"/>
        <v>** NOT USED **</v>
      </c>
      <c r="E56" s="47">
        <f t="shared" si="13"/>
        <v>0</v>
      </c>
      <c r="F56" s="47">
        <f t="shared" si="14"/>
        <v>0</v>
      </c>
      <c r="G56" s="47">
        <f t="shared" si="15"/>
        <v>0</v>
      </c>
      <c r="H56" s="47">
        <f t="shared" si="16"/>
        <v>0</v>
      </c>
      <c r="I56" s="47">
        <f t="shared" si="17"/>
        <v>0</v>
      </c>
      <c r="J56" s="47">
        <f t="shared" si="18"/>
        <v>0</v>
      </c>
      <c r="K56" s="171"/>
      <c r="L56" s="47">
        <f t="shared" si="19"/>
        <v>0</v>
      </c>
      <c r="M56" s="47">
        <f t="shared" si="20"/>
        <v>0</v>
      </c>
      <c r="N56" s="47">
        <f t="shared" si="21"/>
        <v>0</v>
      </c>
      <c r="O56" s="47">
        <f t="shared" si="22"/>
        <v>0</v>
      </c>
      <c r="P56" s="47">
        <f t="shared" si="23"/>
        <v>0</v>
      </c>
      <c r="Q56" s="47">
        <f t="shared" si="24"/>
        <v>0</v>
      </c>
      <c r="R56" s="171"/>
      <c r="S56" s="171"/>
      <c r="T56" s="171"/>
      <c r="U56" s="171"/>
      <c r="V56" s="171"/>
      <c r="W56" s="592"/>
      <c r="X56" s="13"/>
      <c r="Y56" s="13"/>
      <c r="Z56" s="13"/>
      <c r="AA56" s="13"/>
      <c r="AB56" s="5"/>
      <c r="AC56" s="5"/>
      <c r="AD56" s="5"/>
      <c r="AE56" s="5"/>
      <c r="AF56" s="5"/>
      <c r="AG56" s="5"/>
      <c r="AH56" s="424">
        <v>9</v>
      </c>
      <c r="AI56" s="338">
        <f t="shared" ref="AI56:AT56" si="33">IF(OR(ScriptSourceCode=1,ScriptSourceCode=3),AI113-AI81,0)</f>
        <v>0</v>
      </c>
      <c r="AJ56" s="338">
        <f t="shared" si="33"/>
        <v>0</v>
      </c>
      <c r="AK56" s="338">
        <f t="shared" si="33"/>
        <v>0</v>
      </c>
      <c r="AL56" s="338">
        <f t="shared" si="33"/>
        <v>0</v>
      </c>
      <c r="AM56" s="338">
        <f t="shared" si="33"/>
        <v>0</v>
      </c>
      <c r="AN56" s="338">
        <f t="shared" si="33"/>
        <v>0</v>
      </c>
      <c r="AO56" s="338">
        <f t="shared" si="33"/>
        <v>0</v>
      </c>
      <c r="AP56" s="338">
        <f t="shared" si="33"/>
        <v>0</v>
      </c>
      <c r="AQ56" s="338">
        <f t="shared" si="33"/>
        <v>0</v>
      </c>
      <c r="AR56" s="338">
        <f t="shared" si="33"/>
        <v>0</v>
      </c>
      <c r="AS56" s="338">
        <f t="shared" si="33"/>
        <v>0</v>
      </c>
      <c r="AT56" s="338">
        <f t="shared" si="33"/>
        <v>0</v>
      </c>
    </row>
    <row r="57" spans="1:46" outlineLevel="1" x14ac:dyDescent="0.2">
      <c r="A57" s="171"/>
      <c r="B57" s="405">
        <f t="shared" si="11"/>
        <v>0</v>
      </c>
      <c r="C57" s="79">
        <v>10</v>
      </c>
      <c r="D57" s="395" t="str">
        <f t="shared" si="12"/>
        <v>** NOT USED **</v>
      </c>
      <c r="E57" s="47">
        <f t="shared" si="13"/>
        <v>0</v>
      </c>
      <c r="F57" s="47">
        <f t="shared" si="14"/>
        <v>0</v>
      </c>
      <c r="G57" s="47">
        <f t="shared" si="15"/>
        <v>0</v>
      </c>
      <c r="H57" s="47">
        <f t="shared" si="16"/>
        <v>0</v>
      </c>
      <c r="I57" s="47">
        <f t="shared" si="17"/>
        <v>0</v>
      </c>
      <c r="J57" s="47">
        <f t="shared" si="18"/>
        <v>0</v>
      </c>
      <c r="K57" s="171"/>
      <c r="L57" s="47">
        <f t="shared" si="19"/>
        <v>0</v>
      </c>
      <c r="M57" s="47">
        <f t="shared" si="20"/>
        <v>0</v>
      </c>
      <c r="N57" s="47">
        <f t="shared" si="21"/>
        <v>0</v>
      </c>
      <c r="O57" s="47">
        <f t="shared" si="22"/>
        <v>0</v>
      </c>
      <c r="P57" s="47">
        <f t="shared" si="23"/>
        <v>0</v>
      </c>
      <c r="Q57" s="47">
        <f t="shared" si="24"/>
        <v>0</v>
      </c>
      <c r="R57" s="171"/>
      <c r="S57" s="171"/>
      <c r="T57" s="171"/>
      <c r="U57" s="171"/>
      <c r="V57" s="171"/>
      <c r="W57" s="592"/>
      <c r="X57" s="13"/>
      <c r="Y57" s="13"/>
      <c r="Z57" s="13"/>
      <c r="AA57" s="13"/>
      <c r="AB57" s="5"/>
      <c r="AC57" s="5"/>
      <c r="AD57" s="5"/>
      <c r="AE57" s="5"/>
      <c r="AF57" s="5"/>
      <c r="AG57" s="5"/>
      <c r="AH57" s="424">
        <v>10</v>
      </c>
      <c r="AI57" s="338">
        <f t="shared" ref="AI57:AT57" si="34">IF(OR(ScriptSourceCode=1,ScriptSourceCode=3),AI114-AI82,0)</f>
        <v>0</v>
      </c>
      <c r="AJ57" s="338">
        <f t="shared" si="34"/>
        <v>0</v>
      </c>
      <c r="AK57" s="338">
        <f t="shared" si="34"/>
        <v>0</v>
      </c>
      <c r="AL57" s="338">
        <f t="shared" si="34"/>
        <v>0</v>
      </c>
      <c r="AM57" s="338">
        <f t="shared" si="34"/>
        <v>0</v>
      </c>
      <c r="AN57" s="338">
        <f t="shared" si="34"/>
        <v>0</v>
      </c>
      <c r="AO57" s="338">
        <f t="shared" si="34"/>
        <v>0</v>
      </c>
      <c r="AP57" s="338">
        <f t="shared" si="34"/>
        <v>0</v>
      </c>
      <c r="AQ57" s="338">
        <f t="shared" si="34"/>
        <v>0</v>
      </c>
      <c r="AR57" s="338">
        <f t="shared" si="34"/>
        <v>0</v>
      </c>
      <c r="AS57" s="338">
        <f t="shared" si="34"/>
        <v>0</v>
      </c>
      <c r="AT57" s="338">
        <f t="shared" si="34"/>
        <v>0</v>
      </c>
    </row>
    <row r="58" spans="1:46" outlineLevel="1" x14ac:dyDescent="0.2">
      <c r="A58" s="171"/>
      <c r="B58" s="405">
        <f t="shared" si="11"/>
        <v>0</v>
      </c>
      <c r="C58" s="79">
        <v>11</v>
      </c>
      <c r="D58" s="417" t="str">
        <f t="shared" si="12"/>
        <v>** NOT USED **</v>
      </c>
      <c r="E58" s="47">
        <f t="shared" si="13"/>
        <v>0</v>
      </c>
      <c r="F58" s="47">
        <f t="shared" si="14"/>
        <v>0</v>
      </c>
      <c r="G58" s="47">
        <f t="shared" si="15"/>
        <v>0</v>
      </c>
      <c r="H58" s="47">
        <f t="shared" si="16"/>
        <v>0</v>
      </c>
      <c r="I58" s="47">
        <f t="shared" si="17"/>
        <v>0</v>
      </c>
      <c r="J58" s="47">
        <f t="shared" si="18"/>
        <v>0</v>
      </c>
      <c r="K58" s="171"/>
      <c r="L58" s="47">
        <f t="shared" si="19"/>
        <v>0</v>
      </c>
      <c r="M58" s="47">
        <f t="shared" si="20"/>
        <v>0</v>
      </c>
      <c r="N58" s="47">
        <f t="shared" si="21"/>
        <v>0</v>
      </c>
      <c r="O58" s="47">
        <f t="shared" si="22"/>
        <v>0</v>
      </c>
      <c r="P58" s="47">
        <f t="shared" si="23"/>
        <v>0</v>
      </c>
      <c r="Q58" s="47">
        <f t="shared" si="24"/>
        <v>0</v>
      </c>
      <c r="R58" s="171"/>
      <c r="S58" s="171"/>
      <c r="T58" s="171"/>
      <c r="U58" s="171"/>
      <c r="V58" s="171"/>
      <c r="W58" s="592"/>
      <c r="X58" s="13"/>
      <c r="Y58" s="13"/>
      <c r="Z58" s="13"/>
      <c r="AA58" s="13"/>
      <c r="AB58" s="5"/>
      <c r="AC58" s="5"/>
      <c r="AD58" s="5"/>
      <c r="AE58" s="5"/>
      <c r="AF58" s="5"/>
      <c r="AG58" s="5"/>
      <c r="AH58" s="424">
        <v>11</v>
      </c>
      <c r="AI58" s="338">
        <f t="shared" ref="AI58:AT58" si="35">IF(OR(ScriptSourceCode=1,ScriptSourceCode=3),AI115-AI83,0)</f>
        <v>0</v>
      </c>
      <c r="AJ58" s="338">
        <f t="shared" si="35"/>
        <v>0</v>
      </c>
      <c r="AK58" s="338">
        <f t="shared" si="35"/>
        <v>0</v>
      </c>
      <c r="AL58" s="338">
        <f t="shared" si="35"/>
        <v>0</v>
      </c>
      <c r="AM58" s="338">
        <f t="shared" si="35"/>
        <v>0</v>
      </c>
      <c r="AN58" s="338">
        <f t="shared" si="35"/>
        <v>0</v>
      </c>
      <c r="AO58" s="338">
        <f t="shared" si="35"/>
        <v>0</v>
      </c>
      <c r="AP58" s="338">
        <f t="shared" si="35"/>
        <v>0</v>
      </c>
      <c r="AQ58" s="338">
        <f t="shared" si="35"/>
        <v>0</v>
      </c>
      <c r="AR58" s="338">
        <f t="shared" si="35"/>
        <v>0</v>
      </c>
      <c r="AS58" s="338">
        <f t="shared" si="35"/>
        <v>0</v>
      </c>
      <c r="AT58" s="338">
        <f t="shared" si="35"/>
        <v>0</v>
      </c>
    </row>
    <row r="59" spans="1:46" outlineLevel="1" x14ac:dyDescent="0.2">
      <c r="A59" s="171"/>
      <c r="B59" s="405">
        <f t="shared" si="11"/>
        <v>0</v>
      </c>
      <c r="C59" s="79">
        <v>12</v>
      </c>
      <c r="D59" s="417" t="str">
        <f t="shared" si="12"/>
        <v>** NOT USED **</v>
      </c>
      <c r="E59" s="47">
        <f t="shared" si="13"/>
        <v>0</v>
      </c>
      <c r="F59" s="47">
        <f t="shared" si="14"/>
        <v>0</v>
      </c>
      <c r="G59" s="47">
        <f t="shared" si="15"/>
        <v>0</v>
      </c>
      <c r="H59" s="47">
        <f t="shared" si="16"/>
        <v>0</v>
      </c>
      <c r="I59" s="47">
        <f t="shared" si="17"/>
        <v>0</v>
      </c>
      <c r="J59" s="47">
        <f t="shared" si="18"/>
        <v>0</v>
      </c>
      <c r="K59" s="171"/>
      <c r="L59" s="47">
        <f t="shared" si="19"/>
        <v>0</v>
      </c>
      <c r="M59" s="47">
        <f t="shared" si="20"/>
        <v>0</v>
      </c>
      <c r="N59" s="47">
        <f t="shared" si="21"/>
        <v>0</v>
      </c>
      <c r="O59" s="47">
        <f t="shared" si="22"/>
        <v>0</v>
      </c>
      <c r="P59" s="47">
        <f t="shared" si="23"/>
        <v>0</v>
      </c>
      <c r="Q59" s="47">
        <f t="shared" si="24"/>
        <v>0</v>
      </c>
      <c r="R59" s="171"/>
      <c r="S59" s="171"/>
      <c r="T59" s="171"/>
      <c r="U59" s="171"/>
      <c r="V59" s="171"/>
      <c r="W59" s="592"/>
      <c r="X59" s="13"/>
      <c r="Y59" s="13"/>
      <c r="Z59" s="13"/>
      <c r="AA59" s="13"/>
      <c r="AB59" s="5"/>
      <c r="AC59" s="5"/>
      <c r="AD59" s="5"/>
      <c r="AE59" s="5"/>
      <c r="AF59" s="5"/>
      <c r="AG59" s="5"/>
      <c r="AH59" s="424">
        <v>12</v>
      </c>
      <c r="AI59" s="338">
        <f t="shared" ref="AI59:AT59" si="36">IF(OR(ScriptSourceCode=1,ScriptSourceCode=3),AI116-AI84,0)</f>
        <v>0</v>
      </c>
      <c r="AJ59" s="338">
        <f t="shared" si="36"/>
        <v>0</v>
      </c>
      <c r="AK59" s="338">
        <f t="shared" si="36"/>
        <v>0</v>
      </c>
      <c r="AL59" s="338">
        <f t="shared" si="36"/>
        <v>0</v>
      </c>
      <c r="AM59" s="338">
        <f t="shared" si="36"/>
        <v>0</v>
      </c>
      <c r="AN59" s="338">
        <f t="shared" si="36"/>
        <v>0</v>
      </c>
      <c r="AO59" s="338">
        <f t="shared" si="36"/>
        <v>0</v>
      </c>
      <c r="AP59" s="338">
        <f t="shared" si="36"/>
        <v>0</v>
      </c>
      <c r="AQ59" s="338">
        <f t="shared" si="36"/>
        <v>0</v>
      </c>
      <c r="AR59" s="338">
        <f t="shared" si="36"/>
        <v>0</v>
      </c>
      <c r="AS59" s="338">
        <f t="shared" si="36"/>
        <v>0</v>
      </c>
      <c r="AT59" s="338">
        <f t="shared" si="36"/>
        <v>0</v>
      </c>
    </row>
    <row r="60" spans="1:46" outlineLevel="1" x14ac:dyDescent="0.2">
      <c r="A60" s="171"/>
      <c r="B60" s="405">
        <f t="shared" si="11"/>
        <v>0</v>
      </c>
      <c r="C60" s="79">
        <v>13</v>
      </c>
      <c r="D60" s="417" t="str">
        <f t="shared" si="12"/>
        <v>** NOT USED **</v>
      </c>
      <c r="E60" s="47">
        <f t="shared" si="13"/>
        <v>0</v>
      </c>
      <c r="F60" s="47">
        <f t="shared" si="14"/>
        <v>0</v>
      </c>
      <c r="G60" s="47">
        <f t="shared" si="15"/>
        <v>0</v>
      </c>
      <c r="H60" s="47">
        <f t="shared" si="16"/>
        <v>0</v>
      </c>
      <c r="I60" s="47">
        <f t="shared" si="17"/>
        <v>0</v>
      </c>
      <c r="J60" s="47">
        <f t="shared" si="18"/>
        <v>0</v>
      </c>
      <c r="K60" s="171"/>
      <c r="L60" s="47">
        <f t="shared" si="19"/>
        <v>0</v>
      </c>
      <c r="M60" s="47">
        <f t="shared" si="20"/>
        <v>0</v>
      </c>
      <c r="N60" s="47">
        <f t="shared" si="21"/>
        <v>0</v>
      </c>
      <c r="O60" s="47">
        <f t="shared" si="22"/>
        <v>0</v>
      </c>
      <c r="P60" s="47">
        <f t="shared" si="23"/>
        <v>0</v>
      </c>
      <c r="Q60" s="47">
        <f t="shared" si="24"/>
        <v>0</v>
      </c>
      <c r="R60" s="171"/>
      <c r="S60" s="171"/>
      <c r="T60" s="171"/>
      <c r="U60" s="171"/>
      <c r="V60" s="171"/>
      <c r="W60" s="592"/>
      <c r="X60" s="13"/>
      <c r="Y60" s="13"/>
      <c r="Z60" s="13"/>
      <c r="AA60" s="13"/>
      <c r="AB60" s="5"/>
      <c r="AC60" s="5"/>
      <c r="AD60" s="5"/>
      <c r="AE60" s="5"/>
      <c r="AF60" s="5"/>
      <c r="AG60" s="5"/>
      <c r="AH60" s="424">
        <v>13</v>
      </c>
      <c r="AI60" s="338">
        <f t="shared" ref="AI60:AT60" si="37">IF(OR(ScriptSourceCode=1,ScriptSourceCode=3),AI117-AI85,0)</f>
        <v>0</v>
      </c>
      <c r="AJ60" s="338">
        <f t="shared" si="37"/>
        <v>0</v>
      </c>
      <c r="AK60" s="338">
        <f t="shared" si="37"/>
        <v>0</v>
      </c>
      <c r="AL60" s="338">
        <f t="shared" si="37"/>
        <v>0</v>
      </c>
      <c r="AM60" s="338">
        <f t="shared" si="37"/>
        <v>0</v>
      </c>
      <c r="AN60" s="338">
        <f t="shared" si="37"/>
        <v>0</v>
      </c>
      <c r="AO60" s="338">
        <f t="shared" si="37"/>
        <v>0</v>
      </c>
      <c r="AP60" s="338">
        <f t="shared" si="37"/>
        <v>0</v>
      </c>
      <c r="AQ60" s="338">
        <f t="shared" si="37"/>
        <v>0</v>
      </c>
      <c r="AR60" s="338">
        <f t="shared" si="37"/>
        <v>0</v>
      </c>
      <c r="AS60" s="338">
        <f t="shared" si="37"/>
        <v>0</v>
      </c>
      <c r="AT60" s="338">
        <f t="shared" si="37"/>
        <v>0</v>
      </c>
    </row>
    <row r="61" spans="1:46" outlineLevel="1" x14ac:dyDescent="0.2">
      <c r="A61" s="171"/>
      <c r="B61" s="405">
        <f t="shared" si="11"/>
        <v>0</v>
      </c>
      <c r="C61" s="79">
        <v>14</v>
      </c>
      <c r="D61" s="417" t="str">
        <f t="shared" si="12"/>
        <v>** NOT USED **</v>
      </c>
      <c r="E61" s="47">
        <f t="shared" si="13"/>
        <v>0</v>
      </c>
      <c r="F61" s="47">
        <f t="shared" si="14"/>
        <v>0</v>
      </c>
      <c r="G61" s="47">
        <f t="shared" si="15"/>
        <v>0</v>
      </c>
      <c r="H61" s="47">
        <f t="shared" si="16"/>
        <v>0</v>
      </c>
      <c r="I61" s="47">
        <f t="shared" si="17"/>
        <v>0</v>
      </c>
      <c r="J61" s="47">
        <f t="shared" si="18"/>
        <v>0</v>
      </c>
      <c r="K61" s="171"/>
      <c r="L61" s="47">
        <f t="shared" si="19"/>
        <v>0</v>
      </c>
      <c r="M61" s="47">
        <f t="shared" si="20"/>
        <v>0</v>
      </c>
      <c r="N61" s="47">
        <f t="shared" si="21"/>
        <v>0</v>
      </c>
      <c r="O61" s="47">
        <f t="shared" si="22"/>
        <v>0</v>
      </c>
      <c r="P61" s="47">
        <f t="shared" si="23"/>
        <v>0</v>
      </c>
      <c r="Q61" s="47">
        <f t="shared" si="24"/>
        <v>0</v>
      </c>
      <c r="R61" s="171"/>
      <c r="S61" s="171"/>
      <c r="T61" s="171"/>
      <c r="U61" s="171"/>
      <c r="V61" s="171"/>
      <c r="W61" s="592"/>
      <c r="X61" s="13"/>
      <c r="Y61" s="13"/>
      <c r="Z61" s="13"/>
      <c r="AA61" s="13"/>
      <c r="AB61" s="5"/>
      <c r="AC61" s="5"/>
      <c r="AD61" s="5"/>
      <c r="AE61" s="5"/>
      <c r="AF61" s="5"/>
      <c r="AG61" s="5"/>
      <c r="AH61" s="424">
        <v>14</v>
      </c>
      <c r="AI61" s="338">
        <f t="shared" ref="AI61:AT61" si="38">IF(OR(ScriptSourceCode=1,ScriptSourceCode=3),AI118-AI86,0)</f>
        <v>0</v>
      </c>
      <c r="AJ61" s="338">
        <f t="shared" si="38"/>
        <v>0</v>
      </c>
      <c r="AK61" s="338">
        <f t="shared" si="38"/>
        <v>0</v>
      </c>
      <c r="AL61" s="338">
        <f t="shared" si="38"/>
        <v>0</v>
      </c>
      <c r="AM61" s="338">
        <f t="shared" si="38"/>
        <v>0</v>
      </c>
      <c r="AN61" s="338">
        <f t="shared" si="38"/>
        <v>0</v>
      </c>
      <c r="AO61" s="338">
        <f t="shared" si="38"/>
        <v>0</v>
      </c>
      <c r="AP61" s="338">
        <f t="shared" si="38"/>
        <v>0</v>
      </c>
      <c r="AQ61" s="338">
        <f t="shared" si="38"/>
        <v>0</v>
      </c>
      <c r="AR61" s="338">
        <f t="shared" si="38"/>
        <v>0</v>
      </c>
      <c r="AS61" s="338">
        <f t="shared" si="38"/>
        <v>0</v>
      </c>
      <c r="AT61" s="338">
        <f t="shared" si="38"/>
        <v>0</v>
      </c>
    </row>
    <row r="62" spans="1:46" outlineLevel="1" x14ac:dyDescent="0.2">
      <c r="A62" s="171"/>
      <c r="B62" s="405">
        <f t="shared" si="11"/>
        <v>0</v>
      </c>
      <c r="C62" s="79">
        <v>15</v>
      </c>
      <c r="D62" s="417" t="str">
        <f t="shared" si="12"/>
        <v>** NOT USED **</v>
      </c>
      <c r="E62" s="47">
        <f t="shared" si="13"/>
        <v>0</v>
      </c>
      <c r="F62" s="47">
        <f t="shared" si="14"/>
        <v>0</v>
      </c>
      <c r="G62" s="47">
        <f t="shared" si="15"/>
        <v>0</v>
      </c>
      <c r="H62" s="47">
        <f t="shared" si="16"/>
        <v>0</v>
      </c>
      <c r="I62" s="47">
        <f t="shared" si="17"/>
        <v>0</v>
      </c>
      <c r="J62" s="47">
        <f t="shared" si="18"/>
        <v>0</v>
      </c>
      <c r="K62" s="171"/>
      <c r="L62" s="47">
        <f t="shared" si="19"/>
        <v>0</v>
      </c>
      <c r="M62" s="47">
        <f t="shared" si="20"/>
        <v>0</v>
      </c>
      <c r="N62" s="47">
        <f t="shared" si="21"/>
        <v>0</v>
      </c>
      <c r="O62" s="47">
        <f t="shared" si="22"/>
        <v>0</v>
      </c>
      <c r="P62" s="47">
        <f t="shared" si="23"/>
        <v>0</v>
      </c>
      <c r="Q62" s="47">
        <f t="shared" si="24"/>
        <v>0</v>
      </c>
      <c r="R62" s="171"/>
      <c r="S62" s="171"/>
      <c r="T62" s="171"/>
      <c r="U62" s="171"/>
      <c r="V62" s="171"/>
      <c r="W62" s="592"/>
      <c r="X62" s="13"/>
      <c r="Y62" s="13"/>
      <c r="Z62" s="13"/>
      <c r="AA62" s="13"/>
      <c r="AB62" s="5"/>
      <c r="AC62" s="5"/>
      <c r="AD62" s="5"/>
      <c r="AE62" s="5"/>
      <c r="AF62" s="5"/>
      <c r="AG62" s="5"/>
      <c r="AH62" s="424">
        <v>15</v>
      </c>
      <c r="AI62" s="338">
        <f t="shared" ref="AI62:AT62" si="39">IF(OR(ScriptSourceCode=1,ScriptSourceCode=3),AI119-AI87,0)</f>
        <v>0</v>
      </c>
      <c r="AJ62" s="338">
        <f t="shared" si="39"/>
        <v>0</v>
      </c>
      <c r="AK62" s="338">
        <f t="shared" si="39"/>
        <v>0</v>
      </c>
      <c r="AL62" s="338">
        <f t="shared" si="39"/>
        <v>0</v>
      </c>
      <c r="AM62" s="338">
        <f t="shared" si="39"/>
        <v>0</v>
      </c>
      <c r="AN62" s="338">
        <f t="shared" si="39"/>
        <v>0</v>
      </c>
      <c r="AO62" s="338">
        <f t="shared" si="39"/>
        <v>0</v>
      </c>
      <c r="AP62" s="338">
        <f t="shared" si="39"/>
        <v>0</v>
      </c>
      <c r="AQ62" s="338">
        <f t="shared" si="39"/>
        <v>0</v>
      </c>
      <c r="AR62" s="338">
        <f t="shared" si="39"/>
        <v>0</v>
      </c>
      <c r="AS62" s="338">
        <f t="shared" si="39"/>
        <v>0</v>
      </c>
      <c r="AT62" s="338">
        <f t="shared" si="39"/>
        <v>0</v>
      </c>
    </row>
    <row r="63" spans="1:46" outlineLevel="1" x14ac:dyDescent="0.2">
      <c r="A63" s="171"/>
      <c r="B63" s="405">
        <f t="shared" si="11"/>
        <v>0</v>
      </c>
      <c r="C63" s="79">
        <v>16</v>
      </c>
      <c r="D63" s="417" t="str">
        <f t="shared" si="12"/>
        <v>** NOT USED **</v>
      </c>
      <c r="E63" s="47">
        <f t="shared" si="13"/>
        <v>0</v>
      </c>
      <c r="F63" s="47">
        <f t="shared" si="14"/>
        <v>0</v>
      </c>
      <c r="G63" s="47">
        <f t="shared" si="15"/>
        <v>0</v>
      </c>
      <c r="H63" s="47">
        <f t="shared" si="16"/>
        <v>0</v>
      </c>
      <c r="I63" s="47">
        <f t="shared" si="17"/>
        <v>0</v>
      </c>
      <c r="J63" s="47">
        <f t="shared" si="18"/>
        <v>0</v>
      </c>
      <c r="K63" s="171"/>
      <c r="L63" s="47">
        <f t="shared" si="19"/>
        <v>0</v>
      </c>
      <c r="M63" s="47">
        <f t="shared" si="20"/>
        <v>0</v>
      </c>
      <c r="N63" s="47">
        <f t="shared" si="21"/>
        <v>0</v>
      </c>
      <c r="O63" s="47">
        <f t="shared" si="22"/>
        <v>0</v>
      </c>
      <c r="P63" s="47">
        <f t="shared" si="23"/>
        <v>0</v>
      </c>
      <c r="Q63" s="47">
        <f t="shared" si="24"/>
        <v>0</v>
      </c>
      <c r="R63" s="171"/>
      <c r="S63" s="171"/>
      <c r="T63" s="171"/>
      <c r="U63" s="171"/>
      <c r="V63" s="171"/>
      <c r="W63" s="592"/>
      <c r="X63" s="13"/>
      <c r="Y63" s="13"/>
      <c r="Z63" s="13"/>
      <c r="AA63" s="13"/>
      <c r="AB63" s="5"/>
      <c r="AC63" s="5"/>
      <c r="AD63" s="5"/>
      <c r="AE63" s="5"/>
      <c r="AF63" s="5"/>
      <c r="AG63" s="5"/>
      <c r="AH63" s="424">
        <v>16</v>
      </c>
      <c r="AI63" s="338">
        <f t="shared" ref="AI63:AT63" si="40">IF(OR(ScriptSourceCode=1,ScriptSourceCode=3),AI120-AI88,0)</f>
        <v>0</v>
      </c>
      <c r="AJ63" s="338">
        <f t="shared" si="40"/>
        <v>0</v>
      </c>
      <c r="AK63" s="338">
        <f t="shared" si="40"/>
        <v>0</v>
      </c>
      <c r="AL63" s="338">
        <f t="shared" si="40"/>
        <v>0</v>
      </c>
      <c r="AM63" s="338">
        <f t="shared" si="40"/>
        <v>0</v>
      </c>
      <c r="AN63" s="338">
        <f t="shared" si="40"/>
        <v>0</v>
      </c>
      <c r="AO63" s="338">
        <f t="shared" si="40"/>
        <v>0</v>
      </c>
      <c r="AP63" s="338">
        <f t="shared" si="40"/>
        <v>0</v>
      </c>
      <c r="AQ63" s="338">
        <f t="shared" si="40"/>
        <v>0</v>
      </c>
      <c r="AR63" s="338">
        <f t="shared" si="40"/>
        <v>0</v>
      </c>
      <c r="AS63" s="338">
        <f t="shared" si="40"/>
        <v>0</v>
      </c>
      <c r="AT63" s="338">
        <f t="shared" si="40"/>
        <v>0</v>
      </c>
    </row>
    <row r="64" spans="1:46" outlineLevel="1" x14ac:dyDescent="0.2">
      <c r="A64" s="171"/>
      <c r="B64" s="405">
        <f t="shared" si="11"/>
        <v>0</v>
      </c>
      <c r="C64" s="79">
        <v>17</v>
      </c>
      <c r="D64" s="417" t="str">
        <f t="shared" si="12"/>
        <v>** NOT USED **</v>
      </c>
      <c r="E64" s="47">
        <f t="shared" si="13"/>
        <v>0</v>
      </c>
      <c r="F64" s="47">
        <f t="shared" si="14"/>
        <v>0</v>
      </c>
      <c r="G64" s="47">
        <f t="shared" si="15"/>
        <v>0</v>
      </c>
      <c r="H64" s="47">
        <f t="shared" si="16"/>
        <v>0</v>
      </c>
      <c r="I64" s="47">
        <f t="shared" si="17"/>
        <v>0</v>
      </c>
      <c r="J64" s="47">
        <f t="shared" si="18"/>
        <v>0</v>
      </c>
      <c r="K64" s="171"/>
      <c r="L64" s="47">
        <f t="shared" si="19"/>
        <v>0</v>
      </c>
      <c r="M64" s="47">
        <f t="shared" si="20"/>
        <v>0</v>
      </c>
      <c r="N64" s="47">
        <f t="shared" si="21"/>
        <v>0</v>
      </c>
      <c r="O64" s="47">
        <f t="shared" si="22"/>
        <v>0</v>
      </c>
      <c r="P64" s="47">
        <f t="shared" si="23"/>
        <v>0</v>
      </c>
      <c r="Q64" s="47">
        <f t="shared" si="24"/>
        <v>0</v>
      </c>
      <c r="R64" s="171"/>
      <c r="S64" s="171"/>
      <c r="T64" s="171"/>
      <c r="U64" s="171"/>
      <c r="V64" s="171"/>
      <c r="W64" s="592"/>
      <c r="X64" s="13"/>
      <c r="Y64" s="13"/>
      <c r="Z64" s="13"/>
      <c r="AA64" s="13"/>
      <c r="AB64" s="5"/>
      <c r="AC64" s="5"/>
      <c r="AD64" s="5"/>
      <c r="AE64" s="5"/>
      <c r="AF64" s="5"/>
      <c r="AG64" s="5"/>
      <c r="AH64" s="424">
        <v>17</v>
      </c>
      <c r="AI64" s="338">
        <f t="shared" ref="AI64:AT64" si="41">IF(OR(ScriptSourceCode=1,ScriptSourceCode=3),AI121-AI89,0)</f>
        <v>0</v>
      </c>
      <c r="AJ64" s="338">
        <f t="shared" si="41"/>
        <v>0</v>
      </c>
      <c r="AK64" s="338">
        <f t="shared" si="41"/>
        <v>0</v>
      </c>
      <c r="AL64" s="338">
        <f t="shared" si="41"/>
        <v>0</v>
      </c>
      <c r="AM64" s="338">
        <f t="shared" si="41"/>
        <v>0</v>
      </c>
      <c r="AN64" s="338">
        <f t="shared" si="41"/>
        <v>0</v>
      </c>
      <c r="AO64" s="338">
        <f t="shared" si="41"/>
        <v>0</v>
      </c>
      <c r="AP64" s="338">
        <f t="shared" si="41"/>
        <v>0</v>
      </c>
      <c r="AQ64" s="338">
        <f t="shared" si="41"/>
        <v>0</v>
      </c>
      <c r="AR64" s="338">
        <f t="shared" si="41"/>
        <v>0</v>
      </c>
      <c r="AS64" s="338">
        <f t="shared" si="41"/>
        <v>0</v>
      </c>
      <c r="AT64" s="338">
        <f t="shared" si="41"/>
        <v>0</v>
      </c>
    </row>
    <row r="65" spans="1:46" outlineLevel="1" x14ac:dyDescent="0.2">
      <c r="A65" s="171"/>
      <c r="B65" s="405">
        <f t="shared" si="11"/>
        <v>0</v>
      </c>
      <c r="C65" s="79">
        <v>18</v>
      </c>
      <c r="D65" s="417" t="str">
        <f t="shared" si="12"/>
        <v>** NOT USED **</v>
      </c>
      <c r="E65" s="47">
        <f t="shared" si="13"/>
        <v>0</v>
      </c>
      <c r="F65" s="47">
        <f t="shared" si="14"/>
        <v>0</v>
      </c>
      <c r="G65" s="47">
        <f t="shared" si="15"/>
        <v>0</v>
      </c>
      <c r="H65" s="47">
        <f t="shared" si="16"/>
        <v>0</v>
      </c>
      <c r="I65" s="47">
        <f t="shared" si="17"/>
        <v>0</v>
      </c>
      <c r="J65" s="47">
        <f t="shared" si="18"/>
        <v>0</v>
      </c>
      <c r="K65" s="171"/>
      <c r="L65" s="47">
        <f t="shared" si="19"/>
        <v>0</v>
      </c>
      <c r="M65" s="47">
        <f t="shared" si="20"/>
        <v>0</v>
      </c>
      <c r="N65" s="47">
        <f t="shared" si="21"/>
        <v>0</v>
      </c>
      <c r="O65" s="47">
        <f t="shared" si="22"/>
        <v>0</v>
      </c>
      <c r="P65" s="47">
        <f t="shared" si="23"/>
        <v>0</v>
      </c>
      <c r="Q65" s="47">
        <f t="shared" si="24"/>
        <v>0</v>
      </c>
      <c r="R65" s="171"/>
      <c r="S65" s="171"/>
      <c r="T65" s="171"/>
      <c r="U65" s="171"/>
      <c r="V65" s="171"/>
      <c r="W65" s="592"/>
      <c r="X65" s="13"/>
      <c r="Y65" s="13"/>
      <c r="Z65" s="13"/>
      <c r="AA65" s="13"/>
      <c r="AB65" s="5"/>
      <c r="AC65" s="5"/>
      <c r="AD65" s="5"/>
      <c r="AE65" s="5"/>
      <c r="AF65" s="5"/>
      <c r="AG65" s="5"/>
      <c r="AH65" s="424">
        <v>18</v>
      </c>
      <c r="AI65" s="338">
        <f t="shared" ref="AI65:AT65" si="42">IF(OR(ScriptSourceCode=1,ScriptSourceCode=3),AI122-AI90,0)</f>
        <v>0</v>
      </c>
      <c r="AJ65" s="338">
        <f t="shared" si="42"/>
        <v>0</v>
      </c>
      <c r="AK65" s="338">
        <f t="shared" si="42"/>
        <v>0</v>
      </c>
      <c r="AL65" s="338">
        <f t="shared" si="42"/>
        <v>0</v>
      </c>
      <c r="AM65" s="338">
        <f t="shared" si="42"/>
        <v>0</v>
      </c>
      <c r="AN65" s="338">
        <f t="shared" si="42"/>
        <v>0</v>
      </c>
      <c r="AO65" s="338">
        <f t="shared" si="42"/>
        <v>0</v>
      </c>
      <c r="AP65" s="338">
        <f t="shared" si="42"/>
        <v>0</v>
      </c>
      <c r="AQ65" s="338">
        <f t="shared" si="42"/>
        <v>0</v>
      </c>
      <c r="AR65" s="338">
        <f t="shared" si="42"/>
        <v>0</v>
      </c>
      <c r="AS65" s="338">
        <f t="shared" si="42"/>
        <v>0</v>
      </c>
      <c r="AT65" s="338">
        <f t="shared" si="42"/>
        <v>0</v>
      </c>
    </row>
    <row r="66" spans="1:46" outlineLevel="1" x14ac:dyDescent="0.2">
      <c r="A66" s="171"/>
      <c r="B66" s="405">
        <f t="shared" si="11"/>
        <v>0</v>
      </c>
      <c r="C66" s="79">
        <v>19</v>
      </c>
      <c r="D66" s="417" t="str">
        <f t="shared" si="12"/>
        <v>** NOT USED **</v>
      </c>
      <c r="E66" s="47">
        <f t="shared" si="13"/>
        <v>0</v>
      </c>
      <c r="F66" s="47">
        <f t="shared" si="14"/>
        <v>0</v>
      </c>
      <c r="G66" s="47">
        <f t="shared" si="15"/>
        <v>0</v>
      </c>
      <c r="H66" s="47">
        <f t="shared" si="16"/>
        <v>0</v>
      </c>
      <c r="I66" s="47">
        <f t="shared" si="17"/>
        <v>0</v>
      </c>
      <c r="J66" s="47">
        <f t="shared" si="18"/>
        <v>0</v>
      </c>
      <c r="K66" s="171"/>
      <c r="L66" s="47">
        <f t="shared" si="19"/>
        <v>0</v>
      </c>
      <c r="M66" s="47">
        <f t="shared" si="20"/>
        <v>0</v>
      </c>
      <c r="N66" s="47">
        <f t="shared" si="21"/>
        <v>0</v>
      </c>
      <c r="O66" s="47">
        <f t="shared" si="22"/>
        <v>0</v>
      </c>
      <c r="P66" s="47">
        <f t="shared" si="23"/>
        <v>0</v>
      </c>
      <c r="Q66" s="47">
        <f t="shared" si="24"/>
        <v>0</v>
      </c>
      <c r="R66" s="171"/>
      <c r="S66" s="171"/>
      <c r="T66" s="171"/>
      <c r="U66" s="171"/>
      <c r="V66" s="171"/>
      <c r="W66" s="592"/>
      <c r="X66" s="13"/>
      <c r="Y66" s="13"/>
      <c r="Z66" s="13"/>
      <c r="AA66" s="13"/>
      <c r="AB66" s="5"/>
      <c r="AC66" s="5"/>
      <c r="AD66" s="5"/>
      <c r="AE66" s="5"/>
      <c r="AF66" s="5"/>
      <c r="AG66" s="5"/>
      <c r="AH66" s="424">
        <v>19</v>
      </c>
      <c r="AI66" s="338">
        <f t="shared" ref="AI66:AT66" si="43">IF(OR(ScriptSourceCode=1,ScriptSourceCode=3),AI123-AI91,0)</f>
        <v>0</v>
      </c>
      <c r="AJ66" s="338">
        <f t="shared" si="43"/>
        <v>0</v>
      </c>
      <c r="AK66" s="338">
        <f t="shared" si="43"/>
        <v>0</v>
      </c>
      <c r="AL66" s="338">
        <f t="shared" si="43"/>
        <v>0</v>
      </c>
      <c r="AM66" s="338">
        <f t="shared" si="43"/>
        <v>0</v>
      </c>
      <c r="AN66" s="338">
        <f t="shared" si="43"/>
        <v>0</v>
      </c>
      <c r="AO66" s="338">
        <f t="shared" si="43"/>
        <v>0</v>
      </c>
      <c r="AP66" s="338">
        <f t="shared" si="43"/>
        <v>0</v>
      </c>
      <c r="AQ66" s="338">
        <f t="shared" si="43"/>
        <v>0</v>
      </c>
      <c r="AR66" s="338">
        <f t="shared" si="43"/>
        <v>0</v>
      </c>
      <c r="AS66" s="338">
        <f t="shared" si="43"/>
        <v>0</v>
      </c>
      <c r="AT66" s="338">
        <f t="shared" si="43"/>
        <v>0</v>
      </c>
    </row>
    <row r="67" spans="1:46" outlineLevel="1" x14ac:dyDescent="0.2">
      <c r="A67" s="171"/>
      <c r="B67" s="405">
        <f t="shared" si="11"/>
        <v>0</v>
      </c>
      <c r="C67" s="79">
        <v>20</v>
      </c>
      <c r="D67" s="417" t="str">
        <f t="shared" si="12"/>
        <v>** NOT USED **</v>
      </c>
      <c r="E67" s="47">
        <f t="shared" si="13"/>
        <v>0</v>
      </c>
      <c r="F67" s="47">
        <f t="shared" si="14"/>
        <v>0</v>
      </c>
      <c r="G67" s="47">
        <f t="shared" si="15"/>
        <v>0</v>
      </c>
      <c r="H67" s="47">
        <f t="shared" si="16"/>
        <v>0</v>
      </c>
      <c r="I67" s="47">
        <f t="shared" si="17"/>
        <v>0</v>
      </c>
      <c r="J67" s="47">
        <f t="shared" si="18"/>
        <v>0</v>
      </c>
      <c r="K67" s="171"/>
      <c r="L67" s="47">
        <f t="shared" si="19"/>
        <v>0</v>
      </c>
      <c r="M67" s="47">
        <f t="shared" si="20"/>
        <v>0</v>
      </c>
      <c r="N67" s="47">
        <f t="shared" si="21"/>
        <v>0</v>
      </c>
      <c r="O67" s="47">
        <f t="shared" si="22"/>
        <v>0</v>
      </c>
      <c r="P67" s="47">
        <f t="shared" si="23"/>
        <v>0</v>
      </c>
      <c r="Q67" s="47">
        <f t="shared" si="24"/>
        <v>0</v>
      </c>
      <c r="R67" s="171"/>
      <c r="S67" s="171"/>
      <c r="T67" s="171"/>
      <c r="U67" s="171"/>
      <c r="V67" s="171"/>
      <c r="W67" s="592"/>
      <c r="X67" s="13"/>
      <c r="Y67" s="13"/>
      <c r="Z67" s="13"/>
      <c r="AA67" s="13"/>
      <c r="AB67" s="5"/>
      <c r="AC67" s="5"/>
      <c r="AD67" s="5"/>
      <c r="AE67" s="5"/>
      <c r="AF67" s="5"/>
      <c r="AG67" s="5"/>
      <c r="AH67" s="424">
        <v>20</v>
      </c>
      <c r="AI67" s="338">
        <f t="shared" ref="AI67:AT67" si="44">IF(OR(ScriptSourceCode=1,ScriptSourceCode=3),AI124-AI92,0)</f>
        <v>0</v>
      </c>
      <c r="AJ67" s="338">
        <f t="shared" si="44"/>
        <v>0</v>
      </c>
      <c r="AK67" s="338">
        <f t="shared" si="44"/>
        <v>0</v>
      </c>
      <c r="AL67" s="338">
        <f t="shared" si="44"/>
        <v>0</v>
      </c>
      <c r="AM67" s="338">
        <f t="shared" si="44"/>
        <v>0</v>
      </c>
      <c r="AN67" s="338">
        <f t="shared" si="44"/>
        <v>0</v>
      </c>
      <c r="AO67" s="338">
        <f t="shared" si="44"/>
        <v>0</v>
      </c>
      <c r="AP67" s="338">
        <f t="shared" si="44"/>
        <v>0</v>
      </c>
      <c r="AQ67" s="338">
        <f t="shared" si="44"/>
        <v>0</v>
      </c>
      <c r="AR67" s="338">
        <f t="shared" si="44"/>
        <v>0</v>
      </c>
      <c r="AS67" s="338">
        <f t="shared" si="44"/>
        <v>0</v>
      </c>
      <c r="AT67" s="338">
        <f t="shared" si="44"/>
        <v>0</v>
      </c>
    </row>
    <row r="68" spans="1:46" outlineLevel="1" x14ac:dyDescent="0.2">
      <c r="A68" s="171"/>
      <c r="B68" s="405">
        <f>SUM(B48:B67)</f>
        <v>0</v>
      </c>
      <c r="C68" s="171"/>
      <c r="D68" s="85" t="s">
        <v>255</v>
      </c>
      <c r="E68" s="50">
        <f>SUM(E48:E67)</f>
        <v>0</v>
      </c>
      <c r="F68" s="50">
        <f t="shared" ref="F68:J68" si="45">SUM(F48:F67)</f>
        <v>0</v>
      </c>
      <c r="G68" s="50">
        <f t="shared" si="45"/>
        <v>0</v>
      </c>
      <c r="H68" s="50">
        <f t="shared" si="45"/>
        <v>0</v>
      </c>
      <c r="I68" s="50">
        <f t="shared" si="45"/>
        <v>0</v>
      </c>
      <c r="J68" s="50">
        <f t="shared" si="45"/>
        <v>0</v>
      </c>
      <c r="K68" s="171"/>
      <c r="L68" s="50">
        <f>SUM(L48:L67)</f>
        <v>0</v>
      </c>
      <c r="M68" s="50">
        <f t="shared" ref="M68:Q68" si="46">SUM(M48:M67)</f>
        <v>0</v>
      </c>
      <c r="N68" s="50">
        <f t="shared" si="46"/>
        <v>0</v>
      </c>
      <c r="O68" s="50">
        <f t="shared" si="46"/>
        <v>0</v>
      </c>
      <c r="P68" s="50">
        <f t="shared" si="46"/>
        <v>0</v>
      </c>
      <c r="Q68" s="50">
        <f t="shared" si="46"/>
        <v>0</v>
      </c>
      <c r="R68" s="171"/>
      <c r="S68" s="171"/>
      <c r="T68" s="171"/>
      <c r="U68" s="171"/>
      <c r="V68" s="171"/>
      <c r="W68" s="592"/>
      <c r="X68" s="13"/>
      <c r="Y68" s="13"/>
      <c r="Z68" s="13"/>
      <c r="AA68" s="13"/>
      <c r="AB68" s="5"/>
      <c r="AC68" s="5"/>
      <c r="AD68" s="5"/>
      <c r="AE68" s="5"/>
      <c r="AF68" s="5"/>
      <c r="AG68" s="5"/>
    </row>
    <row r="69" spans="1:46" outlineLevel="1" x14ac:dyDescent="0.2">
      <c r="A69" s="171"/>
      <c r="B69" s="171"/>
      <c r="C69" s="171"/>
      <c r="D69" s="7"/>
      <c r="E69" s="17"/>
      <c r="F69" s="17"/>
      <c r="G69" s="17"/>
      <c r="H69" s="17"/>
      <c r="I69" s="17"/>
      <c r="J69" s="17"/>
      <c r="K69" s="171"/>
      <c r="L69" s="171"/>
      <c r="M69" s="171"/>
      <c r="N69" s="171"/>
      <c r="O69" s="171"/>
      <c r="P69" s="171"/>
      <c r="Q69" s="171"/>
      <c r="R69" s="171"/>
      <c r="S69" s="171"/>
      <c r="T69" s="171"/>
      <c r="U69" s="171"/>
      <c r="V69" s="171"/>
      <c r="W69" s="592"/>
      <c r="X69" s="13"/>
      <c r="Y69" s="13"/>
      <c r="Z69" s="13"/>
      <c r="AA69" s="13"/>
      <c r="AB69" s="5"/>
      <c r="AC69" s="5"/>
      <c r="AD69" s="5"/>
      <c r="AE69" s="5"/>
      <c r="AF69" s="5"/>
      <c r="AG69" s="5"/>
    </row>
    <row r="70" spans="1:46" x14ac:dyDescent="0.2">
      <c r="A70" s="172"/>
      <c r="B70" s="172"/>
      <c r="C70" s="172"/>
      <c r="D70" s="172"/>
      <c r="E70" s="172"/>
      <c r="F70" s="172"/>
      <c r="G70" s="172"/>
      <c r="H70" s="172"/>
      <c r="I70" s="172"/>
      <c r="J70" s="172"/>
      <c r="K70" s="172"/>
      <c r="L70" s="172"/>
      <c r="M70" s="172"/>
      <c r="N70" s="172"/>
      <c r="O70" s="172"/>
      <c r="P70" s="172"/>
      <c r="Q70" s="172"/>
      <c r="R70" s="172"/>
      <c r="S70" s="453"/>
      <c r="T70" s="453"/>
      <c r="U70" s="453"/>
      <c r="V70" s="453"/>
      <c r="X70" s="13"/>
      <c r="Y70" s="13"/>
      <c r="Z70" s="13"/>
      <c r="AA70" s="13"/>
      <c r="AB70" s="453"/>
      <c r="AC70" s="453"/>
      <c r="AD70" s="453"/>
      <c r="AE70" s="453"/>
      <c r="AF70" s="453"/>
      <c r="AG70" s="453"/>
      <c r="AH70" s="5"/>
      <c r="AI70" s="828" t="s">
        <v>259</v>
      </c>
      <c r="AJ70" s="828"/>
      <c r="AK70" s="828"/>
      <c r="AL70" s="828"/>
      <c r="AM70" s="828"/>
      <c r="AN70" s="828"/>
      <c r="AO70" s="828"/>
      <c r="AP70" s="828"/>
      <c r="AQ70" s="828"/>
      <c r="AR70" s="828"/>
      <c r="AS70" s="828"/>
      <c r="AT70" s="828"/>
    </row>
    <row r="71" spans="1:46" ht="15.75" x14ac:dyDescent="0.2">
      <c r="A71" s="187"/>
      <c r="B71" s="187"/>
      <c r="C71" s="187"/>
      <c r="D71" s="174" t="s">
        <v>1003</v>
      </c>
      <c r="E71" s="228"/>
      <c r="F71" s="175"/>
      <c r="G71" s="175"/>
      <c r="H71" s="175"/>
      <c r="I71" s="771" t="str">
        <f>IF(B97=0,MsgNotUsed,"")</f>
        <v>** NOT USED **</v>
      </c>
      <c r="J71" s="771"/>
      <c r="K71" s="175"/>
      <c r="L71" s="175"/>
      <c r="M71" s="175"/>
      <c r="N71" s="175"/>
      <c r="O71" s="175"/>
      <c r="P71" s="771"/>
      <c r="Q71" s="772"/>
      <c r="R71" s="175"/>
      <c r="S71" s="175"/>
      <c r="T71" s="175"/>
      <c r="U71" s="175"/>
      <c r="V71" s="175"/>
      <c r="W71" s="175"/>
      <c r="X71" s="13"/>
      <c r="Y71" s="13"/>
      <c r="Z71" s="13"/>
      <c r="AA71" s="13"/>
      <c r="AH71" s="5"/>
      <c r="AI71" s="820" t="str">
        <f>AI46</f>
        <v/>
      </c>
      <c r="AJ71" s="820"/>
      <c r="AK71" s="820"/>
      <c r="AL71" s="820"/>
      <c r="AM71" s="820"/>
      <c r="AN71" s="820"/>
      <c r="AO71" s="820" t="str">
        <f>AO46</f>
        <v/>
      </c>
      <c r="AP71" s="820"/>
      <c r="AQ71" s="820"/>
      <c r="AR71" s="820"/>
      <c r="AS71" s="820"/>
      <c r="AT71" s="820"/>
    </row>
    <row r="72" spans="1:46" outlineLevel="1" x14ac:dyDescent="0.2">
      <c r="A72" s="171"/>
      <c r="B72" s="171"/>
      <c r="C72" s="171"/>
      <c r="D72" s="213"/>
      <c r="E72" s="213"/>
      <c r="F72" s="213"/>
      <c r="G72" s="213"/>
      <c r="H72" s="213"/>
      <c r="I72" s="213"/>
      <c r="J72" s="213"/>
      <c r="K72" s="213"/>
      <c r="L72" s="213"/>
      <c r="M72" s="213"/>
      <c r="N72" s="213"/>
      <c r="O72" s="213"/>
      <c r="P72" s="213"/>
      <c r="Q72" s="213"/>
      <c r="R72" s="213"/>
      <c r="S72" s="213"/>
      <c r="T72" s="213"/>
      <c r="U72" s="213"/>
      <c r="V72" s="213"/>
      <c r="W72" s="213"/>
      <c r="X72" s="13"/>
      <c r="Y72" s="13"/>
      <c r="Z72" s="13"/>
      <c r="AA72" s="13"/>
      <c r="AH72" s="5"/>
      <c r="AI72" s="335">
        <f>FirstYear</f>
        <v>0</v>
      </c>
      <c r="AJ72" s="335">
        <f>AI72+1</f>
        <v>1</v>
      </c>
      <c r="AK72" s="335">
        <f>AJ72+1</f>
        <v>2</v>
      </c>
      <c r="AL72" s="335">
        <f>AK72+1</f>
        <v>3</v>
      </c>
      <c r="AM72" s="335">
        <f>AL72+1</f>
        <v>4</v>
      </c>
      <c r="AN72" s="335">
        <f>AM72+1</f>
        <v>5</v>
      </c>
      <c r="AO72" s="335">
        <f>FirstYear</f>
        <v>0</v>
      </c>
      <c r="AP72" s="335">
        <f>AO72+1</f>
        <v>1</v>
      </c>
      <c r="AQ72" s="335">
        <f>AP72+1</f>
        <v>2</v>
      </c>
      <c r="AR72" s="335">
        <f>AQ72+1</f>
        <v>3</v>
      </c>
      <c r="AS72" s="335">
        <f>AR72+1</f>
        <v>4</v>
      </c>
      <c r="AT72" s="335">
        <f>AS72+1</f>
        <v>5</v>
      </c>
    </row>
    <row r="73" spans="1:46" outlineLevel="1" x14ac:dyDescent="0.2">
      <c r="A73" s="171"/>
      <c r="B73" s="171"/>
      <c r="C73" s="171"/>
      <c r="D73" s="211" t="s">
        <v>1013</v>
      </c>
      <c r="E73" s="213"/>
      <c r="F73" s="213"/>
      <c r="G73" s="213"/>
      <c r="H73" s="213"/>
      <c r="I73" s="213"/>
      <c r="J73" s="213"/>
      <c r="K73" s="213"/>
      <c r="L73" s="213"/>
      <c r="M73" s="213"/>
      <c r="N73" s="213"/>
      <c r="O73" s="213"/>
      <c r="P73" s="213"/>
      <c r="Q73" s="213"/>
      <c r="R73" s="213"/>
      <c r="S73" s="213"/>
      <c r="T73" s="213"/>
      <c r="U73" s="213"/>
      <c r="V73" s="213"/>
      <c r="W73" s="213"/>
      <c r="X73" s="13"/>
      <c r="Y73" s="13"/>
      <c r="Z73" s="13"/>
      <c r="AA73" s="13"/>
      <c r="AH73" s="424">
        <v>1</v>
      </c>
      <c r="AI73" s="338">
        <f t="shared" ref="AI73:AT73" si="47">IF(OR(ScriptSourceCode=1,ScriptSourceCode=3),IF($AG105&lt;&gt;0,ROUND(AI105*INDEX(PxTxPhase1,$AG105,8),0),0),0)</f>
        <v>0</v>
      </c>
      <c r="AJ73" s="338">
        <f t="shared" si="47"/>
        <v>0</v>
      </c>
      <c r="AK73" s="338">
        <f t="shared" si="47"/>
        <v>0</v>
      </c>
      <c r="AL73" s="338">
        <f t="shared" si="47"/>
        <v>0</v>
      </c>
      <c r="AM73" s="338">
        <f t="shared" si="47"/>
        <v>0</v>
      </c>
      <c r="AN73" s="338">
        <f t="shared" si="47"/>
        <v>0</v>
      </c>
      <c r="AO73" s="338">
        <f t="shared" si="47"/>
        <v>0</v>
      </c>
      <c r="AP73" s="338">
        <f t="shared" si="47"/>
        <v>0</v>
      </c>
      <c r="AQ73" s="338">
        <f t="shared" si="47"/>
        <v>0</v>
      </c>
      <c r="AR73" s="338">
        <f t="shared" si="47"/>
        <v>0</v>
      </c>
      <c r="AS73" s="338">
        <f t="shared" si="47"/>
        <v>0</v>
      </c>
      <c r="AT73" s="338">
        <f t="shared" si="47"/>
        <v>0</v>
      </c>
    </row>
    <row r="74" spans="1:46" outlineLevel="1" x14ac:dyDescent="0.2">
      <c r="A74" s="171"/>
      <c r="B74" s="171"/>
      <c r="C74" s="171"/>
      <c r="D74" s="213"/>
      <c r="E74" s="213"/>
      <c r="F74" s="213"/>
      <c r="G74" s="213"/>
      <c r="H74" s="213"/>
      <c r="I74" s="213"/>
      <c r="J74" s="213"/>
      <c r="K74" s="213"/>
      <c r="L74" s="213"/>
      <c r="M74" s="213"/>
      <c r="N74" s="213"/>
      <c r="O74" s="213"/>
      <c r="P74" s="213"/>
      <c r="Q74" s="213"/>
      <c r="R74" s="213"/>
      <c r="S74" s="213"/>
      <c r="T74" s="213"/>
      <c r="U74" s="213"/>
      <c r="V74" s="213"/>
      <c r="W74" s="213"/>
      <c r="X74" s="13"/>
      <c r="Y74" s="13"/>
      <c r="Z74" s="13"/>
      <c r="AA74" s="13"/>
      <c r="AH74" s="424">
        <v>2</v>
      </c>
      <c r="AI74" s="338">
        <f t="shared" ref="AI74:AT74" si="48">IF(OR(ScriptSourceCode=1,ScriptSourceCode=3),IF($AG106&lt;&gt;0,ROUND(AI106*INDEX(PxTxPhase1,$AG106,8),0),0),0)</f>
        <v>0</v>
      </c>
      <c r="AJ74" s="338">
        <f t="shared" si="48"/>
        <v>0</v>
      </c>
      <c r="AK74" s="338">
        <f t="shared" si="48"/>
        <v>0</v>
      </c>
      <c r="AL74" s="338">
        <f t="shared" si="48"/>
        <v>0</v>
      </c>
      <c r="AM74" s="338">
        <f t="shared" si="48"/>
        <v>0</v>
      </c>
      <c r="AN74" s="338">
        <f t="shared" si="48"/>
        <v>0</v>
      </c>
      <c r="AO74" s="338">
        <f t="shared" si="48"/>
        <v>0</v>
      </c>
      <c r="AP74" s="338">
        <f t="shared" si="48"/>
        <v>0</v>
      </c>
      <c r="AQ74" s="338">
        <f t="shared" si="48"/>
        <v>0</v>
      </c>
      <c r="AR74" s="338">
        <f t="shared" si="48"/>
        <v>0</v>
      </c>
      <c r="AS74" s="338">
        <f t="shared" si="48"/>
        <v>0</v>
      </c>
      <c r="AT74" s="338">
        <f t="shared" si="48"/>
        <v>0</v>
      </c>
    </row>
    <row r="75" spans="1:46" outlineLevel="1" x14ac:dyDescent="0.2">
      <c r="A75" s="171"/>
      <c r="B75" s="171"/>
      <c r="C75" s="171"/>
      <c r="D75" s="211"/>
      <c r="E75" s="792" t="s">
        <v>256</v>
      </c>
      <c r="F75" s="802"/>
      <c r="G75" s="802"/>
      <c r="H75" s="802"/>
      <c r="I75" s="802"/>
      <c r="J75" s="803"/>
      <c r="K75" s="220"/>
      <c r="L75" s="792" t="s">
        <v>257</v>
      </c>
      <c r="M75" s="802"/>
      <c r="N75" s="802"/>
      <c r="O75" s="802"/>
      <c r="P75" s="802"/>
      <c r="Q75" s="803"/>
      <c r="R75" s="171"/>
      <c r="S75" s="171"/>
      <c r="T75" s="171"/>
      <c r="U75" s="171"/>
      <c r="V75" s="171"/>
      <c r="W75" s="592"/>
      <c r="X75" s="13"/>
      <c r="Y75" s="13"/>
      <c r="Z75" s="13"/>
      <c r="AA75" s="13"/>
      <c r="AH75" s="424">
        <v>3</v>
      </c>
      <c r="AI75" s="338">
        <f t="shared" ref="AI75:AT75" si="49">IF(OR(ScriptSourceCode=1,ScriptSourceCode=3),IF($AG107&lt;&gt;0,ROUND(AI107*INDEX(PxTxPhase1,$AG107,8),0),0),0)</f>
        <v>0</v>
      </c>
      <c r="AJ75" s="338">
        <f t="shared" si="49"/>
        <v>0</v>
      </c>
      <c r="AK75" s="338">
        <f t="shared" si="49"/>
        <v>0</v>
      </c>
      <c r="AL75" s="338">
        <f t="shared" si="49"/>
        <v>0</v>
      </c>
      <c r="AM75" s="338">
        <f t="shared" si="49"/>
        <v>0</v>
      </c>
      <c r="AN75" s="338">
        <f t="shared" si="49"/>
        <v>0</v>
      </c>
      <c r="AO75" s="338">
        <f t="shared" si="49"/>
        <v>0</v>
      </c>
      <c r="AP75" s="338">
        <f t="shared" si="49"/>
        <v>0</v>
      </c>
      <c r="AQ75" s="338">
        <f t="shared" si="49"/>
        <v>0</v>
      </c>
      <c r="AR75" s="338">
        <f t="shared" si="49"/>
        <v>0</v>
      </c>
      <c r="AS75" s="338">
        <f t="shared" si="49"/>
        <v>0</v>
      </c>
      <c r="AT75" s="338">
        <f t="shared" si="49"/>
        <v>0</v>
      </c>
    </row>
    <row r="76" spans="1:46" outlineLevel="1" x14ac:dyDescent="0.2">
      <c r="A76" s="171"/>
      <c r="B76" s="171"/>
      <c r="C76" s="171"/>
      <c r="D76" s="89" t="s">
        <v>883</v>
      </c>
      <c r="E76" s="392">
        <f>FirstYear</f>
        <v>0</v>
      </c>
      <c r="F76" s="392">
        <f>E76+1</f>
        <v>1</v>
      </c>
      <c r="G76" s="392">
        <f>F76+1</f>
        <v>2</v>
      </c>
      <c r="H76" s="392">
        <f>G76+1</f>
        <v>3</v>
      </c>
      <c r="I76" s="392">
        <f>H76+1</f>
        <v>4</v>
      </c>
      <c r="J76" s="392">
        <f>I76+1</f>
        <v>5</v>
      </c>
      <c r="K76" s="171"/>
      <c r="L76" s="392">
        <f>FirstYear</f>
        <v>0</v>
      </c>
      <c r="M76" s="392">
        <f>L76+1</f>
        <v>1</v>
      </c>
      <c r="N76" s="392">
        <f>M76+1</f>
        <v>2</v>
      </c>
      <c r="O76" s="392">
        <f>N76+1</f>
        <v>3</v>
      </c>
      <c r="P76" s="392">
        <f>O76+1</f>
        <v>4</v>
      </c>
      <c r="Q76" s="392">
        <f>P76+1</f>
        <v>5</v>
      </c>
      <c r="R76" s="171"/>
      <c r="S76" s="171"/>
      <c r="T76" s="171"/>
      <c r="U76" s="171"/>
      <c r="V76" s="171"/>
      <c r="W76" s="592"/>
      <c r="X76" s="13"/>
      <c r="Y76" s="13"/>
      <c r="Z76" s="13"/>
      <c r="AA76" s="13"/>
      <c r="AH76" s="424">
        <v>4</v>
      </c>
      <c r="AI76" s="338">
        <f t="shared" ref="AI76:AT76" si="50">IF(OR(ScriptSourceCode=1,ScriptSourceCode=3),IF($AG108&lt;&gt;0,ROUND(AI108*INDEX(PxTxPhase1,$AG108,8),0),0),0)</f>
        <v>0</v>
      </c>
      <c r="AJ76" s="338">
        <f t="shared" si="50"/>
        <v>0</v>
      </c>
      <c r="AK76" s="338">
        <f t="shared" si="50"/>
        <v>0</v>
      </c>
      <c r="AL76" s="338">
        <f t="shared" si="50"/>
        <v>0</v>
      </c>
      <c r="AM76" s="338">
        <f t="shared" si="50"/>
        <v>0</v>
      </c>
      <c r="AN76" s="338">
        <f t="shared" si="50"/>
        <v>0</v>
      </c>
      <c r="AO76" s="338">
        <f t="shared" si="50"/>
        <v>0</v>
      </c>
      <c r="AP76" s="338">
        <f t="shared" si="50"/>
        <v>0</v>
      </c>
      <c r="AQ76" s="338">
        <f t="shared" si="50"/>
        <v>0</v>
      </c>
      <c r="AR76" s="338">
        <f t="shared" si="50"/>
        <v>0</v>
      </c>
      <c r="AS76" s="338">
        <f t="shared" si="50"/>
        <v>0</v>
      </c>
      <c r="AT76" s="338">
        <f t="shared" si="50"/>
        <v>0</v>
      </c>
    </row>
    <row r="77" spans="1:46" outlineLevel="1" x14ac:dyDescent="0.2">
      <c r="A77" s="171"/>
      <c r="B77" s="405">
        <f t="shared" ref="B77:B96" si="51">IF(D77&lt;&gt;MsgNotUsed,1,0)</f>
        <v>0</v>
      </c>
      <c r="C77" s="79">
        <v>1</v>
      </c>
      <c r="D77" s="395" t="str">
        <f t="shared" ref="D77:D96" si="52">IF(D133&lt;&gt;"",AB133,INDEX(PBSScriptsOld,C77,1))</f>
        <v>** NOT USED **</v>
      </c>
      <c r="E77" s="47">
        <f>IF($D133&lt;&gt;"",F192,IF(MarketImpact=0,'2d. Scripts - market'!D16,0))</f>
        <v>0</v>
      </c>
      <c r="F77" s="47">
        <f>IF($D133&lt;&gt;"",G192,IF(MarketImpact=0,'2d. Scripts - market'!E16,0))</f>
        <v>0</v>
      </c>
      <c r="G77" s="47">
        <f>IF($D133&lt;&gt;"",H192,IF(MarketImpact=0,'2d. Scripts - market'!F16,0))</f>
        <v>0</v>
      </c>
      <c r="H77" s="47">
        <f>IF($D133&lt;&gt;"",I192,IF(MarketImpact=0,'2d. Scripts - market'!G16,0))</f>
        <v>0</v>
      </c>
      <c r="I77" s="47">
        <f>IF($D133&lt;&gt;"",J192,IF(MarketImpact=0,'2d. Scripts - market'!H16,0))</f>
        <v>0</v>
      </c>
      <c r="J77" s="47">
        <f>IF($D133&lt;&gt;"",K192,IF(MarketImpact=0,'2d. Scripts - market'!I16,0))</f>
        <v>0</v>
      </c>
      <c r="K77" s="171"/>
      <c r="L77" s="47">
        <f>IF($D133&lt;&gt;"",F193,IF(MarketImpact=0,'2d. Scripts - market'!K16,0))</f>
        <v>0</v>
      </c>
      <c r="M77" s="47">
        <f>IF($D133&lt;&gt;"",G193,IF(MarketImpact=0,'2d. Scripts - market'!L16,0))</f>
        <v>0</v>
      </c>
      <c r="N77" s="47">
        <f>IF($D133&lt;&gt;"",H193,IF(MarketImpact=0,'2d. Scripts - market'!M16,0))</f>
        <v>0</v>
      </c>
      <c r="O77" s="47">
        <f>IF($D133&lt;&gt;"",I193,IF(MarketImpact=0,'2d. Scripts - market'!N16,0))</f>
        <v>0</v>
      </c>
      <c r="P77" s="47">
        <f>IF($D133&lt;&gt;"",J193,IF(MarketImpact=0,'2d. Scripts - market'!O16,0))</f>
        <v>0</v>
      </c>
      <c r="Q77" s="47">
        <f>IF($D133&lt;&gt;"",K193,IF(MarketImpact=0,'2d. Scripts - market'!P16,0))</f>
        <v>0</v>
      </c>
      <c r="R77" s="171"/>
      <c r="S77" s="171"/>
      <c r="T77" s="171"/>
      <c r="U77" s="171"/>
      <c r="V77" s="171"/>
      <c r="W77" s="592"/>
      <c r="X77" s="13"/>
      <c r="Y77" s="13"/>
      <c r="Z77" s="13"/>
      <c r="AA77" s="13"/>
      <c r="AH77" s="424">
        <v>5</v>
      </c>
      <c r="AI77" s="338">
        <f t="shared" ref="AI77:AT77" si="53">IF(OR(ScriptSourceCode=1,ScriptSourceCode=3),IF($AG109&lt;&gt;0,ROUND(AI109*INDEX(PxTxPhase1,$AG109,8),0),0),0)</f>
        <v>0</v>
      </c>
      <c r="AJ77" s="338">
        <f t="shared" si="53"/>
        <v>0</v>
      </c>
      <c r="AK77" s="338">
        <f t="shared" si="53"/>
        <v>0</v>
      </c>
      <c r="AL77" s="338">
        <f t="shared" si="53"/>
        <v>0</v>
      </c>
      <c r="AM77" s="338">
        <f t="shared" si="53"/>
        <v>0</v>
      </c>
      <c r="AN77" s="338">
        <f t="shared" si="53"/>
        <v>0</v>
      </c>
      <c r="AO77" s="338">
        <f t="shared" si="53"/>
        <v>0</v>
      </c>
      <c r="AP77" s="338">
        <f t="shared" si="53"/>
        <v>0</v>
      </c>
      <c r="AQ77" s="338">
        <f t="shared" si="53"/>
        <v>0</v>
      </c>
      <c r="AR77" s="338">
        <f t="shared" si="53"/>
        <v>0</v>
      </c>
      <c r="AS77" s="338">
        <f t="shared" si="53"/>
        <v>0</v>
      </c>
      <c r="AT77" s="338">
        <f t="shared" si="53"/>
        <v>0</v>
      </c>
    </row>
    <row r="78" spans="1:46" outlineLevel="1" x14ac:dyDescent="0.2">
      <c r="A78" s="171"/>
      <c r="B78" s="405">
        <f t="shared" si="51"/>
        <v>0</v>
      </c>
      <c r="C78" s="79">
        <v>2</v>
      </c>
      <c r="D78" s="622" t="str">
        <f t="shared" si="52"/>
        <v>** NOT USED **</v>
      </c>
      <c r="E78" s="47">
        <f>IF($D134&lt;&gt;"",F204,IF(MarketImpact=0,'2d. Scripts - market'!D17,0))</f>
        <v>0</v>
      </c>
      <c r="F78" s="47">
        <f>IF($D134&lt;&gt;"",G204,IF(MarketImpact=0,'2d. Scripts - market'!E17,0))</f>
        <v>0</v>
      </c>
      <c r="G78" s="47">
        <f>IF($D134&lt;&gt;"",H204,IF(MarketImpact=0,'2d. Scripts - market'!F17,0))</f>
        <v>0</v>
      </c>
      <c r="H78" s="47">
        <f>IF($D134&lt;&gt;"",I204,IF(MarketImpact=0,'2d. Scripts - market'!G17,0))</f>
        <v>0</v>
      </c>
      <c r="I78" s="47">
        <f>IF($D134&lt;&gt;"",J204,IF(MarketImpact=0,'2d. Scripts - market'!H17,0))</f>
        <v>0</v>
      </c>
      <c r="J78" s="47">
        <f>IF($D134&lt;&gt;"",K204,IF(MarketImpact=0,'2d. Scripts - market'!I17,0))</f>
        <v>0</v>
      </c>
      <c r="K78" s="171"/>
      <c r="L78" s="47">
        <f>IF($D134&lt;&gt;"",F205,IF(MarketImpact=0,'2d. Scripts - market'!K17,0))</f>
        <v>0</v>
      </c>
      <c r="M78" s="47">
        <f>IF($D134&lt;&gt;"",G205,IF(MarketImpact=0,'2d. Scripts - market'!L17,0))</f>
        <v>0</v>
      </c>
      <c r="N78" s="47">
        <f>IF($D134&lt;&gt;"",H205,IF(MarketImpact=0,'2d. Scripts - market'!M17,0))</f>
        <v>0</v>
      </c>
      <c r="O78" s="47">
        <f>IF($D134&lt;&gt;"",I205,IF(MarketImpact=0,'2d. Scripts - market'!N17,0))</f>
        <v>0</v>
      </c>
      <c r="P78" s="47">
        <f>IF($D134&lt;&gt;"",J205,IF(MarketImpact=0,'2d. Scripts - market'!O17,0))</f>
        <v>0</v>
      </c>
      <c r="Q78" s="47">
        <f>IF($D134&lt;&gt;"",K205,IF(MarketImpact=0,'2d. Scripts - market'!P17,0))</f>
        <v>0</v>
      </c>
      <c r="R78" s="171"/>
      <c r="S78" s="171"/>
      <c r="T78" s="171"/>
      <c r="U78" s="171"/>
      <c r="V78" s="171"/>
      <c r="W78" s="592"/>
      <c r="X78" s="13"/>
      <c r="Y78" s="13"/>
      <c r="Z78" s="13"/>
      <c r="AA78" s="13"/>
      <c r="AH78" s="424">
        <v>6</v>
      </c>
      <c r="AI78" s="338">
        <f t="shared" ref="AI78:AT78" si="54">IF(OR(ScriptSourceCode=1,ScriptSourceCode=3),IF($AG110&lt;&gt;0,ROUND(AI110*INDEX(PxTxPhase1,$AG110,8),0),0),0)</f>
        <v>0</v>
      </c>
      <c r="AJ78" s="338">
        <f t="shared" si="54"/>
        <v>0</v>
      </c>
      <c r="AK78" s="338">
        <f t="shared" si="54"/>
        <v>0</v>
      </c>
      <c r="AL78" s="338">
        <f t="shared" si="54"/>
        <v>0</v>
      </c>
      <c r="AM78" s="338">
        <f t="shared" si="54"/>
        <v>0</v>
      </c>
      <c r="AN78" s="338">
        <f t="shared" si="54"/>
        <v>0</v>
      </c>
      <c r="AO78" s="338">
        <f t="shared" si="54"/>
        <v>0</v>
      </c>
      <c r="AP78" s="338">
        <f t="shared" si="54"/>
        <v>0</v>
      </c>
      <c r="AQ78" s="338">
        <f t="shared" si="54"/>
        <v>0</v>
      </c>
      <c r="AR78" s="338">
        <f t="shared" si="54"/>
        <v>0</v>
      </c>
      <c r="AS78" s="338">
        <f t="shared" si="54"/>
        <v>0</v>
      </c>
      <c r="AT78" s="338">
        <f t="shared" si="54"/>
        <v>0</v>
      </c>
    </row>
    <row r="79" spans="1:46" outlineLevel="1" x14ac:dyDescent="0.2">
      <c r="A79" s="171"/>
      <c r="B79" s="405">
        <f t="shared" si="51"/>
        <v>0</v>
      </c>
      <c r="C79" s="79">
        <v>3</v>
      </c>
      <c r="D79" s="622" t="str">
        <f t="shared" si="52"/>
        <v>** NOT USED **</v>
      </c>
      <c r="E79" s="47">
        <f>IF($D135&lt;&gt;"",F216,IF(MarketImpact=0,'2d. Scripts - market'!D18,0))</f>
        <v>0</v>
      </c>
      <c r="F79" s="47">
        <f>IF($D135&lt;&gt;"",G216,IF(MarketImpact=0,'2d. Scripts - market'!E18,0))</f>
        <v>0</v>
      </c>
      <c r="G79" s="47">
        <f>IF($D135&lt;&gt;"",H216,IF(MarketImpact=0,'2d. Scripts - market'!F18,0))</f>
        <v>0</v>
      </c>
      <c r="H79" s="47">
        <f>IF($D135&lt;&gt;"",I216,IF(MarketImpact=0,'2d. Scripts - market'!G18,0))</f>
        <v>0</v>
      </c>
      <c r="I79" s="47">
        <f>IF($D135&lt;&gt;"",J216,IF(MarketImpact=0,'2d. Scripts - market'!H18,0))</f>
        <v>0</v>
      </c>
      <c r="J79" s="47">
        <f>IF($D135&lt;&gt;"",K216,IF(MarketImpact=0,'2d. Scripts - market'!I18,0))</f>
        <v>0</v>
      </c>
      <c r="K79" s="171"/>
      <c r="L79" s="47">
        <f>IF($D135&lt;&gt;"",F217,IF(MarketImpact=0,'2d. Scripts - market'!K18,0))</f>
        <v>0</v>
      </c>
      <c r="M79" s="47">
        <f>IF($D135&lt;&gt;"",G217,IF(MarketImpact=0,'2d. Scripts - market'!L18,0))</f>
        <v>0</v>
      </c>
      <c r="N79" s="47">
        <f>IF($D135&lt;&gt;"",H217,IF(MarketImpact=0,'2d. Scripts - market'!M18,0))</f>
        <v>0</v>
      </c>
      <c r="O79" s="47">
        <f>IF($D135&lt;&gt;"",I217,IF(MarketImpact=0,'2d. Scripts - market'!N18,0))</f>
        <v>0</v>
      </c>
      <c r="P79" s="47">
        <f>IF($D135&lt;&gt;"",J217,IF(MarketImpact=0,'2d. Scripts - market'!O18,0))</f>
        <v>0</v>
      </c>
      <c r="Q79" s="47">
        <f>IF($D135&lt;&gt;"",K217,IF(MarketImpact=0,'2d. Scripts - market'!P18,0))</f>
        <v>0</v>
      </c>
      <c r="R79" s="171"/>
      <c r="S79" s="171"/>
      <c r="T79" s="171"/>
      <c r="U79" s="171"/>
      <c r="V79" s="171"/>
      <c r="W79" s="592"/>
      <c r="X79" s="13"/>
      <c r="Y79" s="13"/>
      <c r="Z79" s="13"/>
      <c r="AA79" s="13"/>
      <c r="AH79" s="424">
        <v>7</v>
      </c>
      <c r="AI79" s="338">
        <f t="shared" ref="AI79:AT79" si="55">IF(OR(ScriptSourceCode=1,ScriptSourceCode=3),IF($AG111&lt;&gt;0,ROUND(AI111*INDEX(PxTxPhase1,$AG111,8),0),0),0)</f>
        <v>0</v>
      </c>
      <c r="AJ79" s="338">
        <f t="shared" si="55"/>
        <v>0</v>
      </c>
      <c r="AK79" s="338">
        <f t="shared" si="55"/>
        <v>0</v>
      </c>
      <c r="AL79" s="338">
        <f t="shared" si="55"/>
        <v>0</v>
      </c>
      <c r="AM79" s="338">
        <f t="shared" si="55"/>
        <v>0</v>
      </c>
      <c r="AN79" s="338">
        <f t="shared" si="55"/>
        <v>0</v>
      </c>
      <c r="AO79" s="338">
        <f t="shared" si="55"/>
        <v>0</v>
      </c>
      <c r="AP79" s="338">
        <f t="shared" si="55"/>
        <v>0</v>
      </c>
      <c r="AQ79" s="338">
        <f t="shared" si="55"/>
        <v>0</v>
      </c>
      <c r="AR79" s="338">
        <f t="shared" si="55"/>
        <v>0</v>
      </c>
      <c r="AS79" s="338">
        <f t="shared" si="55"/>
        <v>0</v>
      </c>
      <c r="AT79" s="338">
        <f t="shared" si="55"/>
        <v>0</v>
      </c>
    </row>
    <row r="80" spans="1:46" outlineLevel="1" x14ac:dyDescent="0.2">
      <c r="A80" s="171"/>
      <c r="B80" s="405">
        <f t="shared" si="51"/>
        <v>0</v>
      </c>
      <c r="C80" s="79">
        <v>4</v>
      </c>
      <c r="D80" s="622" t="str">
        <f t="shared" si="52"/>
        <v>** NOT USED **</v>
      </c>
      <c r="E80" s="47">
        <f>IF($D136&lt;&gt;"",F228,IF(MarketImpact=0,'2d. Scripts - market'!D19,0))</f>
        <v>0</v>
      </c>
      <c r="F80" s="47">
        <f>IF($D136&lt;&gt;"",G228,IF(MarketImpact=0,'2d. Scripts - market'!E19,0))</f>
        <v>0</v>
      </c>
      <c r="G80" s="47">
        <f>IF($D136&lt;&gt;"",H228,IF(MarketImpact=0,'2d. Scripts - market'!F19,0))</f>
        <v>0</v>
      </c>
      <c r="H80" s="47">
        <f>IF($D136&lt;&gt;"",I228,IF(MarketImpact=0,'2d. Scripts - market'!G19,0))</f>
        <v>0</v>
      </c>
      <c r="I80" s="47">
        <f>IF($D136&lt;&gt;"",J228,IF(MarketImpact=0,'2d. Scripts - market'!H19,0))</f>
        <v>0</v>
      </c>
      <c r="J80" s="47">
        <f>IF($D136&lt;&gt;"",K228,IF(MarketImpact=0,'2d. Scripts - market'!I19,0))</f>
        <v>0</v>
      </c>
      <c r="K80" s="171"/>
      <c r="L80" s="47">
        <f>IF($D136&lt;&gt;"",F229,IF(MarketImpact=0,'2d. Scripts - market'!K19,0))</f>
        <v>0</v>
      </c>
      <c r="M80" s="47">
        <f>IF($D136&lt;&gt;"",G229,IF(MarketImpact=0,'2d. Scripts - market'!L19,0))</f>
        <v>0</v>
      </c>
      <c r="N80" s="47">
        <f>IF($D136&lt;&gt;"",H229,IF(MarketImpact=0,'2d. Scripts - market'!M19,0))</f>
        <v>0</v>
      </c>
      <c r="O80" s="47">
        <f>IF($D136&lt;&gt;"",I229,IF(MarketImpact=0,'2d. Scripts - market'!N19,0))</f>
        <v>0</v>
      </c>
      <c r="P80" s="47">
        <f>IF($D136&lt;&gt;"",J229,IF(MarketImpact=0,'2d. Scripts - market'!O19,0))</f>
        <v>0</v>
      </c>
      <c r="Q80" s="47">
        <f>IF($D136&lt;&gt;"",K229,IF(MarketImpact=0,'2d. Scripts - market'!P19,0))</f>
        <v>0</v>
      </c>
      <c r="R80" s="171"/>
      <c r="S80" s="171"/>
      <c r="T80" s="171"/>
      <c r="U80" s="171"/>
      <c r="V80" s="171"/>
      <c r="W80" s="592"/>
      <c r="X80" s="13"/>
      <c r="Y80" s="13"/>
      <c r="Z80" s="13"/>
      <c r="AA80" s="13"/>
      <c r="AH80" s="424">
        <v>8</v>
      </c>
      <c r="AI80" s="338">
        <f t="shared" ref="AI80:AT80" si="56">IF(OR(ScriptSourceCode=1,ScriptSourceCode=3),IF($AG112&lt;&gt;0,ROUND(AI112*INDEX(PxTxPhase1,$AG112,8),0),0),0)</f>
        <v>0</v>
      </c>
      <c r="AJ80" s="338">
        <f t="shared" si="56"/>
        <v>0</v>
      </c>
      <c r="AK80" s="338">
        <f t="shared" si="56"/>
        <v>0</v>
      </c>
      <c r="AL80" s="338">
        <f t="shared" si="56"/>
        <v>0</v>
      </c>
      <c r="AM80" s="338">
        <f t="shared" si="56"/>
        <v>0</v>
      </c>
      <c r="AN80" s="338">
        <f t="shared" si="56"/>
        <v>0</v>
      </c>
      <c r="AO80" s="338">
        <f t="shared" si="56"/>
        <v>0</v>
      </c>
      <c r="AP80" s="338">
        <f t="shared" si="56"/>
        <v>0</v>
      </c>
      <c r="AQ80" s="338">
        <f t="shared" si="56"/>
        <v>0</v>
      </c>
      <c r="AR80" s="338">
        <f t="shared" si="56"/>
        <v>0</v>
      </c>
      <c r="AS80" s="338">
        <f t="shared" si="56"/>
        <v>0</v>
      </c>
      <c r="AT80" s="338">
        <f t="shared" si="56"/>
        <v>0</v>
      </c>
    </row>
    <row r="81" spans="1:46" outlineLevel="1" x14ac:dyDescent="0.2">
      <c r="A81" s="171"/>
      <c r="B81" s="405">
        <f t="shared" si="51"/>
        <v>0</v>
      </c>
      <c r="C81" s="79">
        <v>5</v>
      </c>
      <c r="D81" s="622" t="str">
        <f t="shared" si="52"/>
        <v>** NOT USED **</v>
      </c>
      <c r="E81" s="47">
        <f>IF($D137&lt;&gt;"",F240,IF(MarketImpact=0,'2d. Scripts - market'!D20,0))</f>
        <v>0</v>
      </c>
      <c r="F81" s="47">
        <f>IF($D137&lt;&gt;"",G240,IF(MarketImpact=0,'2d. Scripts - market'!E20,0))</f>
        <v>0</v>
      </c>
      <c r="G81" s="47">
        <f>IF($D137&lt;&gt;"",H240,IF(MarketImpact=0,'2d. Scripts - market'!F20,0))</f>
        <v>0</v>
      </c>
      <c r="H81" s="47">
        <f>IF($D137&lt;&gt;"",I240,IF(MarketImpact=0,'2d. Scripts - market'!G20,0))</f>
        <v>0</v>
      </c>
      <c r="I81" s="47">
        <f>IF($D137&lt;&gt;"",J240,IF(MarketImpact=0,'2d. Scripts - market'!H20,0))</f>
        <v>0</v>
      </c>
      <c r="J81" s="47">
        <f>IF($D137&lt;&gt;"",K240,IF(MarketImpact=0,'2d. Scripts - market'!I20,0))</f>
        <v>0</v>
      </c>
      <c r="K81" s="171"/>
      <c r="L81" s="47">
        <f>IF($D137&lt;&gt;"",F241,IF(MarketImpact=0,'2d. Scripts - market'!K20,0))</f>
        <v>0</v>
      </c>
      <c r="M81" s="47">
        <f>IF($D137&lt;&gt;"",G241,IF(MarketImpact=0,'2d. Scripts - market'!L20,0))</f>
        <v>0</v>
      </c>
      <c r="N81" s="47">
        <f>IF($D137&lt;&gt;"",H241,IF(MarketImpact=0,'2d. Scripts - market'!M20,0))</f>
        <v>0</v>
      </c>
      <c r="O81" s="47">
        <f>IF($D137&lt;&gt;"",I241,IF(MarketImpact=0,'2d. Scripts - market'!N20,0))</f>
        <v>0</v>
      </c>
      <c r="P81" s="47">
        <f>IF($D137&lt;&gt;"",J241,IF(MarketImpact=0,'2d. Scripts - market'!O20,0))</f>
        <v>0</v>
      </c>
      <c r="Q81" s="47">
        <f>IF($D137&lt;&gt;"",K241,IF(MarketImpact=0,'2d. Scripts - market'!P20,0))</f>
        <v>0</v>
      </c>
      <c r="R81" s="171"/>
      <c r="S81" s="171"/>
      <c r="T81" s="171"/>
      <c r="U81" s="171"/>
      <c r="V81" s="171"/>
      <c r="W81" s="592"/>
      <c r="X81" s="13"/>
      <c r="Y81" s="13"/>
      <c r="Z81" s="13"/>
      <c r="AA81" s="13"/>
      <c r="AH81" s="424">
        <v>9</v>
      </c>
      <c r="AI81" s="338">
        <f t="shared" ref="AI81:AT81" si="57">IF(OR(ScriptSourceCode=1,ScriptSourceCode=3),IF($AG113&lt;&gt;0,ROUND(AI113*INDEX(PxTxPhase1,$AG113,8),0),0),0)</f>
        <v>0</v>
      </c>
      <c r="AJ81" s="338">
        <f t="shared" si="57"/>
        <v>0</v>
      </c>
      <c r="AK81" s="338">
        <f t="shared" si="57"/>
        <v>0</v>
      </c>
      <c r="AL81" s="338">
        <f t="shared" si="57"/>
        <v>0</v>
      </c>
      <c r="AM81" s="338">
        <f t="shared" si="57"/>
        <v>0</v>
      </c>
      <c r="AN81" s="338">
        <f t="shared" si="57"/>
        <v>0</v>
      </c>
      <c r="AO81" s="338">
        <f t="shared" si="57"/>
        <v>0</v>
      </c>
      <c r="AP81" s="338">
        <f t="shared" si="57"/>
        <v>0</v>
      </c>
      <c r="AQ81" s="338">
        <f t="shared" si="57"/>
        <v>0</v>
      </c>
      <c r="AR81" s="338">
        <f t="shared" si="57"/>
        <v>0</v>
      </c>
      <c r="AS81" s="338">
        <f t="shared" si="57"/>
        <v>0</v>
      </c>
      <c r="AT81" s="338">
        <f t="shared" si="57"/>
        <v>0</v>
      </c>
    </row>
    <row r="82" spans="1:46" outlineLevel="1" x14ac:dyDescent="0.2">
      <c r="A82" s="171"/>
      <c r="B82" s="405">
        <f t="shared" si="51"/>
        <v>0</v>
      </c>
      <c r="C82" s="79">
        <v>6</v>
      </c>
      <c r="D82" s="622" t="str">
        <f t="shared" si="52"/>
        <v>** NOT USED **</v>
      </c>
      <c r="E82" s="47">
        <f>IF($D138&lt;&gt;"",F252,IF(MarketImpact=0,'2d. Scripts - market'!D21,0))</f>
        <v>0</v>
      </c>
      <c r="F82" s="47">
        <f>IF($D138&lt;&gt;"",G252,IF(MarketImpact=0,'2d. Scripts - market'!E21,0))</f>
        <v>0</v>
      </c>
      <c r="G82" s="47">
        <f>IF($D138&lt;&gt;"",H252,IF(MarketImpact=0,'2d. Scripts - market'!F21,0))</f>
        <v>0</v>
      </c>
      <c r="H82" s="47">
        <f>IF($D138&lt;&gt;"",I252,IF(MarketImpact=0,'2d. Scripts - market'!G21,0))</f>
        <v>0</v>
      </c>
      <c r="I82" s="47">
        <f>IF($D138&lt;&gt;"",J252,IF(MarketImpact=0,'2d. Scripts - market'!H21,0))</f>
        <v>0</v>
      </c>
      <c r="J82" s="47">
        <f>IF($D138&lt;&gt;"",K252,IF(MarketImpact=0,'2d. Scripts - market'!I21,0))</f>
        <v>0</v>
      </c>
      <c r="K82" s="171"/>
      <c r="L82" s="47">
        <f>IF($D138&lt;&gt;"",F253,IF(MarketImpact=0,'2d. Scripts - market'!K21,0))</f>
        <v>0</v>
      </c>
      <c r="M82" s="47">
        <f>IF($D138&lt;&gt;"",G253,IF(MarketImpact=0,'2d. Scripts - market'!L21,0))</f>
        <v>0</v>
      </c>
      <c r="N82" s="47">
        <f>IF($D138&lt;&gt;"",H253,IF(MarketImpact=0,'2d. Scripts - market'!M21,0))</f>
        <v>0</v>
      </c>
      <c r="O82" s="47">
        <f>IF($D138&lt;&gt;"",I253,IF(MarketImpact=0,'2d. Scripts - market'!N21,0))</f>
        <v>0</v>
      </c>
      <c r="P82" s="47">
        <f>IF($D138&lt;&gt;"",J253,IF(MarketImpact=0,'2d. Scripts - market'!O21,0))</f>
        <v>0</v>
      </c>
      <c r="Q82" s="47">
        <f>IF($D138&lt;&gt;"",K253,IF(MarketImpact=0,'2d. Scripts - market'!P21,0))</f>
        <v>0</v>
      </c>
      <c r="R82" s="171"/>
      <c r="S82" s="171"/>
      <c r="T82" s="171"/>
      <c r="U82" s="171"/>
      <c r="V82" s="171"/>
      <c r="W82" s="592"/>
      <c r="X82" s="13"/>
      <c r="Y82" s="13"/>
      <c r="Z82" s="13"/>
      <c r="AA82" s="13"/>
      <c r="AH82" s="424">
        <v>10</v>
      </c>
      <c r="AI82" s="338">
        <f t="shared" ref="AI82:AT82" si="58">IF(OR(ScriptSourceCode=1,ScriptSourceCode=3),IF($AG114&lt;&gt;0,ROUND(AI114*INDEX(PxTxPhase1,$AG114,8),0),0),0)</f>
        <v>0</v>
      </c>
      <c r="AJ82" s="338">
        <f t="shared" si="58"/>
        <v>0</v>
      </c>
      <c r="AK82" s="338">
        <f t="shared" si="58"/>
        <v>0</v>
      </c>
      <c r="AL82" s="338">
        <f t="shared" si="58"/>
        <v>0</v>
      </c>
      <c r="AM82" s="338">
        <f t="shared" si="58"/>
        <v>0</v>
      </c>
      <c r="AN82" s="338">
        <f t="shared" si="58"/>
        <v>0</v>
      </c>
      <c r="AO82" s="338">
        <f t="shared" si="58"/>
        <v>0</v>
      </c>
      <c r="AP82" s="338">
        <f t="shared" si="58"/>
        <v>0</v>
      </c>
      <c r="AQ82" s="338">
        <f t="shared" si="58"/>
        <v>0</v>
      </c>
      <c r="AR82" s="338">
        <f t="shared" si="58"/>
        <v>0</v>
      </c>
      <c r="AS82" s="338">
        <f t="shared" si="58"/>
        <v>0</v>
      </c>
      <c r="AT82" s="338">
        <f t="shared" si="58"/>
        <v>0</v>
      </c>
    </row>
    <row r="83" spans="1:46" outlineLevel="1" x14ac:dyDescent="0.2">
      <c r="A83" s="171"/>
      <c r="B83" s="405">
        <f t="shared" si="51"/>
        <v>0</v>
      </c>
      <c r="C83" s="79">
        <v>7</v>
      </c>
      <c r="D83" s="622" t="str">
        <f t="shared" si="52"/>
        <v>** NOT USED **</v>
      </c>
      <c r="E83" s="47">
        <f>IF($D139&lt;&gt;"",F264,IF(MarketImpact=0,'2d. Scripts - market'!D22,0))</f>
        <v>0</v>
      </c>
      <c r="F83" s="47">
        <f>IF($D139&lt;&gt;"",G264,IF(MarketImpact=0,'2d. Scripts - market'!E22,0))</f>
        <v>0</v>
      </c>
      <c r="G83" s="47">
        <f>IF($D139&lt;&gt;"",H264,IF(MarketImpact=0,'2d. Scripts - market'!F22,0))</f>
        <v>0</v>
      </c>
      <c r="H83" s="47">
        <f>IF($D139&lt;&gt;"",I264,IF(MarketImpact=0,'2d. Scripts - market'!G22,0))</f>
        <v>0</v>
      </c>
      <c r="I83" s="47">
        <f>IF($D139&lt;&gt;"",J264,IF(MarketImpact=0,'2d. Scripts - market'!H22,0))</f>
        <v>0</v>
      </c>
      <c r="J83" s="47">
        <f>IF($D139&lt;&gt;"",K264,IF(MarketImpact=0,'2d. Scripts - market'!I22,0))</f>
        <v>0</v>
      </c>
      <c r="K83" s="171"/>
      <c r="L83" s="47">
        <f>IF($D139&lt;&gt;"",F265,IF(MarketImpact=0,'2d. Scripts - market'!K22,0))</f>
        <v>0</v>
      </c>
      <c r="M83" s="47">
        <f>IF($D139&lt;&gt;"",G265,IF(MarketImpact=0,'2d. Scripts - market'!L22,0))</f>
        <v>0</v>
      </c>
      <c r="N83" s="47">
        <f>IF($D139&lt;&gt;"",H265,IF(MarketImpact=0,'2d. Scripts - market'!M22,0))</f>
        <v>0</v>
      </c>
      <c r="O83" s="47">
        <f>IF($D139&lt;&gt;"",I265,IF(MarketImpact=0,'2d. Scripts - market'!N22,0))</f>
        <v>0</v>
      </c>
      <c r="P83" s="47">
        <f>IF($D139&lt;&gt;"",J265,IF(MarketImpact=0,'2d. Scripts - market'!O22,0))</f>
        <v>0</v>
      </c>
      <c r="Q83" s="47">
        <f>IF($D139&lt;&gt;"",K265,IF(MarketImpact=0,'2d. Scripts - market'!P22,0))</f>
        <v>0</v>
      </c>
      <c r="R83" s="171"/>
      <c r="S83" s="171"/>
      <c r="T83" s="171"/>
      <c r="U83" s="171"/>
      <c r="V83" s="171"/>
      <c r="W83" s="592"/>
      <c r="X83" s="13"/>
      <c r="Y83" s="13"/>
      <c r="Z83" s="13"/>
      <c r="AA83" s="13"/>
      <c r="AH83" s="424">
        <v>11</v>
      </c>
      <c r="AI83" s="338">
        <f t="shared" ref="AI83:AT83" si="59">IF(OR(ScriptSourceCode=1,ScriptSourceCode=3),IF($AG115&lt;&gt;0,ROUND(AI115*INDEX(PxTxPhase1,$AG115,8),0),0),0)</f>
        <v>0</v>
      </c>
      <c r="AJ83" s="338">
        <f t="shared" si="59"/>
        <v>0</v>
      </c>
      <c r="AK83" s="338">
        <f t="shared" si="59"/>
        <v>0</v>
      </c>
      <c r="AL83" s="338">
        <f t="shared" si="59"/>
        <v>0</v>
      </c>
      <c r="AM83" s="338">
        <f t="shared" si="59"/>
        <v>0</v>
      </c>
      <c r="AN83" s="338">
        <f t="shared" si="59"/>
        <v>0</v>
      </c>
      <c r="AO83" s="338">
        <f t="shared" si="59"/>
        <v>0</v>
      </c>
      <c r="AP83" s="338">
        <f t="shared" si="59"/>
        <v>0</v>
      </c>
      <c r="AQ83" s="338">
        <f t="shared" si="59"/>
        <v>0</v>
      </c>
      <c r="AR83" s="338">
        <f t="shared" si="59"/>
        <v>0</v>
      </c>
      <c r="AS83" s="338">
        <f t="shared" si="59"/>
        <v>0</v>
      </c>
      <c r="AT83" s="338">
        <f t="shared" si="59"/>
        <v>0</v>
      </c>
    </row>
    <row r="84" spans="1:46" outlineLevel="1" x14ac:dyDescent="0.2">
      <c r="A84" s="171"/>
      <c r="B84" s="405">
        <f t="shared" si="51"/>
        <v>0</v>
      </c>
      <c r="C84" s="79">
        <v>8</v>
      </c>
      <c r="D84" s="622" t="str">
        <f t="shared" si="52"/>
        <v>** NOT USED **</v>
      </c>
      <c r="E84" s="47">
        <f>IF($D140&lt;&gt;"",F276,IF(MarketImpact=0,'2d. Scripts - market'!D23,0))</f>
        <v>0</v>
      </c>
      <c r="F84" s="47">
        <f>IF($D140&lt;&gt;"",G276,IF(MarketImpact=0,'2d. Scripts - market'!E23,0))</f>
        <v>0</v>
      </c>
      <c r="G84" s="47">
        <f>IF($D140&lt;&gt;"",H276,IF(MarketImpact=0,'2d. Scripts - market'!F23,0))</f>
        <v>0</v>
      </c>
      <c r="H84" s="47">
        <f>IF($D140&lt;&gt;"",I276,IF(MarketImpact=0,'2d. Scripts - market'!G23,0))</f>
        <v>0</v>
      </c>
      <c r="I84" s="47">
        <f>IF($D140&lt;&gt;"",J276,IF(MarketImpact=0,'2d. Scripts - market'!H23,0))</f>
        <v>0</v>
      </c>
      <c r="J84" s="47">
        <f>IF($D140&lt;&gt;"",K276,IF(MarketImpact=0,'2d. Scripts - market'!I23,0))</f>
        <v>0</v>
      </c>
      <c r="K84" s="171"/>
      <c r="L84" s="47">
        <f>IF($D140&lt;&gt;"",F277,IF(MarketImpact=0,'2d. Scripts - market'!K23,0))</f>
        <v>0</v>
      </c>
      <c r="M84" s="47">
        <f>IF($D140&lt;&gt;"",G277,IF(MarketImpact=0,'2d. Scripts - market'!L23,0))</f>
        <v>0</v>
      </c>
      <c r="N84" s="47">
        <f>IF($D140&lt;&gt;"",H277,IF(MarketImpact=0,'2d. Scripts - market'!M23,0))</f>
        <v>0</v>
      </c>
      <c r="O84" s="47">
        <f>IF($D140&lt;&gt;"",I277,IF(MarketImpact=0,'2d. Scripts - market'!N23,0))</f>
        <v>0</v>
      </c>
      <c r="P84" s="47">
        <f>IF($D140&lt;&gt;"",J277,IF(MarketImpact=0,'2d. Scripts - market'!O23,0))</f>
        <v>0</v>
      </c>
      <c r="Q84" s="47">
        <f>IF($D140&lt;&gt;"",K277,IF(MarketImpact=0,'2d. Scripts - market'!P23,0))</f>
        <v>0</v>
      </c>
      <c r="R84" s="171"/>
      <c r="S84" s="171"/>
      <c r="T84" s="171"/>
      <c r="U84" s="171"/>
      <c r="V84" s="171"/>
      <c r="W84" s="592"/>
      <c r="X84" s="13"/>
      <c r="Y84" s="13"/>
      <c r="Z84" s="13"/>
      <c r="AA84" s="13"/>
      <c r="AH84" s="424">
        <v>12</v>
      </c>
      <c r="AI84" s="338">
        <f t="shared" ref="AI84:AT84" si="60">IF(OR(ScriptSourceCode=1,ScriptSourceCode=3),IF($AG116&lt;&gt;0,ROUND(AI116*INDEX(PxTxPhase1,$AG116,8),0),0),0)</f>
        <v>0</v>
      </c>
      <c r="AJ84" s="338">
        <f t="shared" si="60"/>
        <v>0</v>
      </c>
      <c r="AK84" s="338">
        <f t="shared" si="60"/>
        <v>0</v>
      </c>
      <c r="AL84" s="338">
        <f t="shared" si="60"/>
        <v>0</v>
      </c>
      <c r="AM84" s="338">
        <f t="shared" si="60"/>
        <v>0</v>
      </c>
      <c r="AN84" s="338">
        <f t="shared" si="60"/>
        <v>0</v>
      </c>
      <c r="AO84" s="338">
        <f t="shared" si="60"/>
        <v>0</v>
      </c>
      <c r="AP84" s="338">
        <f t="shared" si="60"/>
        <v>0</v>
      </c>
      <c r="AQ84" s="338">
        <f t="shared" si="60"/>
        <v>0</v>
      </c>
      <c r="AR84" s="338">
        <f t="shared" si="60"/>
        <v>0</v>
      </c>
      <c r="AS84" s="338">
        <f t="shared" si="60"/>
        <v>0</v>
      </c>
      <c r="AT84" s="338">
        <f t="shared" si="60"/>
        <v>0</v>
      </c>
    </row>
    <row r="85" spans="1:46" outlineLevel="1" x14ac:dyDescent="0.2">
      <c r="A85" s="171"/>
      <c r="B85" s="405">
        <f t="shared" si="51"/>
        <v>0</v>
      </c>
      <c r="C85" s="79">
        <v>9</v>
      </c>
      <c r="D85" s="622" t="str">
        <f t="shared" si="52"/>
        <v>** NOT USED **</v>
      </c>
      <c r="E85" s="47">
        <f>IF($D141&lt;&gt;"",F288,IF(MarketImpact=0,'2d. Scripts - market'!D24,0))</f>
        <v>0</v>
      </c>
      <c r="F85" s="47">
        <f>IF($D141&lt;&gt;"",G288,IF(MarketImpact=0,'2d. Scripts - market'!E24,0))</f>
        <v>0</v>
      </c>
      <c r="G85" s="47">
        <f>IF($D141&lt;&gt;"",H288,IF(MarketImpact=0,'2d. Scripts - market'!F24,0))</f>
        <v>0</v>
      </c>
      <c r="H85" s="47">
        <f>IF($D141&lt;&gt;"",I288,IF(MarketImpact=0,'2d. Scripts - market'!G24,0))</f>
        <v>0</v>
      </c>
      <c r="I85" s="47">
        <f>IF($D141&lt;&gt;"",J288,IF(MarketImpact=0,'2d. Scripts - market'!H24,0))</f>
        <v>0</v>
      </c>
      <c r="J85" s="47">
        <f>IF($D141&lt;&gt;"",K288,IF(MarketImpact=0,'2d. Scripts - market'!I24,0))</f>
        <v>0</v>
      </c>
      <c r="K85" s="171"/>
      <c r="L85" s="47">
        <f>IF($D141&lt;&gt;"",F289,IF(MarketImpact=0,'2d. Scripts - market'!K24,0))</f>
        <v>0</v>
      </c>
      <c r="M85" s="47">
        <f>IF($D141&lt;&gt;"",G289,IF(MarketImpact=0,'2d. Scripts - market'!L24,0))</f>
        <v>0</v>
      </c>
      <c r="N85" s="47">
        <f>IF($D141&lt;&gt;"",H289,IF(MarketImpact=0,'2d. Scripts - market'!M24,0))</f>
        <v>0</v>
      </c>
      <c r="O85" s="47">
        <f>IF($D141&lt;&gt;"",I289,IF(MarketImpact=0,'2d. Scripts - market'!N24,0))</f>
        <v>0</v>
      </c>
      <c r="P85" s="47">
        <f>IF($D141&lt;&gt;"",J289,IF(MarketImpact=0,'2d. Scripts - market'!O24,0))</f>
        <v>0</v>
      </c>
      <c r="Q85" s="47">
        <f>IF($D141&lt;&gt;"",K289,IF(MarketImpact=0,'2d. Scripts - market'!P24,0))</f>
        <v>0</v>
      </c>
      <c r="R85" s="171"/>
      <c r="S85" s="171"/>
      <c r="T85" s="171"/>
      <c r="U85" s="171"/>
      <c r="V85" s="171"/>
      <c r="W85" s="592"/>
      <c r="X85" s="13"/>
      <c r="Y85" s="13"/>
      <c r="Z85" s="13"/>
      <c r="AA85" s="13"/>
      <c r="AH85" s="424">
        <v>13</v>
      </c>
      <c r="AI85" s="338">
        <f t="shared" ref="AI85:AT85" si="61">IF(OR(ScriptSourceCode=1,ScriptSourceCode=3),IF($AG117&lt;&gt;0,ROUND(AI117*INDEX(PxTxPhase1,$AG117,8),0),0),0)</f>
        <v>0</v>
      </c>
      <c r="AJ85" s="338">
        <f t="shared" si="61"/>
        <v>0</v>
      </c>
      <c r="AK85" s="338">
        <f t="shared" si="61"/>
        <v>0</v>
      </c>
      <c r="AL85" s="338">
        <f t="shared" si="61"/>
        <v>0</v>
      </c>
      <c r="AM85" s="338">
        <f t="shared" si="61"/>
        <v>0</v>
      </c>
      <c r="AN85" s="338">
        <f t="shared" si="61"/>
        <v>0</v>
      </c>
      <c r="AO85" s="338">
        <f t="shared" si="61"/>
        <v>0</v>
      </c>
      <c r="AP85" s="338">
        <f t="shared" si="61"/>
        <v>0</v>
      </c>
      <c r="AQ85" s="338">
        <f t="shared" si="61"/>
        <v>0</v>
      </c>
      <c r="AR85" s="338">
        <f t="shared" si="61"/>
        <v>0</v>
      </c>
      <c r="AS85" s="338">
        <f t="shared" si="61"/>
        <v>0</v>
      </c>
      <c r="AT85" s="338">
        <f t="shared" si="61"/>
        <v>0</v>
      </c>
    </row>
    <row r="86" spans="1:46" outlineLevel="1" x14ac:dyDescent="0.2">
      <c r="A86" s="171"/>
      <c r="B86" s="405">
        <f t="shared" si="51"/>
        <v>0</v>
      </c>
      <c r="C86" s="79">
        <v>10</v>
      </c>
      <c r="D86" s="622" t="str">
        <f t="shared" si="52"/>
        <v>** NOT USED **</v>
      </c>
      <c r="E86" s="47">
        <f>IF($D142&lt;&gt;"",F300,IF(MarketImpact=0,'2d. Scripts - market'!D25,0))</f>
        <v>0</v>
      </c>
      <c r="F86" s="47">
        <f>IF($D142&lt;&gt;"",G300,IF(MarketImpact=0,'2d. Scripts - market'!E25,0))</f>
        <v>0</v>
      </c>
      <c r="G86" s="47">
        <f>IF($D142&lt;&gt;"",H300,IF(MarketImpact=0,'2d. Scripts - market'!F25,0))</f>
        <v>0</v>
      </c>
      <c r="H86" s="47">
        <f>IF($D142&lt;&gt;"",I300,IF(MarketImpact=0,'2d. Scripts - market'!G25,0))</f>
        <v>0</v>
      </c>
      <c r="I86" s="47">
        <f>IF($D142&lt;&gt;"",J300,IF(MarketImpact=0,'2d. Scripts - market'!H25,0))</f>
        <v>0</v>
      </c>
      <c r="J86" s="47">
        <f>IF($D142&lt;&gt;"",K300,IF(MarketImpact=0,'2d. Scripts - market'!I25,0))</f>
        <v>0</v>
      </c>
      <c r="K86" s="171"/>
      <c r="L86" s="47">
        <f>IF($D142&lt;&gt;"",F301,IF(MarketImpact=0,'2d. Scripts - market'!K25,0))</f>
        <v>0</v>
      </c>
      <c r="M86" s="47">
        <f>IF($D142&lt;&gt;"",G301,IF(MarketImpact=0,'2d. Scripts - market'!L25,0))</f>
        <v>0</v>
      </c>
      <c r="N86" s="47">
        <f>IF($D142&lt;&gt;"",H301,IF(MarketImpact=0,'2d. Scripts - market'!M25,0))</f>
        <v>0</v>
      </c>
      <c r="O86" s="47">
        <f>IF($D142&lt;&gt;"",I301,IF(MarketImpact=0,'2d. Scripts - market'!N25,0))</f>
        <v>0</v>
      </c>
      <c r="P86" s="47">
        <f>IF($D142&lt;&gt;"",J301,IF(MarketImpact=0,'2d. Scripts - market'!O25,0))</f>
        <v>0</v>
      </c>
      <c r="Q86" s="47">
        <f>IF($D142&lt;&gt;"",K301,IF(MarketImpact=0,'2d. Scripts - market'!P25,0))</f>
        <v>0</v>
      </c>
      <c r="R86" s="171"/>
      <c r="S86" s="171"/>
      <c r="T86" s="171"/>
      <c r="U86" s="171"/>
      <c r="V86" s="171"/>
      <c r="W86" s="592"/>
      <c r="X86" s="13"/>
      <c r="Y86" s="13"/>
      <c r="Z86" s="13"/>
      <c r="AA86" s="13"/>
      <c r="AH86" s="424">
        <v>14</v>
      </c>
      <c r="AI86" s="338">
        <f t="shared" ref="AI86:AT86" si="62">IF(OR(ScriptSourceCode=1,ScriptSourceCode=3),IF($AG118&lt;&gt;0,ROUND(AI118*INDEX(PxTxPhase1,$AG118,8),0),0),0)</f>
        <v>0</v>
      </c>
      <c r="AJ86" s="338">
        <f t="shared" si="62"/>
        <v>0</v>
      </c>
      <c r="AK86" s="338">
        <f t="shared" si="62"/>
        <v>0</v>
      </c>
      <c r="AL86" s="338">
        <f t="shared" si="62"/>
        <v>0</v>
      </c>
      <c r="AM86" s="338">
        <f t="shared" si="62"/>
        <v>0</v>
      </c>
      <c r="AN86" s="338">
        <f t="shared" si="62"/>
        <v>0</v>
      </c>
      <c r="AO86" s="338">
        <f t="shared" si="62"/>
        <v>0</v>
      </c>
      <c r="AP86" s="338">
        <f t="shared" si="62"/>
        <v>0</v>
      </c>
      <c r="AQ86" s="338">
        <f t="shared" si="62"/>
        <v>0</v>
      </c>
      <c r="AR86" s="338">
        <f t="shared" si="62"/>
        <v>0</v>
      </c>
      <c r="AS86" s="338">
        <f t="shared" si="62"/>
        <v>0</v>
      </c>
      <c r="AT86" s="338">
        <f t="shared" si="62"/>
        <v>0</v>
      </c>
    </row>
    <row r="87" spans="1:46" outlineLevel="1" x14ac:dyDescent="0.2">
      <c r="A87" s="171"/>
      <c r="B87" s="405">
        <f t="shared" si="51"/>
        <v>0</v>
      </c>
      <c r="C87" s="79">
        <v>11</v>
      </c>
      <c r="D87" s="622" t="str">
        <f t="shared" si="52"/>
        <v>** NOT USED **</v>
      </c>
      <c r="E87" s="47">
        <f>IF($D143&lt;&gt;"",F312,IF(MarketImpact=0,'2d. Scripts - market'!D26,0))</f>
        <v>0</v>
      </c>
      <c r="F87" s="47">
        <f>IF($D143&lt;&gt;"",G312,IF(MarketImpact=0,'2d. Scripts - market'!E26,0))</f>
        <v>0</v>
      </c>
      <c r="G87" s="47">
        <f>IF($D143&lt;&gt;"",H312,IF(MarketImpact=0,'2d. Scripts - market'!F26,0))</f>
        <v>0</v>
      </c>
      <c r="H87" s="47">
        <f>IF($D143&lt;&gt;"",I312,IF(MarketImpact=0,'2d. Scripts - market'!G26,0))</f>
        <v>0</v>
      </c>
      <c r="I87" s="47">
        <f>IF($D143&lt;&gt;"",J312,IF(MarketImpact=0,'2d. Scripts - market'!H26,0))</f>
        <v>0</v>
      </c>
      <c r="J87" s="47">
        <f>IF($D143&lt;&gt;"",K312,IF(MarketImpact=0,'2d. Scripts - market'!I26,0))</f>
        <v>0</v>
      </c>
      <c r="K87" s="171"/>
      <c r="L87" s="47">
        <f>IF($D143&lt;&gt;"",F313,IF(MarketImpact=0,'2d. Scripts - market'!K26,0))</f>
        <v>0</v>
      </c>
      <c r="M87" s="47">
        <f>IF($D143&lt;&gt;"",G313,IF(MarketImpact=0,'2d. Scripts - market'!L26,0))</f>
        <v>0</v>
      </c>
      <c r="N87" s="47">
        <f>IF($D143&lt;&gt;"",H313,IF(MarketImpact=0,'2d. Scripts - market'!M26,0))</f>
        <v>0</v>
      </c>
      <c r="O87" s="47">
        <f>IF($D143&lt;&gt;"",I313,IF(MarketImpact=0,'2d. Scripts - market'!N26,0))</f>
        <v>0</v>
      </c>
      <c r="P87" s="47">
        <f>IF($D143&lt;&gt;"",J313,IF(MarketImpact=0,'2d. Scripts - market'!O26,0))</f>
        <v>0</v>
      </c>
      <c r="Q87" s="47">
        <f>IF($D143&lt;&gt;"",K313,IF(MarketImpact=0,'2d. Scripts - market'!P26,0))</f>
        <v>0</v>
      </c>
      <c r="R87" s="171"/>
      <c r="S87" s="171"/>
      <c r="T87" s="171"/>
      <c r="U87" s="171"/>
      <c r="V87" s="171"/>
      <c r="W87" s="592"/>
      <c r="X87" s="13"/>
      <c r="Y87" s="13"/>
      <c r="Z87" s="13"/>
      <c r="AA87" s="13"/>
      <c r="AH87" s="424">
        <v>15</v>
      </c>
      <c r="AI87" s="338">
        <f t="shared" ref="AI87:AT87" si="63">IF(OR(ScriptSourceCode=1,ScriptSourceCode=3),IF($AG119&lt;&gt;0,ROUND(AI119*INDEX(PxTxPhase1,$AG119,8),0),0),0)</f>
        <v>0</v>
      </c>
      <c r="AJ87" s="338">
        <f t="shared" si="63"/>
        <v>0</v>
      </c>
      <c r="AK87" s="338">
        <f t="shared" si="63"/>
        <v>0</v>
      </c>
      <c r="AL87" s="338">
        <f t="shared" si="63"/>
        <v>0</v>
      </c>
      <c r="AM87" s="338">
        <f t="shared" si="63"/>
        <v>0</v>
      </c>
      <c r="AN87" s="338">
        <f t="shared" si="63"/>
        <v>0</v>
      </c>
      <c r="AO87" s="338">
        <f t="shared" si="63"/>
        <v>0</v>
      </c>
      <c r="AP87" s="338">
        <f t="shared" si="63"/>
        <v>0</v>
      </c>
      <c r="AQ87" s="338">
        <f t="shared" si="63"/>
        <v>0</v>
      </c>
      <c r="AR87" s="338">
        <f t="shared" si="63"/>
        <v>0</v>
      </c>
      <c r="AS87" s="338">
        <f t="shared" si="63"/>
        <v>0</v>
      </c>
      <c r="AT87" s="338">
        <f t="shared" si="63"/>
        <v>0</v>
      </c>
    </row>
    <row r="88" spans="1:46" outlineLevel="1" x14ac:dyDescent="0.2">
      <c r="A88" s="171"/>
      <c r="B88" s="405">
        <f t="shared" si="51"/>
        <v>0</v>
      </c>
      <c r="C88" s="79">
        <v>12</v>
      </c>
      <c r="D88" s="622" t="str">
        <f t="shared" si="52"/>
        <v>** NOT USED **</v>
      </c>
      <c r="E88" s="47">
        <f>IF($D144&lt;&gt;"",F324,IF(MarketImpact=0,'2d. Scripts - market'!D27,0))</f>
        <v>0</v>
      </c>
      <c r="F88" s="47">
        <f>IF($D144&lt;&gt;"",G324,IF(MarketImpact=0,'2d. Scripts - market'!E27,0))</f>
        <v>0</v>
      </c>
      <c r="G88" s="47">
        <f>IF($D144&lt;&gt;"",H324,IF(MarketImpact=0,'2d. Scripts - market'!F27,0))</f>
        <v>0</v>
      </c>
      <c r="H88" s="47">
        <f>IF($D144&lt;&gt;"",I324,IF(MarketImpact=0,'2d. Scripts - market'!G27,0))</f>
        <v>0</v>
      </c>
      <c r="I88" s="47">
        <f>IF($D144&lt;&gt;"",J324,IF(MarketImpact=0,'2d. Scripts - market'!H27,0))</f>
        <v>0</v>
      </c>
      <c r="J88" s="47">
        <f>IF($D144&lt;&gt;"",K324,IF(MarketImpact=0,'2d. Scripts - market'!I27,0))</f>
        <v>0</v>
      </c>
      <c r="K88" s="171"/>
      <c r="L88" s="47">
        <f>IF($D144&lt;&gt;"",F325,IF(MarketImpact=0,'2d. Scripts - market'!K27,0))</f>
        <v>0</v>
      </c>
      <c r="M88" s="47">
        <f>IF($D144&lt;&gt;"",G325,IF(MarketImpact=0,'2d. Scripts - market'!L27,0))</f>
        <v>0</v>
      </c>
      <c r="N88" s="47">
        <f>IF($D144&lt;&gt;"",H325,IF(MarketImpact=0,'2d. Scripts - market'!M27,0))</f>
        <v>0</v>
      </c>
      <c r="O88" s="47">
        <f>IF($D144&lt;&gt;"",I325,IF(MarketImpact=0,'2d. Scripts - market'!N27,0))</f>
        <v>0</v>
      </c>
      <c r="P88" s="47">
        <f>IF($D144&lt;&gt;"",J325,IF(MarketImpact=0,'2d. Scripts - market'!O27,0))</f>
        <v>0</v>
      </c>
      <c r="Q88" s="47">
        <f>IF($D144&lt;&gt;"",K325,IF(MarketImpact=0,'2d. Scripts - market'!P27,0))</f>
        <v>0</v>
      </c>
      <c r="R88" s="171"/>
      <c r="S88" s="171"/>
      <c r="T88" s="171"/>
      <c r="U88" s="171"/>
      <c r="V88" s="171"/>
      <c r="W88" s="592"/>
      <c r="X88" s="13"/>
      <c r="Y88" s="13"/>
      <c r="Z88" s="13"/>
      <c r="AA88" s="13"/>
      <c r="AH88" s="424">
        <v>16</v>
      </c>
      <c r="AI88" s="338">
        <f t="shared" ref="AI88:AT88" si="64">IF(OR(ScriptSourceCode=1,ScriptSourceCode=3),IF($AG120&lt;&gt;0,ROUND(AI120*INDEX(PxTxPhase1,$AG120,8),0),0),0)</f>
        <v>0</v>
      </c>
      <c r="AJ88" s="338">
        <f t="shared" si="64"/>
        <v>0</v>
      </c>
      <c r="AK88" s="338">
        <f t="shared" si="64"/>
        <v>0</v>
      </c>
      <c r="AL88" s="338">
        <f t="shared" si="64"/>
        <v>0</v>
      </c>
      <c r="AM88" s="338">
        <f t="shared" si="64"/>
        <v>0</v>
      </c>
      <c r="AN88" s="338">
        <f t="shared" si="64"/>
        <v>0</v>
      </c>
      <c r="AO88" s="338">
        <f t="shared" si="64"/>
        <v>0</v>
      </c>
      <c r="AP88" s="338">
        <f t="shared" si="64"/>
        <v>0</v>
      </c>
      <c r="AQ88" s="338">
        <f t="shared" si="64"/>
        <v>0</v>
      </c>
      <c r="AR88" s="338">
        <f t="shared" si="64"/>
        <v>0</v>
      </c>
      <c r="AS88" s="338">
        <f t="shared" si="64"/>
        <v>0</v>
      </c>
      <c r="AT88" s="338">
        <f t="shared" si="64"/>
        <v>0</v>
      </c>
    </row>
    <row r="89" spans="1:46" outlineLevel="1" x14ac:dyDescent="0.2">
      <c r="A89" s="171"/>
      <c r="B89" s="405">
        <f t="shared" si="51"/>
        <v>0</v>
      </c>
      <c r="C89" s="79">
        <v>13</v>
      </c>
      <c r="D89" s="622" t="str">
        <f t="shared" si="52"/>
        <v>** NOT USED **</v>
      </c>
      <c r="E89" s="47">
        <f>IF($D145&lt;&gt;"",F336,IF(MarketImpact=0,'2d. Scripts - market'!D28,0))</f>
        <v>0</v>
      </c>
      <c r="F89" s="47">
        <f>IF($D145&lt;&gt;"",G336,IF(MarketImpact=0,'2d. Scripts - market'!E28,0))</f>
        <v>0</v>
      </c>
      <c r="G89" s="47">
        <f>IF($D145&lt;&gt;"",H336,IF(MarketImpact=0,'2d. Scripts - market'!F28,0))</f>
        <v>0</v>
      </c>
      <c r="H89" s="47">
        <f>IF($D145&lt;&gt;"",I336,IF(MarketImpact=0,'2d. Scripts - market'!G28,0))</f>
        <v>0</v>
      </c>
      <c r="I89" s="47">
        <f>IF($D145&lt;&gt;"",J336,IF(MarketImpact=0,'2d. Scripts - market'!H28,0))</f>
        <v>0</v>
      </c>
      <c r="J89" s="47">
        <f>IF($D145&lt;&gt;"",K336,IF(MarketImpact=0,'2d. Scripts - market'!I28,0))</f>
        <v>0</v>
      </c>
      <c r="K89" s="171"/>
      <c r="L89" s="47">
        <f>IF($D145&lt;&gt;"",F337,IF(MarketImpact=0,'2d. Scripts - market'!K28,0))</f>
        <v>0</v>
      </c>
      <c r="M89" s="47">
        <f>IF($D145&lt;&gt;"",G337,IF(MarketImpact=0,'2d. Scripts - market'!L28,0))</f>
        <v>0</v>
      </c>
      <c r="N89" s="47">
        <f>IF($D145&lt;&gt;"",H337,IF(MarketImpact=0,'2d. Scripts - market'!M28,0))</f>
        <v>0</v>
      </c>
      <c r="O89" s="47">
        <f>IF($D145&lt;&gt;"",I337,IF(MarketImpact=0,'2d. Scripts - market'!N28,0))</f>
        <v>0</v>
      </c>
      <c r="P89" s="47">
        <f>IF($D145&lt;&gt;"",J337,IF(MarketImpact=0,'2d. Scripts - market'!O28,0))</f>
        <v>0</v>
      </c>
      <c r="Q89" s="47">
        <f>IF($D145&lt;&gt;"",K337,IF(MarketImpact=0,'2d. Scripts - market'!P28,0))</f>
        <v>0</v>
      </c>
      <c r="R89" s="171"/>
      <c r="S89" s="171"/>
      <c r="T89" s="171"/>
      <c r="U89" s="171"/>
      <c r="V89" s="171"/>
      <c r="W89" s="592"/>
      <c r="X89" s="13"/>
      <c r="Y89" s="13"/>
      <c r="Z89" s="13"/>
      <c r="AA89" s="13"/>
      <c r="AH89" s="424">
        <v>17</v>
      </c>
      <c r="AI89" s="338">
        <f t="shared" ref="AI89:AT89" si="65">IF(OR(ScriptSourceCode=1,ScriptSourceCode=3),IF($AG121&lt;&gt;0,ROUND(AI121*INDEX(PxTxPhase1,$AG121,8),0),0),0)</f>
        <v>0</v>
      </c>
      <c r="AJ89" s="338">
        <f t="shared" si="65"/>
        <v>0</v>
      </c>
      <c r="AK89" s="338">
        <f t="shared" si="65"/>
        <v>0</v>
      </c>
      <c r="AL89" s="338">
        <f t="shared" si="65"/>
        <v>0</v>
      </c>
      <c r="AM89" s="338">
        <f t="shared" si="65"/>
        <v>0</v>
      </c>
      <c r="AN89" s="338">
        <f t="shared" si="65"/>
        <v>0</v>
      </c>
      <c r="AO89" s="338">
        <f t="shared" si="65"/>
        <v>0</v>
      </c>
      <c r="AP89" s="338">
        <f t="shared" si="65"/>
        <v>0</v>
      </c>
      <c r="AQ89" s="338">
        <f t="shared" si="65"/>
        <v>0</v>
      </c>
      <c r="AR89" s="338">
        <f t="shared" si="65"/>
        <v>0</v>
      </c>
      <c r="AS89" s="338">
        <f t="shared" si="65"/>
        <v>0</v>
      </c>
      <c r="AT89" s="338">
        <f t="shared" si="65"/>
        <v>0</v>
      </c>
    </row>
    <row r="90" spans="1:46" outlineLevel="1" x14ac:dyDescent="0.2">
      <c r="A90" s="171"/>
      <c r="B90" s="405">
        <f t="shared" si="51"/>
        <v>0</v>
      </c>
      <c r="C90" s="79">
        <v>14</v>
      </c>
      <c r="D90" s="622" t="str">
        <f t="shared" si="52"/>
        <v>** NOT USED **</v>
      </c>
      <c r="E90" s="47">
        <f>IF($D146&lt;&gt;"",F348,IF(MarketImpact=0,'2d. Scripts - market'!D29,0))</f>
        <v>0</v>
      </c>
      <c r="F90" s="47">
        <f>IF($D146&lt;&gt;"",G348,IF(MarketImpact=0,'2d. Scripts - market'!E29,0))</f>
        <v>0</v>
      </c>
      <c r="G90" s="47">
        <f>IF($D146&lt;&gt;"",H348,IF(MarketImpact=0,'2d. Scripts - market'!F29,0))</f>
        <v>0</v>
      </c>
      <c r="H90" s="47">
        <f>IF($D146&lt;&gt;"",I348,IF(MarketImpact=0,'2d. Scripts - market'!G29,0))</f>
        <v>0</v>
      </c>
      <c r="I90" s="47">
        <f>IF($D146&lt;&gt;"",J348,IF(MarketImpact=0,'2d. Scripts - market'!H29,0))</f>
        <v>0</v>
      </c>
      <c r="J90" s="47">
        <f>IF($D146&lt;&gt;"",K348,IF(MarketImpact=0,'2d. Scripts - market'!I29,0))</f>
        <v>0</v>
      </c>
      <c r="K90" s="171"/>
      <c r="L90" s="47">
        <f>IF($D146&lt;&gt;"",F349,IF(MarketImpact=0,'2d. Scripts - market'!K29,0))</f>
        <v>0</v>
      </c>
      <c r="M90" s="47">
        <f>IF($D146&lt;&gt;"",G349,IF(MarketImpact=0,'2d. Scripts - market'!L29,0))</f>
        <v>0</v>
      </c>
      <c r="N90" s="47">
        <f>IF($D146&lt;&gt;"",H349,IF(MarketImpact=0,'2d. Scripts - market'!M29,0))</f>
        <v>0</v>
      </c>
      <c r="O90" s="47">
        <f>IF($D146&lt;&gt;"",I349,IF(MarketImpact=0,'2d. Scripts - market'!N29,0))</f>
        <v>0</v>
      </c>
      <c r="P90" s="47">
        <f>IF($D146&lt;&gt;"",J349,IF(MarketImpact=0,'2d. Scripts - market'!O29,0))</f>
        <v>0</v>
      </c>
      <c r="Q90" s="47">
        <f>IF($D146&lt;&gt;"",K349,IF(MarketImpact=0,'2d. Scripts - market'!P29,0))</f>
        <v>0</v>
      </c>
      <c r="R90" s="171"/>
      <c r="S90" s="171"/>
      <c r="T90" s="171"/>
      <c r="U90" s="171"/>
      <c r="V90" s="171"/>
      <c r="W90" s="592"/>
      <c r="X90" s="13"/>
      <c r="Y90" s="13"/>
      <c r="Z90" s="13"/>
      <c r="AA90" s="13"/>
      <c r="AH90" s="424">
        <v>18</v>
      </c>
      <c r="AI90" s="338">
        <f t="shared" ref="AI90:AT90" si="66">IF(OR(ScriptSourceCode=1,ScriptSourceCode=3),IF($AG122&lt;&gt;0,ROUND(AI122*INDEX(PxTxPhase1,$AG122,8),0),0),0)</f>
        <v>0</v>
      </c>
      <c r="AJ90" s="338">
        <f t="shared" si="66"/>
        <v>0</v>
      </c>
      <c r="AK90" s="338">
        <f t="shared" si="66"/>
        <v>0</v>
      </c>
      <c r="AL90" s="338">
        <f t="shared" si="66"/>
        <v>0</v>
      </c>
      <c r="AM90" s="338">
        <f t="shared" si="66"/>
        <v>0</v>
      </c>
      <c r="AN90" s="338">
        <f t="shared" si="66"/>
        <v>0</v>
      </c>
      <c r="AO90" s="338">
        <f t="shared" si="66"/>
        <v>0</v>
      </c>
      <c r="AP90" s="338">
        <f t="shared" si="66"/>
        <v>0</v>
      </c>
      <c r="AQ90" s="338">
        <f t="shared" si="66"/>
        <v>0</v>
      </c>
      <c r="AR90" s="338">
        <f t="shared" si="66"/>
        <v>0</v>
      </c>
      <c r="AS90" s="338">
        <f t="shared" si="66"/>
        <v>0</v>
      </c>
      <c r="AT90" s="338">
        <f t="shared" si="66"/>
        <v>0</v>
      </c>
    </row>
    <row r="91" spans="1:46" outlineLevel="1" x14ac:dyDescent="0.2">
      <c r="A91" s="171"/>
      <c r="B91" s="405">
        <f t="shared" si="51"/>
        <v>0</v>
      </c>
      <c r="C91" s="79">
        <v>15</v>
      </c>
      <c r="D91" s="622" t="str">
        <f t="shared" si="52"/>
        <v>** NOT USED **</v>
      </c>
      <c r="E91" s="47">
        <f>IF($D147&lt;&gt;"",F360,IF(MarketImpact=0,'2d. Scripts - market'!D30,0))</f>
        <v>0</v>
      </c>
      <c r="F91" s="47">
        <f>IF($D147&lt;&gt;"",G360,IF(MarketImpact=0,'2d. Scripts - market'!E30,0))</f>
        <v>0</v>
      </c>
      <c r="G91" s="47">
        <f>IF($D147&lt;&gt;"",H360,IF(MarketImpact=0,'2d. Scripts - market'!F30,0))</f>
        <v>0</v>
      </c>
      <c r="H91" s="47">
        <f>IF($D147&lt;&gt;"",I360,IF(MarketImpact=0,'2d. Scripts - market'!G30,0))</f>
        <v>0</v>
      </c>
      <c r="I91" s="47">
        <f>IF($D147&lt;&gt;"",J360,IF(MarketImpact=0,'2d. Scripts - market'!H30,0))</f>
        <v>0</v>
      </c>
      <c r="J91" s="47">
        <f>IF($D147&lt;&gt;"",K360,IF(MarketImpact=0,'2d. Scripts - market'!I30,0))</f>
        <v>0</v>
      </c>
      <c r="K91" s="171"/>
      <c r="L91" s="47">
        <f>IF($D147&lt;&gt;"",F361,IF(MarketImpact=0,'2d. Scripts - market'!K30,0))</f>
        <v>0</v>
      </c>
      <c r="M91" s="47">
        <f>IF($D147&lt;&gt;"",G361,IF(MarketImpact=0,'2d. Scripts - market'!L30,0))</f>
        <v>0</v>
      </c>
      <c r="N91" s="47">
        <f>IF($D147&lt;&gt;"",H361,IF(MarketImpact=0,'2d. Scripts - market'!M30,0))</f>
        <v>0</v>
      </c>
      <c r="O91" s="47">
        <f>IF($D147&lt;&gt;"",I361,IF(MarketImpact=0,'2d. Scripts - market'!N30,0))</f>
        <v>0</v>
      </c>
      <c r="P91" s="47">
        <f>IF($D147&lt;&gt;"",J361,IF(MarketImpact=0,'2d. Scripts - market'!O30,0))</f>
        <v>0</v>
      </c>
      <c r="Q91" s="47">
        <f>IF($D147&lt;&gt;"",K361,IF(MarketImpact=0,'2d. Scripts - market'!P30,0))</f>
        <v>0</v>
      </c>
      <c r="R91" s="171"/>
      <c r="S91" s="171"/>
      <c r="T91" s="171"/>
      <c r="U91" s="171"/>
      <c r="V91" s="171"/>
      <c r="W91" s="592"/>
      <c r="X91" s="13"/>
      <c r="Y91" s="13"/>
      <c r="Z91" s="13"/>
      <c r="AA91" s="13"/>
      <c r="AH91" s="424">
        <v>19</v>
      </c>
      <c r="AI91" s="338">
        <f t="shared" ref="AI91:AT91" si="67">IF(OR(ScriptSourceCode=1,ScriptSourceCode=3),IF($AG123&lt;&gt;0,ROUND(AI123*INDEX(PxTxPhase1,$AG123,8),0),0),0)</f>
        <v>0</v>
      </c>
      <c r="AJ91" s="338">
        <f t="shared" si="67"/>
        <v>0</v>
      </c>
      <c r="AK91" s="338">
        <f t="shared" si="67"/>
        <v>0</v>
      </c>
      <c r="AL91" s="338">
        <f t="shared" si="67"/>
        <v>0</v>
      </c>
      <c r="AM91" s="338">
        <f t="shared" si="67"/>
        <v>0</v>
      </c>
      <c r="AN91" s="338">
        <f t="shared" si="67"/>
        <v>0</v>
      </c>
      <c r="AO91" s="338">
        <f t="shared" si="67"/>
        <v>0</v>
      </c>
      <c r="AP91" s="338">
        <f t="shared" si="67"/>
        <v>0</v>
      </c>
      <c r="AQ91" s="338">
        <f t="shared" si="67"/>
        <v>0</v>
      </c>
      <c r="AR91" s="338">
        <f t="shared" si="67"/>
        <v>0</v>
      </c>
      <c r="AS91" s="338">
        <f t="shared" si="67"/>
        <v>0</v>
      </c>
      <c r="AT91" s="338">
        <f t="shared" si="67"/>
        <v>0</v>
      </c>
    </row>
    <row r="92" spans="1:46" outlineLevel="1" x14ac:dyDescent="0.2">
      <c r="A92" s="171"/>
      <c r="B92" s="405">
        <f t="shared" si="51"/>
        <v>0</v>
      </c>
      <c r="C92" s="79">
        <v>16</v>
      </c>
      <c r="D92" s="622" t="str">
        <f t="shared" si="52"/>
        <v>** NOT USED **</v>
      </c>
      <c r="E92" s="47">
        <f>IF($D148&lt;&gt;"",F372,IF(MarketImpact=0,'2d. Scripts - market'!D31,0))</f>
        <v>0</v>
      </c>
      <c r="F92" s="47">
        <f>IF($D148&lt;&gt;"",G372,IF(MarketImpact=0,'2d. Scripts - market'!E31,0))</f>
        <v>0</v>
      </c>
      <c r="G92" s="47">
        <f>IF($D148&lt;&gt;"",H372,IF(MarketImpact=0,'2d. Scripts - market'!F31,0))</f>
        <v>0</v>
      </c>
      <c r="H92" s="47">
        <f>IF($D148&lt;&gt;"",I372,IF(MarketImpact=0,'2d. Scripts - market'!G31,0))</f>
        <v>0</v>
      </c>
      <c r="I92" s="47">
        <f>IF($D148&lt;&gt;"",J372,IF(MarketImpact=0,'2d. Scripts - market'!H31,0))</f>
        <v>0</v>
      </c>
      <c r="J92" s="47">
        <f>IF($D148&lt;&gt;"",K372,IF(MarketImpact=0,'2d. Scripts - market'!I31,0))</f>
        <v>0</v>
      </c>
      <c r="K92" s="171"/>
      <c r="L92" s="47">
        <f>IF($D148&lt;&gt;"",F373,IF(MarketImpact=0,'2d. Scripts - market'!K31,0))</f>
        <v>0</v>
      </c>
      <c r="M92" s="47">
        <f>IF($D148&lt;&gt;"",G373,IF(MarketImpact=0,'2d. Scripts - market'!L31,0))</f>
        <v>0</v>
      </c>
      <c r="N92" s="47">
        <f>IF($D148&lt;&gt;"",H373,IF(MarketImpact=0,'2d. Scripts - market'!M31,0))</f>
        <v>0</v>
      </c>
      <c r="O92" s="47">
        <f>IF($D148&lt;&gt;"",I373,IF(MarketImpact=0,'2d. Scripts - market'!N31,0))</f>
        <v>0</v>
      </c>
      <c r="P92" s="47">
        <f>IF($D148&lt;&gt;"",J373,IF(MarketImpact=0,'2d. Scripts - market'!O31,0))</f>
        <v>0</v>
      </c>
      <c r="Q92" s="47">
        <f>IF($D148&lt;&gt;"",K373,IF(MarketImpact=0,'2d. Scripts - market'!P31,0))</f>
        <v>0</v>
      </c>
      <c r="R92" s="171"/>
      <c r="S92" s="171"/>
      <c r="T92" s="171"/>
      <c r="U92" s="171"/>
      <c r="V92" s="171"/>
      <c r="W92" s="592"/>
      <c r="X92" s="13"/>
      <c r="Y92" s="13"/>
      <c r="Z92" s="13"/>
      <c r="AA92" s="13"/>
      <c r="AH92" s="424">
        <v>20</v>
      </c>
      <c r="AI92" s="338">
        <f t="shared" ref="AI92:AT92" si="68">IF(OR(ScriptSourceCode=1,ScriptSourceCode=3),IF($AG124&lt;&gt;0,ROUND(AI124*INDEX(PxTxPhase1,$AG124,8),0),0),0)</f>
        <v>0</v>
      </c>
      <c r="AJ92" s="338">
        <f t="shared" si="68"/>
        <v>0</v>
      </c>
      <c r="AK92" s="338">
        <f t="shared" si="68"/>
        <v>0</v>
      </c>
      <c r="AL92" s="338">
        <f t="shared" si="68"/>
        <v>0</v>
      </c>
      <c r="AM92" s="338">
        <f t="shared" si="68"/>
        <v>0</v>
      </c>
      <c r="AN92" s="338">
        <f t="shared" si="68"/>
        <v>0</v>
      </c>
      <c r="AO92" s="338">
        <f t="shared" si="68"/>
        <v>0</v>
      </c>
      <c r="AP92" s="338">
        <f t="shared" si="68"/>
        <v>0</v>
      </c>
      <c r="AQ92" s="338">
        <f t="shared" si="68"/>
        <v>0</v>
      </c>
      <c r="AR92" s="338">
        <f t="shared" si="68"/>
        <v>0</v>
      </c>
      <c r="AS92" s="338">
        <f t="shared" si="68"/>
        <v>0</v>
      </c>
      <c r="AT92" s="338">
        <f t="shared" si="68"/>
        <v>0</v>
      </c>
    </row>
    <row r="93" spans="1:46" outlineLevel="1" x14ac:dyDescent="0.2">
      <c r="A93" s="171"/>
      <c r="B93" s="405">
        <f t="shared" si="51"/>
        <v>0</v>
      </c>
      <c r="C93" s="79">
        <v>17</v>
      </c>
      <c r="D93" s="622" t="str">
        <f t="shared" si="52"/>
        <v>** NOT USED **</v>
      </c>
      <c r="E93" s="47">
        <f>IF($D149&lt;&gt;"",F384,IF(MarketImpact=0,'2d. Scripts - market'!D32,0))</f>
        <v>0</v>
      </c>
      <c r="F93" s="47">
        <f>IF($D149&lt;&gt;"",G384,IF(MarketImpact=0,'2d. Scripts - market'!E32,0))</f>
        <v>0</v>
      </c>
      <c r="G93" s="47">
        <f>IF($D149&lt;&gt;"",H384,IF(MarketImpact=0,'2d. Scripts - market'!F32,0))</f>
        <v>0</v>
      </c>
      <c r="H93" s="47">
        <f>IF($D149&lt;&gt;"",I384,IF(MarketImpact=0,'2d. Scripts - market'!G32,0))</f>
        <v>0</v>
      </c>
      <c r="I93" s="47">
        <f>IF($D149&lt;&gt;"",J384,IF(MarketImpact=0,'2d. Scripts - market'!H32,0))</f>
        <v>0</v>
      </c>
      <c r="J93" s="47">
        <f>IF($D149&lt;&gt;"",K384,IF(MarketImpact=0,'2d. Scripts - market'!I32,0))</f>
        <v>0</v>
      </c>
      <c r="K93" s="171"/>
      <c r="L93" s="47">
        <f>IF($D149&lt;&gt;"",F385,IF(MarketImpact=0,'2d. Scripts - market'!K32,0))</f>
        <v>0</v>
      </c>
      <c r="M93" s="47">
        <f>IF($D149&lt;&gt;"",G385,IF(MarketImpact=0,'2d. Scripts - market'!L32,0))</f>
        <v>0</v>
      </c>
      <c r="N93" s="47">
        <f>IF($D149&lt;&gt;"",H385,IF(MarketImpact=0,'2d. Scripts - market'!M32,0))</f>
        <v>0</v>
      </c>
      <c r="O93" s="47">
        <f>IF($D149&lt;&gt;"",I385,IF(MarketImpact=0,'2d. Scripts - market'!N32,0))</f>
        <v>0</v>
      </c>
      <c r="P93" s="47">
        <f>IF($D149&lt;&gt;"",J385,IF(MarketImpact=0,'2d. Scripts - market'!O32,0))</f>
        <v>0</v>
      </c>
      <c r="Q93" s="47">
        <f>IF($D149&lt;&gt;"",K385,IF(MarketImpact=0,'2d. Scripts - market'!P32,0))</f>
        <v>0</v>
      </c>
      <c r="R93" s="171"/>
      <c r="S93" s="171"/>
      <c r="T93" s="171"/>
      <c r="U93" s="171"/>
      <c r="V93" s="171"/>
      <c r="W93" s="592"/>
      <c r="X93" s="13"/>
      <c r="Y93" s="13"/>
      <c r="Z93" s="13"/>
      <c r="AA93" s="13"/>
    </row>
    <row r="94" spans="1:46" outlineLevel="1" x14ac:dyDescent="0.2">
      <c r="A94" s="171"/>
      <c r="B94" s="405">
        <f t="shared" si="51"/>
        <v>0</v>
      </c>
      <c r="C94" s="79">
        <v>18</v>
      </c>
      <c r="D94" s="622" t="str">
        <f t="shared" si="52"/>
        <v>** NOT USED **</v>
      </c>
      <c r="E94" s="47">
        <f>IF($D150&lt;&gt;"",F396,IF(MarketImpact=0,'2d. Scripts - market'!D33,0))</f>
        <v>0</v>
      </c>
      <c r="F94" s="47">
        <f>IF($D150&lt;&gt;"",G396,IF(MarketImpact=0,'2d. Scripts - market'!E33,0))</f>
        <v>0</v>
      </c>
      <c r="G94" s="47">
        <f>IF($D150&lt;&gt;"",H396,IF(MarketImpact=0,'2d. Scripts - market'!F33,0))</f>
        <v>0</v>
      </c>
      <c r="H94" s="47">
        <f>IF($D150&lt;&gt;"",I396,IF(MarketImpact=0,'2d. Scripts - market'!G33,0))</f>
        <v>0</v>
      </c>
      <c r="I94" s="47">
        <f>IF($D150&lt;&gt;"",J396,IF(MarketImpact=0,'2d. Scripts - market'!H33,0))</f>
        <v>0</v>
      </c>
      <c r="J94" s="47">
        <f>IF($D150&lt;&gt;"",K396,IF(MarketImpact=0,'2d. Scripts - market'!I33,0))</f>
        <v>0</v>
      </c>
      <c r="K94" s="171"/>
      <c r="L94" s="47">
        <f>IF($D150&lt;&gt;"",F397,IF(MarketImpact=0,'2d. Scripts - market'!K33,0))</f>
        <v>0</v>
      </c>
      <c r="M94" s="47">
        <f>IF($D150&lt;&gt;"",G397,IF(MarketImpact=0,'2d. Scripts - market'!L33,0))</f>
        <v>0</v>
      </c>
      <c r="N94" s="47">
        <f>IF($D150&lt;&gt;"",H397,IF(MarketImpact=0,'2d. Scripts - market'!M33,0))</f>
        <v>0</v>
      </c>
      <c r="O94" s="47">
        <f>IF($D150&lt;&gt;"",I397,IF(MarketImpact=0,'2d. Scripts - market'!N33,0))</f>
        <v>0</v>
      </c>
      <c r="P94" s="47">
        <f>IF($D150&lt;&gt;"",J397,IF(MarketImpact=0,'2d. Scripts - market'!O33,0))</f>
        <v>0</v>
      </c>
      <c r="Q94" s="47">
        <f>IF($D150&lt;&gt;"",K397,IF(MarketImpact=0,'2d. Scripts - market'!P33,0))</f>
        <v>0</v>
      </c>
      <c r="R94" s="171"/>
      <c r="S94" s="171"/>
      <c r="T94" s="171"/>
      <c r="U94" s="171"/>
      <c r="V94" s="171"/>
      <c r="W94" s="592"/>
      <c r="X94" s="13"/>
      <c r="Y94" s="13"/>
      <c r="Z94" s="13"/>
      <c r="AA94" s="13"/>
    </row>
    <row r="95" spans="1:46" outlineLevel="1" x14ac:dyDescent="0.2">
      <c r="A95" s="171"/>
      <c r="B95" s="405">
        <f t="shared" si="51"/>
        <v>0</v>
      </c>
      <c r="C95" s="79">
        <v>19</v>
      </c>
      <c r="D95" s="622" t="str">
        <f t="shared" si="52"/>
        <v>** NOT USED **</v>
      </c>
      <c r="E95" s="47">
        <f>IF($D151&lt;&gt;"",F408,IF(MarketImpact=0,'2d. Scripts - market'!D34,0))</f>
        <v>0</v>
      </c>
      <c r="F95" s="47">
        <f>IF($D151&lt;&gt;"",G408,IF(MarketImpact=0,'2d. Scripts - market'!E34,0))</f>
        <v>0</v>
      </c>
      <c r="G95" s="47">
        <f>IF($D151&lt;&gt;"",H408,IF(MarketImpact=0,'2d. Scripts - market'!F34,0))</f>
        <v>0</v>
      </c>
      <c r="H95" s="47">
        <f>IF($D151&lt;&gt;"",I408,IF(MarketImpact=0,'2d. Scripts - market'!G34,0))</f>
        <v>0</v>
      </c>
      <c r="I95" s="47">
        <f>IF($D151&lt;&gt;"",J408,IF(MarketImpact=0,'2d. Scripts - market'!H34,0))</f>
        <v>0</v>
      </c>
      <c r="J95" s="47">
        <f>IF($D151&lt;&gt;"",K408,IF(MarketImpact=0,'2d. Scripts - market'!I34,0))</f>
        <v>0</v>
      </c>
      <c r="K95" s="171"/>
      <c r="L95" s="47">
        <f>IF($D151&lt;&gt;"",F409,IF(MarketImpact=0,'2d. Scripts - market'!K34,0))</f>
        <v>0</v>
      </c>
      <c r="M95" s="47">
        <f>IF($D151&lt;&gt;"",G409,IF(MarketImpact=0,'2d. Scripts - market'!L34,0))</f>
        <v>0</v>
      </c>
      <c r="N95" s="47">
        <f>IF($D151&lt;&gt;"",H409,IF(MarketImpact=0,'2d. Scripts - market'!M34,0))</f>
        <v>0</v>
      </c>
      <c r="O95" s="47">
        <f>IF($D151&lt;&gt;"",I409,IF(MarketImpact=0,'2d. Scripts - market'!N34,0))</f>
        <v>0</v>
      </c>
      <c r="P95" s="47">
        <f>IF($D151&lt;&gt;"",J409,IF(MarketImpact=0,'2d. Scripts - market'!O34,0))</f>
        <v>0</v>
      </c>
      <c r="Q95" s="47">
        <f>IF($D151&lt;&gt;"",K409,IF(MarketImpact=0,'2d. Scripts - market'!P34,0))</f>
        <v>0</v>
      </c>
      <c r="R95" s="171"/>
      <c r="S95" s="171"/>
      <c r="T95" s="171"/>
      <c r="U95" s="171"/>
      <c r="V95" s="171"/>
      <c r="W95" s="592"/>
      <c r="X95" s="13"/>
      <c r="Y95" s="13"/>
      <c r="Z95" s="13"/>
      <c r="AA95" s="13"/>
    </row>
    <row r="96" spans="1:46" outlineLevel="1" x14ac:dyDescent="0.2">
      <c r="A96" s="171"/>
      <c r="B96" s="405">
        <f t="shared" si="51"/>
        <v>0</v>
      </c>
      <c r="C96" s="79">
        <v>20</v>
      </c>
      <c r="D96" s="622" t="str">
        <f t="shared" si="52"/>
        <v>** NOT USED **</v>
      </c>
      <c r="E96" s="47">
        <f>IF($D152&lt;&gt;"",F420,IF(MarketImpact=0,'2d. Scripts - market'!D35,0))</f>
        <v>0</v>
      </c>
      <c r="F96" s="47">
        <f>IF($D152&lt;&gt;"",G420,IF(MarketImpact=0,'2d. Scripts - market'!E35,0))</f>
        <v>0</v>
      </c>
      <c r="G96" s="47">
        <f>IF($D152&lt;&gt;"",H420,IF(MarketImpact=0,'2d. Scripts - market'!F35,0))</f>
        <v>0</v>
      </c>
      <c r="H96" s="47">
        <f>IF($D152&lt;&gt;"",I420,IF(MarketImpact=0,'2d. Scripts - market'!G35,0))</f>
        <v>0</v>
      </c>
      <c r="I96" s="47">
        <f>IF($D152&lt;&gt;"",J420,IF(MarketImpact=0,'2d. Scripts - market'!H35,0))</f>
        <v>0</v>
      </c>
      <c r="J96" s="47">
        <f>IF($D152&lt;&gt;"",K420,IF(MarketImpact=0,'2d. Scripts - market'!I35,0))</f>
        <v>0</v>
      </c>
      <c r="K96" s="171"/>
      <c r="L96" s="47">
        <f>IF($D152&lt;&gt;"",F421,IF(MarketImpact=0,'2d. Scripts - market'!K35,0))</f>
        <v>0</v>
      </c>
      <c r="M96" s="47">
        <f>IF($D152&lt;&gt;"",G421,IF(MarketImpact=0,'2d. Scripts - market'!L35,0))</f>
        <v>0</v>
      </c>
      <c r="N96" s="47">
        <f>IF($D152&lt;&gt;"",H421,IF(MarketImpact=0,'2d. Scripts - market'!M35,0))</f>
        <v>0</v>
      </c>
      <c r="O96" s="47">
        <f>IF($D152&lt;&gt;"",I421,IF(MarketImpact=0,'2d. Scripts - market'!N35,0))</f>
        <v>0</v>
      </c>
      <c r="P96" s="47">
        <f>IF($D152&lt;&gt;"",J421,IF(MarketImpact=0,'2d. Scripts - market'!O35,0))</f>
        <v>0</v>
      </c>
      <c r="Q96" s="47">
        <f>IF($D152&lt;&gt;"",K421,IF(MarketImpact=0,'2d. Scripts - market'!P35,0))</f>
        <v>0</v>
      </c>
      <c r="R96" s="171"/>
      <c r="S96" s="171"/>
      <c r="T96" s="171"/>
      <c r="U96" s="171"/>
      <c r="V96" s="171"/>
      <c r="W96" s="592"/>
      <c r="X96" s="13"/>
      <c r="Y96" s="13"/>
      <c r="Z96" s="13"/>
      <c r="AA96" s="13"/>
    </row>
    <row r="97" spans="1:46" outlineLevel="1" x14ac:dyDescent="0.2">
      <c r="A97" s="171"/>
      <c r="B97" s="405">
        <f>SUM(B77:B96)</f>
        <v>0</v>
      </c>
      <c r="D97" s="85" t="s">
        <v>255</v>
      </c>
      <c r="E97" s="50">
        <f>SUM(E77:E96)</f>
        <v>0</v>
      </c>
      <c r="F97" s="50">
        <f t="shared" ref="F97:J97" si="69">SUM(F77:F96)</f>
        <v>0</v>
      </c>
      <c r="G97" s="50">
        <f t="shared" si="69"/>
        <v>0</v>
      </c>
      <c r="H97" s="50">
        <f t="shared" si="69"/>
        <v>0</v>
      </c>
      <c r="I97" s="50">
        <f t="shared" si="69"/>
        <v>0</v>
      </c>
      <c r="J97" s="50">
        <f t="shared" si="69"/>
        <v>0</v>
      </c>
      <c r="K97" s="171"/>
      <c r="L97" s="50">
        <f>SUM(L77:L96)</f>
        <v>0</v>
      </c>
      <c r="M97" s="50">
        <f t="shared" ref="M97:Q97" si="70">SUM(M77:M96)</f>
        <v>0</v>
      </c>
      <c r="N97" s="50">
        <f t="shared" si="70"/>
        <v>0</v>
      </c>
      <c r="O97" s="50">
        <f t="shared" si="70"/>
        <v>0</v>
      </c>
      <c r="P97" s="50">
        <f t="shared" si="70"/>
        <v>0</v>
      </c>
      <c r="Q97" s="50">
        <f t="shared" si="70"/>
        <v>0</v>
      </c>
      <c r="R97" s="171"/>
      <c r="S97" s="171"/>
      <c r="T97" s="171"/>
      <c r="U97" s="171"/>
      <c r="V97" s="171"/>
      <c r="W97" s="592"/>
      <c r="X97" s="13"/>
      <c r="Y97" s="13"/>
      <c r="Z97" s="13"/>
      <c r="AA97" s="13"/>
    </row>
    <row r="98" spans="1:46" outlineLevel="1" x14ac:dyDescent="0.2">
      <c r="A98" s="171"/>
      <c r="B98" s="171"/>
      <c r="C98" s="171"/>
      <c r="D98" s="7"/>
      <c r="E98" s="17"/>
      <c r="F98" s="17"/>
      <c r="G98" s="17"/>
      <c r="H98" s="17"/>
      <c r="I98" s="17"/>
      <c r="J98" s="17"/>
      <c r="K98" s="171"/>
      <c r="L98" s="171"/>
      <c r="M98" s="171"/>
      <c r="N98" s="171"/>
      <c r="O98" s="171"/>
      <c r="P98" s="171"/>
      <c r="Q98" s="171"/>
      <c r="R98" s="171"/>
      <c r="S98" s="171"/>
      <c r="T98" s="171"/>
      <c r="U98" s="171"/>
      <c r="V98" s="171"/>
      <c r="W98" s="592"/>
      <c r="X98" s="13"/>
      <c r="Y98" s="13"/>
      <c r="Z98" s="13"/>
      <c r="AA98" s="13"/>
    </row>
    <row r="99" spans="1:46" x14ac:dyDescent="0.2">
      <c r="A99" s="171"/>
      <c r="B99" s="171"/>
      <c r="C99" s="171"/>
      <c r="D99" s="7"/>
      <c r="E99" s="17"/>
      <c r="F99" s="17"/>
      <c r="G99" s="17"/>
      <c r="H99" s="17"/>
      <c r="I99" s="17"/>
      <c r="J99" s="17"/>
      <c r="K99" s="171"/>
      <c r="L99" s="171"/>
      <c r="M99" s="171"/>
      <c r="N99" s="171"/>
      <c r="O99" s="171"/>
      <c r="P99" s="171"/>
      <c r="Q99" s="171"/>
      <c r="R99" s="171"/>
      <c r="S99" s="171"/>
      <c r="T99" s="171"/>
      <c r="U99" s="171"/>
      <c r="V99" s="171"/>
      <c r="W99" s="592"/>
      <c r="X99" s="13"/>
      <c r="Y99" s="13"/>
      <c r="Z99" s="13"/>
      <c r="AA99" s="13"/>
    </row>
    <row r="100" spans="1:46" ht="15.75" x14ac:dyDescent="0.2">
      <c r="A100" s="176"/>
      <c r="B100" s="176"/>
      <c r="C100" s="176"/>
      <c r="D100" s="174" t="s">
        <v>1004</v>
      </c>
      <c r="E100" s="214"/>
      <c r="F100" s="178"/>
      <c r="G100" s="178"/>
      <c r="H100" s="178"/>
      <c r="I100" s="771" t="str">
        <f>IF(C125=0,MsgNotUsed,"")</f>
        <v>** NOT USED **</v>
      </c>
      <c r="J100" s="771"/>
      <c r="K100" s="178"/>
      <c r="L100" s="178"/>
      <c r="M100" s="178"/>
      <c r="N100" s="178"/>
      <c r="O100" s="178"/>
      <c r="P100" s="178"/>
      <c r="Q100" s="178"/>
      <c r="R100" s="175"/>
      <c r="S100" s="175"/>
      <c r="T100" s="175"/>
      <c r="U100" s="175"/>
      <c r="V100" s="175"/>
      <c r="W100" s="175"/>
      <c r="X100" s="13"/>
      <c r="Y100" s="13"/>
      <c r="Z100" s="13"/>
      <c r="AA100" s="13"/>
      <c r="AB100" s="40"/>
      <c r="AC100" s="40"/>
      <c r="AD100" s="40"/>
      <c r="AE100" s="40"/>
      <c r="AF100" s="40"/>
      <c r="AG100" s="40"/>
      <c r="AH100" s="40"/>
      <c r="AI100" s="5"/>
      <c r="AJ100" s="5"/>
      <c r="AK100" s="5"/>
      <c r="AL100" s="5"/>
      <c r="AM100" s="5"/>
      <c r="AN100" s="5"/>
      <c r="AO100" s="5"/>
      <c r="AP100" s="5"/>
      <c r="AQ100" s="5"/>
      <c r="AR100" s="5"/>
      <c r="AS100" s="5"/>
      <c r="AT100" s="5"/>
    </row>
    <row r="101" spans="1:46" ht="15.75" outlineLevel="1" x14ac:dyDescent="0.2">
      <c r="A101" s="171"/>
      <c r="B101" s="171"/>
      <c r="C101" s="171"/>
      <c r="D101" s="193"/>
      <c r="E101" s="215"/>
      <c r="F101" s="171"/>
      <c r="G101" s="171"/>
      <c r="H101" s="171"/>
      <c r="I101" s="171"/>
      <c r="J101" s="171"/>
      <c r="K101" s="171"/>
      <c r="L101" s="171"/>
      <c r="M101" s="171"/>
      <c r="N101" s="5"/>
      <c r="O101" s="5"/>
      <c r="P101" s="5"/>
      <c r="Q101" s="5"/>
      <c r="R101" s="5"/>
      <c r="S101" s="171"/>
      <c r="T101" s="171"/>
      <c r="U101" s="171"/>
      <c r="V101" s="171"/>
      <c r="W101" s="171"/>
      <c r="X101" s="13"/>
      <c r="Y101" s="13"/>
      <c r="Z101" s="13"/>
      <c r="AA101" s="13"/>
      <c r="AB101" s="5"/>
      <c r="AC101" s="5"/>
      <c r="AD101" s="5"/>
      <c r="AE101" s="5"/>
      <c r="AF101" s="5"/>
      <c r="AG101" s="5"/>
      <c r="AH101" s="5"/>
      <c r="AI101" s="828" t="s">
        <v>574</v>
      </c>
      <c r="AJ101" s="828"/>
      <c r="AK101" s="828"/>
      <c r="AL101" s="828"/>
      <c r="AM101" s="828"/>
      <c r="AN101" s="828"/>
      <c r="AO101" s="828"/>
      <c r="AP101" s="828"/>
      <c r="AQ101" s="828"/>
      <c r="AR101" s="828"/>
      <c r="AS101" s="828"/>
      <c r="AT101" s="828"/>
    </row>
    <row r="102" spans="1:46" outlineLevel="1" x14ac:dyDescent="0.2">
      <c r="A102" s="171"/>
      <c r="B102" s="171"/>
      <c r="C102" s="171"/>
      <c r="D102" s="220" t="s">
        <v>710</v>
      </c>
      <c r="E102" s="215"/>
      <c r="F102" s="171"/>
      <c r="G102" s="171"/>
      <c r="H102" s="171"/>
      <c r="I102" s="770" t="str">
        <f>IF(AND(B125&gt;0,C153&gt;0),"The services below may conflict with the market-share volumes from Section 2.","")</f>
        <v/>
      </c>
      <c r="J102" s="770"/>
      <c r="K102" s="770"/>
      <c r="L102" s="770"/>
      <c r="M102" s="770"/>
      <c r="N102" s="770"/>
      <c r="O102" s="770"/>
      <c r="P102" s="619"/>
      <c r="Q102" s="5"/>
      <c r="R102" s="824"/>
      <c r="S102" s="824"/>
      <c r="T102" s="824"/>
      <c r="U102" s="824"/>
      <c r="V102" s="342"/>
      <c r="W102"/>
      <c r="X102" s="13"/>
      <c r="Y102" s="13"/>
      <c r="Z102" s="13"/>
      <c r="AA102" s="13"/>
      <c r="AB102" s="5"/>
      <c r="AC102" s="5"/>
      <c r="AD102" s="5"/>
      <c r="AE102" s="5"/>
      <c r="AF102" s="5"/>
      <c r="AG102" s="5"/>
      <c r="AH102" s="5"/>
      <c r="AI102" s="212">
        <v>1</v>
      </c>
      <c r="AJ102" s="212">
        <v>2</v>
      </c>
      <c r="AK102" s="212">
        <v>3</v>
      </c>
      <c r="AL102" s="212">
        <v>4</v>
      </c>
      <c r="AM102" s="212">
        <v>5</v>
      </c>
      <c r="AN102" s="212">
        <v>6</v>
      </c>
      <c r="AO102" s="212">
        <v>1</v>
      </c>
      <c r="AP102" s="212">
        <v>2</v>
      </c>
      <c r="AQ102" s="212">
        <v>3</v>
      </c>
      <c r="AR102" s="212">
        <v>4</v>
      </c>
      <c r="AS102" s="212">
        <v>5</v>
      </c>
      <c r="AT102" s="212">
        <v>6</v>
      </c>
    </row>
    <row r="103" spans="1:46" outlineLevel="1" x14ac:dyDescent="0.2">
      <c r="A103" s="171"/>
      <c r="B103" s="171"/>
      <c r="C103" s="171"/>
      <c r="D103" s="6"/>
      <c r="E103" s="215"/>
      <c r="F103" s="171"/>
      <c r="G103" s="171"/>
      <c r="H103" s="171"/>
      <c r="I103" s="171"/>
      <c r="J103" s="171"/>
      <c r="K103" s="171"/>
      <c r="L103" s="171"/>
      <c r="M103" s="171"/>
      <c r="N103" s="171"/>
      <c r="O103" s="171"/>
      <c r="P103" s="592"/>
      <c r="Q103" s="171"/>
      <c r="R103" s="171"/>
      <c r="S103" s="171"/>
      <c r="T103" s="171"/>
      <c r="U103" s="171"/>
      <c r="V103" s="171"/>
      <c r="W103"/>
      <c r="X103" s="13"/>
      <c r="Y103" s="13"/>
      <c r="Z103" s="13"/>
      <c r="AA103" s="13"/>
      <c r="AB103" s="171"/>
      <c r="AC103" s="171"/>
      <c r="AD103" s="171"/>
      <c r="AE103" s="171"/>
      <c r="AF103" s="171"/>
      <c r="AG103" s="171"/>
      <c r="AH103" s="171"/>
      <c r="AI103" s="820" t="str">
        <f>AI71</f>
        <v/>
      </c>
      <c r="AJ103" s="820"/>
      <c r="AK103" s="820"/>
      <c r="AL103" s="820"/>
      <c r="AM103" s="820"/>
      <c r="AN103" s="820"/>
      <c r="AO103" s="820" t="str">
        <f>AO46</f>
        <v/>
      </c>
      <c r="AP103" s="820"/>
      <c r="AQ103" s="820"/>
      <c r="AR103" s="820"/>
      <c r="AS103" s="820"/>
      <c r="AT103" s="820"/>
    </row>
    <row r="104" spans="1:46" ht="25.5" outlineLevel="1" x14ac:dyDescent="0.2">
      <c r="A104" s="171"/>
      <c r="B104" s="171"/>
      <c r="C104" s="171"/>
      <c r="D104" s="340" t="s">
        <v>884</v>
      </c>
      <c r="E104" s="792" t="s">
        <v>128</v>
      </c>
      <c r="F104" s="793"/>
      <c r="G104" s="794"/>
      <c r="H104" s="393" t="s">
        <v>127</v>
      </c>
      <c r="I104" s="340" t="s">
        <v>57</v>
      </c>
      <c r="J104" s="340" t="s">
        <v>337</v>
      </c>
      <c r="K104" s="340" t="s">
        <v>137</v>
      </c>
      <c r="L104" s="340" t="s">
        <v>416</v>
      </c>
      <c r="M104" s="340" t="s">
        <v>415</v>
      </c>
      <c r="N104" s="90" t="s">
        <v>407</v>
      </c>
      <c r="O104" s="90" t="str">
        <f>"Scripts / " &amp; IF(Episodicity=1,"year","treatment")</f>
        <v>Scripts / treatment</v>
      </c>
      <c r="P104" s="90" t="s">
        <v>817</v>
      </c>
      <c r="Q104" s="90" t="s">
        <v>288</v>
      </c>
      <c r="R104" s="340" t="s">
        <v>404</v>
      </c>
      <c r="S104" s="340" t="s">
        <v>463</v>
      </c>
      <c r="T104" s="789" t="s">
        <v>469</v>
      </c>
      <c r="U104" s="789"/>
      <c r="V104" s="789"/>
      <c r="W104" s="789"/>
      <c r="X104" s="13"/>
      <c r="Y104" s="13"/>
      <c r="Z104" s="13"/>
      <c r="AA104" s="13"/>
      <c r="AB104" s="341" t="s">
        <v>314</v>
      </c>
      <c r="AC104" s="334" t="s">
        <v>326</v>
      </c>
      <c r="AD104" s="336" t="s">
        <v>472</v>
      </c>
      <c r="AE104" s="337" t="s">
        <v>292</v>
      </c>
      <c r="AF104" s="337" t="s">
        <v>52</v>
      </c>
      <c r="AG104" s="337" t="s">
        <v>381</v>
      </c>
      <c r="AH104" s="335" t="s">
        <v>468</v>
      </c>
      <c r="AI104" s="335">
        <f>FirstYear</f>
        <v>0</v>
      </c>
      <c r="AJ104" s="335">
        <f>AI104+1</f>
        <v>1</v>
      </c>
      <c r="AK104" s="335">
        <f>AJ104+1</f>
        <v>2</v>
      </c>
      <c r="AL104" s="335">
        <f>AK104+1</f>
        <v>3</v>
      </c>
      <c r="AM104" s="335">
        <f>AL104+1</f>
        <v>4</v>
      </c>
      <c r="AN104" s="335">
        <f>AM104+1</f>
        <v>5</v>
      </c>
      <c r="AO104" s="335">
        <f>FirstYear</f>
        <v>0</v>
      </c>
      <c r="AP104" s="335">
        <f>AO104+1</f>
        <v>1</v>
      </c>
      <c r="AQ104" s="335">
        <f>AP104+1</f>
        <v>2</v>
      </c>
      <c r="AR104" s="335">
        <f>AQ104+1</f>
        <v>3</v>
      </c>
      <c r="AS104" s="335">
        <f>AR104+1</f>
        <v>4</v>
      </c>
      <c r="AT104" s="335">
        <f>AS104+1</f>
        <v>5</v>
      </c>
    </row>
    <row r="105" spans="1:46" outlineLevel="1" x14ac:dyDescent="0.2">
      <c r="A105" s="62"/>
      <c r="B105" s="405">
        <f>IF(AND(D105&lt;&gt;"",D133&lt;&gt;""),1,0)</f>
        <v>0</v>
      </c>
      <c r="C105" s="422">
        <v>1</v>
      </c>
      <c r="D105" s="345"/>
      <c r="E105" s="805"/>
      <c r="F105" s="806"/>
      <c r="G105" s="807"/>
      <c r="H105" s="404"/>
      <c r="I105" s="378"/>
      <c r="J105" s="233"/>
      <c r="K105" s="232"/>
      <c r="L105" s="234"/>
      <c r="M105" s="378"/>
      <c r="N105" s="351"/>
      <c r="O105" s="235" t="str">
        <f>IF(AND(K105&lt;&gt;0,N105&lt;&gt;0,K105&lt;&gt;0,N105&lt;&gt;0),L105/(K105/N105)*J105,"")</f>
        <v/>
      </c>
      <c r="P105" s="650"/>
      <c r="Q105" s="492"/>
      <c r="R105" s="233"/>
      <c r="S105" s="378"/>
      <c r="T105" s="808"/>
      <c r="U105" s="809"/>
      <c r="V105" s="809"/>
      <c r="W105" s="810"/>
      <c r="Y105" s="503"/>
      <c r="Z105" s="503"/>
      <c r="AA105" s="422">
        <v>1</v>
      </c>
      <c r="AB105" s="95" t="str">
        <f t="shared" ref="AB105:AB124" si="71">IF(D105&lt;&gt;"",CONCATENATE(H105," - ",D105," ",E105, " - ",I105),MsgNotUsed)</f>
        <v>** NOT USED **</v>
      </c>
      <c r="AC105" s="106" t="str">
        <f t="shared" ref="AC105:AC124" si="72">IF(I105&lt;&gt;"",VLOOKUP(I105,TPShortCode,3,FALSE),"")</f>
        <v/>
      </c>
      <c r="AD105" s="348">
        <f t="shared" ref="AD105:AD124" si="73">IF(Q105="Decrease",-1,IF(Q105="Increase",1,0))</f>
        <v>0</v>
      </c>
      <c r="AE105" s="198">
        <f t="shared" ref="AE105:AE124" si="74">IF(S105&lt;&gt;"",MATCH(S105,PxTxSource,0)-1,0)</f>
        <v>0</v>
      </c>
      <c r="AF105" s="198">
        <f ca="1">IF(T105&lt;&gt;"",MATCH(T105,OFFSET(References!$AB$23,0,AE105,PxTxCount),0),0)</f>
        <v>0</v>
      </c>
      <c r="AG105" s="198">
        <f t="shared" ref="AG105:AG114" ca="1" si="75">(AE105*PxTxCount)+AF105</f>
        <v>0</v>
      </c>
      <c r="AH105" s="95" t="str">
        <f ca="1">IF(AE105&lt;&gt;0,OFFSET(References!$AB$23,0,$AE$105,INDEX(PxTxValid,,$AE$105+1)),"")</f>
        <v/>
      </c>
      <c r="AI105" s="338">
        <f t="shared" ref="AI105:AN114" ca="1" si="76">IF($AG105&lt;&gt;0,INDEX(PxTxPhase1,$AG105,AI$102)*$AD105,0)</f>
        <v>0</v>
      </c>
      <c r="AJ105" s="338">
        <f t="shared" ca="1" si="76"/>
        <v>0</v>
      </c>
      <c r="AK105" s="338">
        <f t="shared" ca="1" si="76"/>
        <v>0</v>
      </c>
      <c r="AL105" s="338">
        <f t="shared" ca="1" si="76"/>
        <v>0</v>
      </c>
      <c r="AM105" s="338">
        <f t="shared" ca="1" si="76"/>
        <v>0</v>
      </c>
      <c r="AN105" s="338">
        <f t="shared" ca="1" si="76"/>
        <v>0</v>
      </c>
      <c r="AO105" s="338">
        <f t="shared" ref="AO105:AT114" ca="1" si="77">IF($AG105&lt;&gt;0,INDEX(PxTxPhase2,$AG105,AO$102)*$AD105,0)</f>
        <v>0</v>
      </c>
      <c r="AP105" s="338">
        <f t="shared" ca="1" si="77"/>
        <v>0</v>
      </c>
      <c r="AQ105" s="338">
        <f t="shared" ca="1" si="77"/>
        <v>0</v>
      </c>
      <c r="AR105" s="338">
        <f t="shared" ca="1" si="77"/>
        <v>0</v>
      </c>
      <c r="AS105" s="338">
        <f t="shared" ca="1" si="77"/>
        <v>0</v>
      </c>
      <c r="AT105" s="338">
        <f t="shared" ca="1" si="77"/>
        <v>0</v>
      </c>
    </row>
    <row r="106" spans="1:46" outlineLevel="1" x14ac:dyDescent="0.2">
      <c r="A106" s="62"/>
      <c r="B106" s="405">
        <f t="shared" ref="B106:B124" si="78">IF(AND(D106&lt;&gt;"",D134&lt;&gt;""),1,0)</f>
        <v>0</v>
      </c>
      <c r="C106" s="422">
        <v>2</v>
      </c>
      <c r="D106" s="345"/>
      <c r="E106" s="805"/>
      <c r="F106" s="806"/>
      <c r="G106" s="807"/>
      <c r="H106" s="404"/>
      <c r="I106" s="378"/>
      <c r="J106" s="233"/>
      <c r="K106" s="232"/>
      <c r="L106" s="234"/>
      <c r="M106" s="378"/>
      <c r="N106" s="351"/>
      <c r="O106" s="235" t="str">
        <f t="shared" ref="O106:O124" si="79">IF(AND(K106&lt;&gt;"",N106&lt;&gt;"",K106&lt;&gt;0,N106&lt;&gt;0),L106/(K106/N106)*J106,"")</f>
        <v/>
      </c>
      <c r="P106" s="650"/>
      <c r="Q106" s="492"/>
      <c r="R106" s="233"/>
      <c r="S106" s="378"/>
      <c r="T106" s="808"/>
      <c r="U106" s="809"/>
      <c r="V106" s="809"/>
      <c r="W106" s="810"/>
      <c r="Y106" s="503"/>
      <c r="Z106" s="503"/>
      <c r="AA106" s="422">
        <v>2</v>
      </c>
      <c r="AB106" s="95" t="str">
        <f t="shared" si="71"/>
        <v>** NOT USED **</v>
      </c>
      <c r="AC106" s="106" t="str">
        <f t="shared" si="72"/>
        <v/>
      </c>
      <c r="AD106" s="348">
        <f t="shared" si="73"/>
        <v>0</v>
      </c>
      <c r="AE106" s="198">
        <f t="shared" si="74"/>
        <v>0</v>
      </c>
      <c r="AF106" s="198">
        <f ca="1">IF(T106&lt;&gt;"",MATCH(T106,OFFSET(References!$AB$23,0,AE106,PxTxCount),0),0)</f>
        <v>0</v>
      </c>
      <c r="AG106" s="198">
        <f t="shared" ca="1" si="75"/>
        <v>0</v>
      </c>
      <c r="AH106" s="95" t="str">
        <f ca="1">IF(AE106&lt;&gt;0,OFFSET(References!$AB$23,0,$AE$105,INDEX(PxTxValid,,$AE$105+1)),"")</f>
        <v/>
      </c>
      <c r="AI106" s="338">
        <f t="shared" ca="1" si="76"/>
        <v>0</v>
      </c>
      <c r="AJ106" s="338">
        <f t="shared" ca="1" si="76"/>
        <v>0</v>
      </c>
      <c r="AK106" s="338">
        <f t="shared" ca="1" si="76"/>
        <v>0</v>
      </c>
      <c r="AL106" s="338">
        <f t="shared" ca="1" si="76"/>
        <v>0</v>
      </c>
      <c r="AM106" s="338">
        <f t="shared" ca="1" si="76"/>
        <v>0</v>
      </c>
      <c r="AN106" s="338">
        <f t="shared" ca="1" si="76"/>
        <v>0</v>
      </c>
      <c r="AO106" s="338">
        <f t="shared" ca="1" si="77"/>
        <v>0</v>
      </c>
      <c r="AP106" s="338">
        <f t="shared" ca="1" si="77"/>
        <v>0</v>
      </c>
      <c r="AQ106" s="338">
        <f t="shared" ca="1" si="77"/>
        <v>0</v>
      </c>
      <c r="AR106" s="338">
        <f t="shared" ca="1" si="77"/>
        <v>0</v>
      </c>
      <c r="AS106" s="338">
        <f t="shared" ca="1" si="77"/>
        <v>0</v>
      </c>
      <c r="AT106" s="338">
        <f t="shared" ca="1" si="77"/>
        <v>0</v>
      </c>
    </row>
    <row r="107" spans="1:46" outlineLevel="1" x14ac:dyDescent="0.2">
      <c r="A107" s="62"/>
      <c r="B107" s="405">
        <f t="shared" si="78"/>
        <v>0</v>
      </c>
      <c r="C107" s="422">
        <v>3</v>
      </c>
      <c r="D107" s="345"/>
      <c r="E107" s="805"/>
      <c r="F107" s="806"/>
      <c r="G107" s="807"/>
      <c r="H107" s="404"/>
      <c r="I107" s="378"/>
      <c r="J107" s="233"/>
      <c r="K107" s="232"/>
      <c r="L107" s="234"/>
      <c r="M107" s="378"/>
      <c r="N107" s="351"/>
      <c r="O107" s="235" t="str">
        <f t="shared" si="79"/>
        <v/>
      </c>
      <c r="P107" s="650"/>
      <c r="Q107" s="492"/>
      <c r="R107" s="233"/>
      <c r="S107" s="378"/>
      <c r="T107" s="808"/>
      <c r="U107" s="809"/>
      <c r="V107" s="809"/>
      <c r="W107" s="810"/>
      <c r="Y107" s="503"/>
      <c r="Z107" s="503"/>
      <c r="AA107" s="422">
        <v>3</v>
      </c>
      <c r="AB107" s="95" t="str">
        <f t="shared" si="71"/>
        <v>** NOT USED **</v>
      </c>
      <c r="AC107" s="106" t="str">
        <f t="shared" si="72"/>
        <v/>
      </c>
      <c r="AD107" s="348">
        <f t="shared" si="73"/>
        <v>0</v>
      </c>
      <c r="AE107" s="198">
        <f t="shared" si="74"/>
        <v>0</v>
      </c>
      <c r="AF107" s="198">
        <f ca="1">IF(T107&lt;&gt;"",MATCH(T107,OFFSET(References!$AB$23,0,AE107,PxTxCount),0),0)</f>
        <v>0</v>
      </c>
      <c r="AG107" s="198">
        <f t="shared" ca="1" si="75"/>
        <v>0</v>
      </c>
      <c r="AH107" s="95" t="str">
        <f ca="1">IF(AE107&lt;&gt;0,OFFSET(References!$AB$23,0,$AE$105,INDEX(PxTxValid,,$AE$105+1)),"")</f>
        <v/>
      </c>
      <c r="AI107" s="338">
        <f t="shared" ca="1" si="76"/>
        <v>0</v>
      </c>
      <c r="AJ107" s="338">
        <f t="shared" ca="1" si="76"/>
        <v>0</v>
      </c>
      <c r="AK107" s="338">
        <f t="shared" ca="1" si="76"/>
        <v>0</v>
      </c>
      <c r="AL107" s="338">
        <f t="shared" ca="1" si="76"/>
        <v>0</v>
      </c>
      <c r="AM107" s="338">
        <f t="shared" ca="1" si="76"/>
        <v>0</v>
      </c>
      <c r="AN107" s="338">
        <f t="shared" ca="1" si="76"/>
        <v>0</v>
      </c>
      <c r="AO107" s="338">
        <f t="shared" ca="1" si="77"/>
        <v>0</v>
      </c>
      <c r="AP107" s="338">
        <f t="shared" ca="1" si="77"/>
        <v>0</v>
      </c>
      <c r="AQ107" s="338">
        <f t="shared" ca="1" si="77"/>
        <v>0</v>
      </c>
      <c r="AR107" s="338">
        <f t="shared" ca="1" si="77"/>
        <v>0</v>
      </c>
      <c r="AS107" s="338">
        <f t="shared" ca="1" si="77"/>
        <v>0</v>
      </c>
      <c r="AT107" s="338">
        <f t="shared" ca="1" si="77"/>
        <v>0</v>
      </c>
    </row>
    <row r="108" spans="1:46" outlineLevel="1" x14ac:dyDescent="0.2">
      <c r="A108" s="62"/>
      <c r="B108" s="405">
        <f t="shared" si="78"/>
        <v>0</v>
      </c>
      <c r="C108" s="422">
        <v>4</v>
      </c>
      <c r="D108" s="345"/>
      <c r="E108" s="805"/>
      <c r="F108" s="806"/>
      <c r="G108" s="807"/>
      <c r="H108" s="404"/>
      <c r="I108" s="378"/>
      <c r="J108" s="233"/>
      <c r="K108" s="232"/>
      <c r="L108" s="234"/>
      <c r="M108" s="378"/>
      <c r="N108" s="351"/>
      <c r="O108" s="235" t="str">
        <f t="shared" si="79"/>
        <v/>
      </c>
      <c r="P108" s="650"/>
      <c r="Q108" s="492"/>
      <c r="R108" s="233"/>
      <c r="S108" s="378"/>
      <c r="T108" s="808"/>
      <c r="U108" s="809"/>
      <c r="V108" s="809"/>
      <c r="W108" s="810"/>
      <c r="Y108" s="503"/>
      <c r="Z108" s="503"/>
      <c r="AA108" s="422">
        <v>4</v>
      </c>
      <c r="AB108" s="95" t="str">
        <f t="shared" si="71"/>
        <v>** NOT USED **</v>
      </c>
      <c r="AC108" s="106" t="str">
        <f t="shared" si="72"/>
        <v/>
      </c>
      <c r="AD108" s="348">
        <f t="shared" si="73"/>
        <v>0</v>
      </c>
      <c r="AE108" s="198">
        <f t="shared" si="74"/>
        <v>0</v>
      </c>
      <c r="AF108" s="198">
        <f ca="1">IF(T108&lt;&gt;"",MATCH(T108,OFFSET(References!$AB$23,0,AE108,PxTxCount),0),0)</f>
        <v>0</v>
      </c>
      <c r="AG108" s="198">
        <f t="shared" ca="1" si="75"/>
        <v>0</v>
      </c>
      <c r="AH108" s="95" t="str">
        <f ca="1">IF(AE108&lt;&gt;0,OFFSET(References!$AB$23,0,$AE$105,INDEX(PxTxValid,,$AE$105+1)),"")</f>
        <v/>
      </c>
      <c r="AI108" s="338">
        <f t="shared" ca="1" si="76"/>
        <v>0</v>
      </c>
      <c r="AJ108" s="338">
        <f t="shared" ca="1" si="76"/>
        <v>0</v>
      </c>
      <c r="AK108" s="338">
        <f t="shared" ca="1" si="76"/>
        <v>0</v>
      </c>
      <c r="AL108" s="338">
        <f t="shared" ca="1" si="76"/>
        <v>0</v>
      </c>
      <c r="AM108" s="338">
        <f t="shared" ca="1" si="76"/>
        <v>0</v>
      </c>
      <c r="AN108" s="338">
        <f t="shared" ca="1" si="76"/>
        <v>0</v>
      </c>
      <c r="AO108" s="338">
        <f t="shared" ca="1" si="77"/>
        <v>0</v>
      </c>
      <c r="AP108" s="338">
        <f t="shared" ca="1" si="77"/>
        <v>0</v>
      </c>
      <c r="AQ108" s="338">
        <f t="shared" ca="1" si="77"/>
        <v>0</v>
      </c>
      <c r="AR108" s="338">
        <f t="shared" ca="1" si="77"/>
        <v>0</v>
      </c>
      <c r="AS108" s="338">
        <f t="shared" ca="1" si="77"/>
        <v>0</v>
      </c>
      <c r="AT108" s="338">
        <f t="shared" ca="1" si="77"/>
        <v>0</v>
      </c>
    </row>
    <row r="109" spans="1:46" outlineLevel="1" x14ac:dyDescent="0.2">
      <c r="A109" s="62"/>
      <c r="B109" s="405">
        <f t="shared" si="78"/>
        <v>0</v>
      </c>
      <c r="C109" s="422">
        <v>5</v>
      </c>
      <c r="D109" s="345"/>
      <c r="E109" s="805"/>
      <c r="F109" s="806"/>
      <c r="G109" s="807"/>
      <c r="H109" s="404"/>
      <c r="I109" s="378"/>
      <c r="J109" s="233"/>
      <c r="K109" s="232"/>
      <c r="L109" s="234"/>
      <c r="M109" s="378"/>
      <c r="N109" s="351"/>
      <c r="O109" s="235" t="str">
        <f t="shared" si="79"/>
        <v/>
      </c>
      <c r="P109" s="650"/>
      <c r="Q109" s="381"/>
      <c r="R109" s="233"/>
      <c r="S109" s="378"/>
      <c r="T109" s="808"/>
      <c r="U109" s="809"/>
      <c r="V109" s="809"/>
      <c r="W109" s="810"/>
      <c r="Y109" s="503"/>
      <c r="Z109" s="503"/>
      <c r="AA109" s="422">
        <v>5</v>
      </c>
      <c r="AB109" s="95" t="str">
        <f t="shared" si="71"/>
        <v>** NOT USED **</v>
      </c>
      <c r="AC109" s="106" t="str">
        <f t="shared" si="72"/>
        <v/>
      </c>
      <c r="AD109" s="348">
        <f t="shared" si="73"/>
        <v>0</v>
      </c>
      <c r="AE109" s="198">
        <f t="shared" si="74"/>
        <v>0</v>
      </c>
      <c r="AF109" s="198">
        <f ca="1">IF(T109&lt;&gt;"",MATCH(T109,OFFSET(References!$AB$23,0,AE109,PxTxCount),0),0)</f>
        <v>0</v>
      </c>
      <c r="AG109" s="198">
        <f t="shared" ca="1" si="75"/>
        <v>0</v>
      </c>
      <c r="AH109" s="95" t="str">
        <f ca="1">IF(AE109&lt;&gt;0,OFFSET(References!$AB$23,0,$AE$105,INDEX(PxTxValid,,$AE$105+1)),"")</f>
        <v/>
      </c>
      <c r="AI109" s="338">
        <f t="shared" ca="1" si="76"/>
        <v>0</v>
      </c>
      <c r="AJ109" s="338">
        <f t="shared" ca="1" si="76"/>
        <v>0</v>
      </c>
      <c r="AK109" s="338">
        <f t="shared" ca="1" si="76"/>
        <v>0</v>
      </c>
      <c r="AL109" s="338">
        <f t="shared" ca="1" si="76"/>
        <v>0</v>
      </c>
      <c r="AM109" s="338">
        <f t="shared" ca="1" si="76"/>
        <v>0</v>
      </c>
      <c r="AN109" s="338">
        <f t="shared" ca="1" si="76"/>
        <v>0</v>
      </c>
      <c r="AO109" s="338">
        <f t="shared" ca="1" si="77"/>
        <v>0</v>
      </c>
      <c r="AP109" s="338">
        <f t="shared" ca="1" si="77"/>
        <v>0</v>
      </c>
      <c r="AQ109" s="338">
        <f t="shared" ca="1" si="77"/>
        <v>0</v>
      </c>
      <c r="AR109" s="338">
        <f t="shared" ca="1" si="77"/>
        <v>0</v>
      </c>
      <c r="AS109" s="338">
        <f t="shared" ca="1" si="77"/>
        <v>0</v>
      </c>
      <c r="AT109" s="338">
        <f t="shared" ca="1" si="77"/>
        <v>0</v>
      </c>
    </row>
    <row r="110" spans="1:46" outlineLevel="1" x14ac:dyDescent="0.2">
      <c r="A110" s="62"/>
      <c r="B110" s="405">
        <f t="shared" si="78"/>
        <v>0</v>
      </c>
      <c r="C110" s="422">
        <v>6</v>
      </c>
      <c r="D110" s="345"/>
      <c r="E110" s="805"/>
      <c r="F110" s="806"/>
      <c r="G110" s="807"/>
      <c r="H110" s="404"/>
      <c r="I110" s="378"/>
      <c r="J110" s="233"/>
      <c r="K110" s="232"/>
      <c r="L110" s="234"/>
      <c r="M110" s="378"/>
      <c r="N110" s="351"/>
      <c r="O110" s="235" t="str">
        <f t="shared" si="79"/>
        <v/>
      </c>
      <c r="P110" s="650"/>
      <c r="Q110" s="381"/>
      <c r="R110" s="233"/>
      <c r="S110" s="378"/>
      <c r="T110" s="808"/>
      <c r="U110" s="809"/>
      <c r="V110" s="809"/>
      <c r="W110" s="810"/>
      <c r="Y110" s="503"/>
      <c r="Z110" s="503"/>
      <c r="AA110" s="422">
        <v>6</v>
      </c>
      <c r="AB110" s="95" t="str">
        <f t="shared" si="71"/>
        <v>** NOT USED **</v>
      </c>
      <c r="AC110" s="106" t="str">
        <f t="shared" si="72"/>
        <v/>
      </c>
      <c r="AD110" s="348">
        <f t="shared" si="73"/>
        <v>0</v>
      </c>
      <c r="AE110" s="198">
        <f t="shared" si="74"/>
        <v>0</v>
      </c>
      <c r="AF110" s="198">
        <f ca="1">IF(T110&lt;&gt;"",MATCH(T110,OFFSET(References!$AB$23,0,AE110,PxTxCount),0),0)</f>
        <v>0</v>
      </c>
      <c r="AG110" s="198">
        <f t="shared" ca="1" si="75"/>
        <v>0</v>
      </c>
      <c r="AH110" s="95" t="str">
        <f ca="1">IF(AE110&lt;&gt;0,OFFSET(References!$AB$23,0,$AE$105,INDEX(PxTxValid,,$AE$105+1)),"")</f>
        <v/>
      </c>
      <c r="AI110" s="338">
        <f t="shared" ca="1" si="76"/>
        <v>0</v>
      </c>
      <c r="AJ110" s="338">
        <f t="shared" ca="1" si="76"/>
        <v>0</v>
      </c>
      <c r="AK110" s="338">
        <f t="shared" ca="1" si="76"/>
        <v>0</v>
      </c>
      <c r="AL110" s="338">
        <f t="shared" ca="1" si="76"/>
        <v>0</v>
      </c>
      <c r="AM110" s="338">
        <f t="shared" ca="1" si="76"/>
        <v>0</v>
      </c>
      <c r="AN110" s="338">
        <f t="shared" ca="1" si="76"/>
        <v>0</v>
      </c>
      <c r="AO110" s="338">
        <f t="shared" ca="1" si="77"/>
        <v>0</v>
      </c>
      <c r="AP110" s="338">
        <f t="shared" ca="1" si="77"/>
        <v>0</v>
      </c>
      <c r="AQ110" s="338">
        <f t="shared" ca="1" si="77"/>
        <v>0</v>
      </c>
      <c r="AR110" s="338">
        <f t="shared" ca="1" si="77"/>
        <v>0</v>
      </c>
      <c r="AS110" s="338">
        <f t="shared" ca="1" si="77"/>
        <v>0</v>
      </c>
      <c r="AT110" s="338">
        <f t="shared" ca="1" si="77"/>
        <v>0</v>
      </c>
    </row>
    <row r="111" spans="1:46" outlineLevel="1" x14ac:dyDescent="0.2">
      <c r="A111" s="62"/>
      <c r="B111" s="405">
        <f t="shared" si="78"/>
        <v>0</v>
      </c>
      <c r="C111" s="422">
        <v>7</v>
      </c>
      <c r="D111" s="345"/>
      <c r="E111" s="805"/>
      <c r="F111" s="806"/>
      <c r="G111" s="807"/>
      <c r="H111" s="404"/>
      <c r="I111" s="378"/>
      <c r="J111" s="233"/>
      <c r="K111" s="232"/>
      <c r="L111" s="234"/>
      <c r="M111" s="378"/>
      <c r="N111" s="78"/>
      <c r="O111" s="235" t="str">
        <f t="shared" si="79"/>
        <v/>
      </c>
      <c r="P111" s="650"/>
      <c r="Q111" s="381"/>
      <c r="R111" s="233"/>
      <c r="S111" s="378"/>
      <c r="T111" s="808"/>
      <c r="U111" s="809"/>
      <c r="V111" s="809"/>
      <c r="W111" s="810"/>
      <c r="Y111" s="503"/>
      <c r="Z111" s="503"/>
      <c r="AA111" s="422">
        <v>7</v>
      </c>
      <c r="AB111" s="95" t="str">
        <f t="shared" si="71"/>
        <v>** NOT USED **</v>
      </c>
      <c r="AC111" s="106" t="str">
        <f t="shared" si="72"/>
        <v/>
      </c>
      <c r="AD111" s="348">
        <f t="shared" si="73"/>
        <v>0</v>
      </c>
      <c r="AE111" s="198">
        <f t="shared" si="74"/>
        <v>0</v>
      </c>
      <c r="AF111" s="198">
        <f ca="1">IF(T111&lt;&gt;"",MATCH(T111,OFFSET(References!$AB$23,0,AE111,PxTxCount),0),0)</f>
        <v>0</v>
      </c>
      <c r="AG111" s="198">
        <f t="shared" ca="1" si="75"/>
        <v>0</v>
      </c>
      <c r="AH111" s="95" t="str">
        <f ca="1">IF(AE111&lt;&gt;0,OFFSET(References!$AB$23,0,$AE$105,INDEX(PxTxValid,,$AE$105+1)),"")</f>
        <v/>
      </c>
      <c r="AI111" s="338">
        <f t="shared" ca="1" si="76"/>
        <v>0</v>
      </c>
      <c r="AJ111" s="338">
        <f t="shared" ca="1" si="76"/>
        <v>0</v>
      </c>
      <c r="AK111" s="338">
        <f t="shared" ca="1" si="76"/>
        <v>0</v>
      </c>
      <c r="AL111" s="338">
        <f t="shared" ca="1" si="76"/>
        <v>0</v>
      </c>
      <c r="AM111" s="338">
        <f t="shared" ca="1" si="76"/>
        <v>0</v>
      </c>
      <c r="AN111" s="338">
        <f t="shared" ca="1" si="76"/>
        <v>0</v>
      </c>
      <c r="AO111" s="338">
        <f t="shared" ca="1" si="77"/>
        <v>0</v>
      </c>
      <c r="AP111" s="338">
        <f t="shared" ca="1" si="77"/>
        <v>0</v>
      </c>
      <c r="AQ111" s="338">
        <f t="shared" ca="1" si="77"/>
        <v>0</v>
      </c>
      <c r="AR111" s="338">
        <f t="shared" ca="1" si="77"/>
        <v>0</v>
      </c>
      <c r="AS111" s="338">
        <f t="shared" ca="1" si="77"/>
        <v>0</v>
      </c>
      <c r="AT111" s="338">
        <f t="shared" ca="1" si="77"/>
        <v>0</v>
      </c>
    </row>
    <row r="112" spans="1:46" ht="14.25" customHeight="1" outlineLevel="1" x14ac:dyDescent="0.2">
      <c r="A112" s="62"/>
      <c r="B112" s="405">
        <f t="shared" si="78"/>
        <v>0</v>
      </c>
      <c r="C112" s="422">
        <v>8</v>
      </c>
      <c r="D112" s="345"/>
      <c r="E112" s="805"/>
      <c r="F112" s="806"/>
      <c r="G112" s="807"/>
      <c r="H112" s="404"/>
      <c r="I112" s="378"/>
      <c r="J112" s="233"/>
      <c r="K112" s="232"/>
      <c r="L112" s="234"/>
      <c r="M112" s="378"/>
      <c r="N112" s="78"/>
      <c r="O112" s="235" t="str">
        <f t="shared" si="79"/>
        <v/>
      </c>
      <c r="P112" s="650"/>
      <c r="Q112" s="381"/>
      <c r="R112" s="233"/>
      <c r="S112" s="378"/>
      <c r="T112" s="808"/>
      <c r="U112" s="809"/>
      <c r="V112" s="809"/>
      <c r="W112" s="810"/>
      <c r="Y112" s="503"/>
      <c r="Z112" s="503"/>
      <c r="AA112" s="422">
        <v>8</v>
      </c>
      <c r="AB112" s="95" t="str">
        <f t="shared" si="71"/>
        <v>** NOT USED **</v>
      </c>
      <c r="AC112" s="106" t="str">
        <f t="shared" si="72"/>
        <v/>
      </c>
      <c r="AD112" s="348">
        <f t="shared" si="73"/>
        <v>0</v>
      </c>
      <c r="AE112" s="198">
        <f t="shared" si="74"/>
        <v>0</v>
      </c>
      <c r="AF112" s="198">
        <f ca="1">IF(T112&lt;&gt;"",MATCH(T112,OFFSET(References!$AB$23,0,AE112,PxTxCount),0),0)</f>
        <v>0</v>
      </c>
      <c r="AG112" s="198">
        <f t="shared" ca="1" si="75"/>
        <v>0</v>
      </c>
      <c r="AH112" s="95" t="str">
        <f ca="1">IF(AE112&lt;&gt;0,OFFSET(References!$AB$23,0,$AE$105,INDEX(PxTxValid,,$AE$105+1)),"")</f>
        <v/>
      </c>
      <c r="AI112" s="338">
        <f t="shared" ca="1" si="76"/>
        <v>0</v>
      </c>
      <c r="AJ112" s="338">
        <f t="shared" ca="1" si="76"/>
        <v>0</v>
      </c>
      <c r="AK112" s="338">
        <f t="shared" ca="1" si="76"/>
        <v>0</v>
      </c>
      <c r="AL112" s="338">
        <f t="shared" ca="1" si="76"/>
        <v>0</v>
      </c>
      <c r="AM112" s="338">
        <f t="shared" ca="1" si="76"/>
        <v>0</v>
      </c>
      <c r="AN112" s="338">
        <f t="shared" ca="1" si="76"/>
        <v>0</v>
      </c>
      <c r="AO112" s="338">
        <f t="shared" ca="1" si="77"/>
        <v>0</v>
      </c>
      <c r="AP112" s="338">
        <f t="shared" ca="1" si="77"/>
        <v>0</v>
      </c>
      <c r="AQ112" s="338">
        <f t="shared" ca="1" si="77"/>
        <v>0</v>
      </c>
      <c r="AR112" s="338">
        <f t="shared" ca="1" si="77"/>
        <v>0</v>
      </c>
      <c r="AS112" s="338">
        <f t="shared" ca="1" si="77"/>
        <v>0</v>
      </c>
      <c r="AT112" s="338">
        <f t="shared" ca="1" si="77"/>
        <v>0</v>
      </c>
    </row>
    <row r="113" spans="1:46" outlineLevel="1" x14ac:dyDescent="0.2">
      <c r="A113" s="62"/>
      <c r="B113" s="405">
        <f t="shared" si="78"/>
        <v>0</v>
      </c>
      <c r="C113" s="422">
        <v>9</v>
      </c>
      <c r="D113" s="345"/>
      <c r="E113" s="805"/>
      <c r="F113" s="806"/>
      <c r="G113" s="807"/>
      <c r="H113" s="404"/>
      <c r="I113" s="378"/>
      <c r="J113" s="233"/>
      <c r="K113" s="232"/>
      <c r="L113" s="234"/>
      <c r="M113" s="378"/>
      <c r="N113" s="78"/>
      <c r="O113" s="235" t="str">
        <f t="shared" si="79"/>
        <v/>
      </c>
      <c r="P113" s="650"/>
      <c r="Q113" s="492"/>
      <c r="R113" s="233"/>
      <c r="S113" s="378"/>
      <c r="T113" s="808"/>
      <c r="U113" s="809"/>
      <c r="V113" s="809"/>
      <c r="W113" s="810"/>
      <c r="Y113" s="503"/>
      <c r="Z113" s="503"/>
      <c r="AA113" s="422">
        <v>9</v>
      </c>
      <c r="AB113" s="95" t="str">
        <f t="shared" si="71"/>
        <v>** NOT USED **</v>
      </c>
      <c r="AC113" s="106" t="str">
        <f t="shared" si="72"/>
        <v/>
      </c>
      <c r="AD113" s="348">
        <f t="shared" si="73"/>
        <v>0</v>
      </c>
      <c r="AE113" s="198">
        <f t="shared" si="74"/>
        <v>0</v>
      </c>
      <c r="AF113" s="198">
        <f ca="1">IF(T113&lt;&gt;"",MATCH(T113,OFFSET(References!$AB$23,0,AE113,PxTxCount),0),0)</f>
        <v>0</v>
      </c>
      <c r="AG113" s="198">
        <f t="shared" ca="1" si="75"/>
        <v>0</v>
      </c>
      <c r="AH113" s="95" t="str">
        <f ca="1">IF(AE113&lt;&gt;0,OFFSET(References!$AB$23,0,$AE$105,INDEX(PxTxValid,,$AE$105+1)),"")</f>
        <v/>
      </c>
      <c r="AI113" s="338">
        <f t="shared" ca="1" si="76"/>
        <v>0</v>
      </c>
      <c r="AJ113" s="338">
        <f t="shared" ca="1" si="76"/>
        <v>0</v>
      </c>
      <c r="AK113" s="338">
        <f t="shared" ca="1" si="76"/>
        <v>0</v>
      </c>
      <c r="AL113" s="338">
        <f t="shared" ca="1" si="76"/>
        <v>0</v>
      </c>
      <c r="AM113" s="338">
        <f t="shared" ca="1" si="76"/>
        <v>0</v>
      </c>
      <c r="AN113" s="338">
        <f t="shared" ca="1" si="76"/>
        <v>0</v>
      </c>
      <c r="AO113" s="338">
        <f t="shared" ca="1" si="77"/>
        <v>0</v>
      </c>
      <c r="AP113" s="338">
        <f t="shared" ca="1" si="77"/>
        <v>0</v>
      </c>
      <c r="AQ113" s="338">
        <f t="shared" ca="1" si="77"/>
        <v>0</v>
      </c>
      <c r="AR113" s="338">
        <f t="shared" ca="1" si="77"/>
        <v>0</v>
      </c>
      <c r="AS113" s="338">
        <f t="shared" ca="1" si="77"/>
        <v>0</v>
      </c>
      <c r="AT113" s="338">
        <f t="shared" ca="1" si="77"/>
        <v>0</v>
      </c>
    </row>
    <row r="114" spans="1:46" outlineLevel="1" x14ac:dyDescent="0.2">
      <c r="A114" s="62"/>
      <c r="B114" s="405">
        <f t="shared" si="78"/>
        <v>0</v>
      </c>
      <c r="C114" s="422">
        <v>10</v>
      </c>
      <c r="D114" s="345"/>
      <c r="E114" s="805"/>
      <c r="F114" s="806"/>
      <c r="G114" s="807"/>
      <c r="H114" s="404"/>
      <c r="I114" s="378"/>
      <c r="J114" s="233"/>
      <c r="K114" s="232"/>
      <c r="L114" s="234"/>
      <c r="M114" s="378"/>
      <c r="N114" s="78"/>
      <c r="O114" s="235" t="str">
        <f t="shared" si="79"/>
        <v/>
      </c>
      <c r="P114" s="650"/>
      <c r="Q114" s="381"/>
      <c r="R114" s="233"/>
      <c r="S114" s="378"/>
      <c r="T114" s="808"/>
      <c r="U114" s="809"/>
      <c r="V114" s="809"/>
      <c r="W114" s="810"/>
      <c r="Y114" s="503"/>
      <c r="Z114" s="503"/>
      <c r="AA114" s="422">
        <v>10</v>
      </c>
      <c r="AB114" s="95" t="str">
        <f t="shared" si="71"/>
        <v>** NOT USED **</v>
      </c>
      <c r="AC114" s="106" t="str">
        <f t="shared" si="72"/>
        <v/>
      </c>
      <c r="AD114" s="348">
        <f t="shared" si="73"/>
        <v>0</v>
      </c>
      <c r="AE114" s="198">
        <f t="shared" si="74"/>
        <v>0</v>
      </c>
      <c r="AF114" s="198">
        <f ca="1">IF(T114&lt;&gt;"",MATCH(T114,OFFSET(References!$AB$23,0,AE114,PxTxCount),0),0)</f>
        <v>0</v>
      </c>
      <c r="AG114" s="198">
        <f t="shared" ca="1" si="75"/>
        <v>0</v>
      </c>
      <c r="AH114" s="95" t="str">
        <f ca="1">IF(AE114&lt;&gt;0,OFFSET(References!$AB$23,0,$AE$105,INDEX(PxTxValid,,$AE$105+1)),"")</f>
        <v/>
      </c>
      <c r="AI114" s="338">
        <f t="shared" ca="1" si="76"/>
        <v>0</v>
      </c>
      <c r="AJ114" s="338">
        <f t="shared" ca="1" si="76"/>
        <v>0</v>
      </c>
      <c r="AK114" s="338">
        <f t="shared" ca="1" si="76"/>
        <v>0</v>
      </c>
      <c r="AL114" s="338">
        <f t="shared" ca="1" si="76"/>
        <v>0</v>
      </c>
      <c r="AM114" s="338">
        <f t="shared" ca="1" si="76"/>
        <v>0</v>
      </c>
      <c r="AN114" s="338">
        <f t="shared" ca="1" si="76"/>
        <v>0</v>
      </c>
      <c r="AO114" s="338">
        <f t="shared" ca="1" si="77"/>
        <v>0</v>
      </c>
      <c r="AP114" s="338">
        <f t="shared" ca="1" si="77"/>
        <v>0</v>
      </c>
      <c r="AQ114" s="338">
        <f t="shared" ca="1" si="77"/>
        <v>0</v>
      </c>
      <c r="AR114" s="338">
        <f t="shared" ca="1" si="77"/>
        <v>0</v>
      </c>
      <c r="AS114" s="338">
        <f t="shared" ca="1" si="77"/>
        <v>0</v>
      </c>
      <c r="AT114" s="338">
        <f t="shared" ca="1" si="77"/>
        <v>0</v>
      </c>
    </row>
    <row r="115" spans="1:46" outlineLevel="1" x14ac:dyDescent="0.2">
      <c r="B115" s="405">
        <f t="shared" si="78"/>
        <v>0</v>
      </c>
      <c r="C115" s="422">
        <v>11</v>
      </c>
      <c r="D115" s="418"/>
      <c r="E115" s="805"/>
      <c r="F115" s="806"/>
      <c r="G115" s="807"/>
      <c r="H115" s="404"/>
      <c r="I115" s="378"/>
      <c r="J115" s="233"/>
      <c r="K115" s="232"/>
      <c r="L115" s="234"/>
      <c r="M115" s="378"/>
      <c r="N115" s="78"/>
      <c r="O115" s="235" t="str">
        <f t="shared" si="79"/>
        <v/>
      </c>
      <c r="P115" s="650"/>
      <c r="Q115" s="381"/>
      <c r="R115" s="233"/>
      <c r="S115" s="378"/>
      <c r="T115" s="808"/>
      <c r="U115" s="809"/>
      <c r="V115" s="809"/>
      <c r="W115" s="810"/>
      <c r="Y115" s="503"/>
      <c r="Z115" s="503"/>
      <c r="AA115" s="422">
        <v>11</v>
      </c>
      <c r="AB115" s="95" t="str">
        <f t="shared" si="71"/>
        <v>** NOT USED **</v>
      </c>
      <c r="AC115" s="106" t="str">
        <f t="shared" si="72"/>
        <v/>
      </c>
      <c r="AD115" s="348">
        <f t="shared" si="73"/>
        <v>0</v>
      </c>
      <c r="AE115" s="198">
        <f t="shared" si="74"/>
        <v>0</v>
      </c>
      <c r="AF115" s="198">
        <f ca="1">IF(T115&lt;&gt;"",MATCH(T115,OFFSET(References!$AB$23,0,AE115,PxTxCount),0),0)</f>
        <v>0</v>
      </c>
      <c r="AG115" s="198">
        <f t="shared" ref="AG115:AG124" ca="1" si="80">(AE115*PxTxCount)+AF115</f>
        <v>0</v>
      </c>
      <c r="AH115" s="95" t="str">
        <f ca="1">IF(AE115&lt;&gt;0,OFFSET(References!$AB$23,0,$AE$105,INDEX(PxTxValid,,$AE$105+1)),"")</f>
        <v/>
      </c>
      <c r="AI115" s="338">
        <f t="shared" ref="AI115:AN124" ca="1" si="81">IF($AG115&lt;&gt;0,INDEX(PxTxPhase1,$AG115,AI$102)*$AD115,0)</f>
        <v>0</v>
      </c>
      <c r="AJ115" s="338">
        <f t="shared" ca="1" si="81"/>
        <v>0</v>
      </c>
      <c r="AK115" s="338">
        <f t="shared" ca="1" si="81"/>
        <v>0</v>
      </c>
      <c r="AL115" s="338">
        <f t="shared" ca="1" si="81"/>
        <v>0</v>
      </c>
      <c r="AM115" s="338">
        <f t="shared" ca="1" si="81"/>
        <v>0</v>
      </c>
      <c r="AN115" s="338">
        <f t="shared" ca="1" si="81"/>
        <v>0</v>
      </c>
      <c r="AO115" s="338">
        <f t="shared" ref="AO115:AT124" ca="1" si="82">IF($AG115&lt;&gt;0,INDEX(PxTxPhase2,$AG115,AO$102)*$AD115,0)</f>
        <v>0</v>
      </c>
      <c r="AP115" s="338">
        <f t="shared" ca="1" si="82"/>
        <v>0</v>
      </c>
      <c r="AQ115" s="338">
        <f t="shared" ca="1" si="82"/>
        <v>0</v>
      </c>
      <c r="AR115" s="338">
        <f t="shared" ca="1" si="82"/>
        <v>0</v>
      </c>
      <c r="AS115" s="338">
        <f t="shared" ca="1" si="82"/>
        <v>0</v>
      </c>
      <c r="AT115" s="338">
        <f t="shared" ca="1" si="82"/>
        <v>0</v>
      </c>
    </row>
    <row r="116" spans="1:46" outlineLevel="1" x14ac:dyDescent="0.2">
      <c r="B116" s="405">
        <f t="shared" si="78"/>
        <v>0</v>
      </c>
      <c r="C116" s="422">
        <v>12</v>
      </c>
      <c r="D116" s="418"/>
      <c r="E116" s="805"/>
      <c r="F116" s="806"/>
      <c r="G116" s="807"/>
      <c r="H116" s="404"/>
      <c r="I116" s="378"/>
      <c r="J116" s="233"/>
      <c r="K116" s="232"/>
      <c r="L116" s="234"/>
      <c r="M116" s="378"/>
      <c r="N116" s="78"/>
      <c r="O116" s="235" t="str">
        <f t="shared" si="79"/>
        <v/>
      </c>
      <c r="P116" s="650"/>
      <c r="Q116" s="381"/>
      <c r="R116" s="233"/>
      <c r="S116" s="378"/>
      <c r="T116" s="808"/>
      <c r="U116" s="809"/>
      <c r="V116" s="809"/>
      <c r="W116" s="810"/>
      <c r="Y116" s="503"/>
      <c r="Z116" s="503"/>
      <c r="AA116" s="422">
        <v>12</v>
      </c>
      <c r="AB116" s="95" t="str">
        <f t="shared" si="71"/>
        <v>** NOT USED **</v>
      </c>
      <c r="AC116" s="106" t="str">
        <f t="shared" si="72"/>
        <v/>
      </c>
      <c r="AD116" s="348">
        <f t="shared" si="73"/>
        <v>0</v>
      </c>
      <c r="AE116" s="198">
        <f t="shared" si="74"/>
        <v>0</v>
      </c>
      <c r="AF116" s="198">
        <f ca="1">IF(T116&lt;&gt;"",MATCH(T116,OFFSET(References!$AB$23,0,AE116,PxTxCount),0),0)</f>
        <v>0</v>
      </c>
      <c r="AG116" s="198">
        <f t="shared" ca="1" si="80"/>
        <v>0</v>
      </c>
      <c r="AH116" s="95" t="str">
        <f ca="1">IF(AE116&lt;&gt;0,OFFSET(References!$AB$23,0,$AE$105,INDEX(PxTxValid,,$AE$105+1)),"")</f>
        <v/>
      </c>
      <c r="AI116" s="338">
        <f t="shared" ca="1" si="81"/>
        <v>0</v>
      </c>
      <c r="AJ116" s="338">
        <f t="shared" ca="1" si="81"/>
        <v>0</v>
      </c>
      <c r="AK116" s="338">
        <f t="shared" ca="1" si="81"/>
        <v>0</v>
      </c>
      <c r="AL116" s="338">
        <f t="shared" ca="1" si="81"/>
        <v>0</v>
      </c>
      <c r="AM116" s="338">
        <f t="shared" ca="1" si="81"/>
        <v>0</v>
      </c>
      <c r="AN116" s="338">
        <f t="shared" ca="1" si="81"/>
        <v>0</v>
      </c>
      <c r="AO116" s="338">
        <f t="shared" ca="1" si="82"/>
        <v>0</v>
      </c>
      <c r="AP116" s="338">
        <f t="shared" ca="1" si="82"/>
        <v>0</v>
      </c>
      <c r="AQ116" s="338">
        <f t="shared" ca="1" si="82"/>
        <v>0</v>
      </c>
      <c r="AR116" s="338">
        <f t="shared" ca="1" si="82"/>
        <v>0</v>
      </c>
      <c r="AS116" s="338">
        <f t="shared" ca="1" si="82"/>
        <v>0</v>
      </c>
      <c r="AT116" s="338">
        <f t="shared" ca="1" si="82"/>
        <v>0</v>
      </c>
    </row>
    <row r="117" spans="1:46" outlineLevel="1" x14ac:dyDescent="0.2">
      <c r="B117" s="405">
        <f t="shared" si="78"/>
        <v>0</v>
      </c>
      <c r="C117" s="422">
        <v>13</v>
      </c>
      <c r="D117" s="418"/>
      <c r="E117" s="805"/>
      <c r="F117" s="806"/>
      <c r="G117" s="807"/>
      <c r="H117" s="404"/>
      <c r="I117" s="378"/>
      <c r="J117" s="233"/>
      <c r="K117" s="232"/>
      <c r="L117" s="234"/>
      <c r="M117" s="378"/>
      <c r="N117" s="78"/>
      <c r="O117" s="235" t="str">
        <f t="shared" si="79"/>
        <v/>
      </c>
      <c r="P117" s="650"/>
      <c r="Q117" s="381"/>
      <c r="R117" s="233"/>
      <c r="S117" s="378"/>
      <c r="T117" s="808"/>
      <c r="U117" s="809"/>
      <c r="V117" s="809"/>
      <c r="W117" s="810"/>
      <c r="Y117" s="503"/>
      <c r="Z117" s="503"/>
      <c r="AA117" s="422">
        <v>13</v>
      </c>
      <c r="AB117" s="95" t="str">
        <f t="shared" si="71"/>
        <v>** NOT USED **</v>
      </c>
      <c r="AC117" s="106" t="str">
        <f t="shared" si="72"/>
        <v/>
      </c>
      <c r="AD117" s="348">
        <f t="shared" si="73"/>
        <v>0</v>
      </c>
      <c r="AE117" s="198">
        <f t="shared" si="74"/>
        <v>0</v>
      </c>
      <c r="AF117" s="198">
        <f ca="1">IF(T117&lt;&gt;"",MATCH(T117,OFFSET(References!$AB$23,0,AE117,PxTxCount),0),0)</f>
        <v>0</v>
      </c>
      <c r="AG117" s="198">
        <f t="shared" ca="1" si="80"/>
        <v>0</v>
      </c>
      <c r="AH117" s="95" t="str">
        <f ca="1">IF(AE117&lt;&gt;0,OFFSET(References!$AB$23,0,$AE$105,INDEX(PxTxValid,,$AE$105+1)),"")</f>
        <v/>
      </c>
      <c r="AI117" s="338">
        <f t="shared" ca="1" si="81"/>
        <v>0</v>
      </c>
      <c r="AJ117" s="338">
        <f t="shared" ca="1" si="81"/>
        <v>0</v>
      </c>
      <c r="AK117" s="338">
        <f t="shared" ca="1" si="81"/>
        <v>0</v>
      </c>
      <c r="AL117" s="338">
        <f t="shared" ca="1" si="81"/>
        <v>0</v>
      </c>
      <c r="AM117" s="338">
        <f t="shared" ca="1" si="81"/>
        <v>0</v>
      </c>
      <c r="AN117" s="338">
        <f t="shared" ca="1" si="81"/>
        <v>0</v>
      </c>
      <c r="AO117" s="338">
        <f t="shared" ca="1" si="82"/>
        <v>0</v>
      </c>
      <c r="AP117" s="338">
        <f t="shared" ca="1" si="82"/>
        <v>0</v>
      </c>
      <c r="AQ117" s="338">
        <f t="shared" ca="1" si="82"/>
        <v>0</v>
      </c>
      <c r="AR117" s="338">
        <f t="shared" ca="1" si="82"/>
        <v>0</v>
      </c>
      <c r="AS117" s="338">
        <f t="shared" ca="1" si="82"/>
        <v>0</v>
      </c>
      <c r="AT117" s="338">
        <f t="shared" ca="1" si="82"/>
        <v>0</v>
      </c>
    </row>
    <row r="118" spans="1:46" outlineLevel="1" x14ac:dyDescent="0.2">
      <c r="B118" s="405">
        <f t="shared" si="78"/>
        <v>0</v>
      </c>
      <c r="C118" s="422">
        <v>14</v>
      </c>
      <c r="D118" s="418"/>
      <c r="E118" s="805"/>
      <c r="F118" s="806"/>
      <c r="G118" s="807"/>
      <c r="H118" s="404"/>
      <c r="I118" s="378"/>
      <c r="J118" s="233"/>
      <c r="K118" s="232"/>
      <c r="L118" s="234"/>
      <c r="M118" s="378"/>
      <c r="N118" s="78"/>
      <c r="O118" s="235" t="str">
        <f t="shared" si="79"/>
        <v/>
      </c>
      <c r="P118" s="650"/>
      <c r="Q118" s="381"/>
      <c r="R118" s="233"/>
      <c r="S118" s="378"/>
      <c r="T118" s="808"/>
      <c r="U118" s="809"/>
      <c r="V118" s="809"/>
      <c r="W118" s="810"/>
      <c r="Y118" s="503"/>
      <c r="Z118" s="503"/>
      <c r="AA118" s="422">
        <v>14</v>
      </c>
      <c r="AB118" s="95" t="str">
        <f t="shared" si="71"/>
        <v>** NOT USED **</v>
      </c>
      <c r="AC118" s="106" t="str">
        <f t="shared" si="72"/>
        <v/>
      </c>
      <c r="AD118" s="348">
        <f t="shared" si="73"/>
        <v>0</v>
      </c>
      <c r="AE118" s="198">
        <f t="shared" si="74"/>
        <v>0</v>
      </c>
      <c r="AF118" s="198">
        <f ca="1">IF(T118&lt;&gt;"",MATCH(T118,OFFSET(References!$AB$23,0,AE118,PxTxCount),0),0)</f>
        <v>0</v>
      </c>
      <c r="AG118" s="198">
        <f t="shared" ca="1" si="80"/>
        <v>0</v>
      </c>
      <c r="AH118" s="95" t="str">
        <f ca="1">IF(AE118&lt;&gt;0,OFFSET(References!$AB$23,0,$AE$105,INDEX(PxTxValid,,$AE$105+1)),"")</f>
        <v/>
      </c>
      <c r="AI118" s="338">
        <f t="shared" ca="1" si="81"/>
        <v>0</v>
      </c>
      <c r="AJ118" s="338">
        <f t="shared" ca="1" si="81"/>
        <v>0</v>
      </c>
      <c r="AK118" s="338">
        <f t="shared" ca="1" si="81"/>
        <v>0</v>
      </c>
      <c r="AL118" s="338">
        <f t="shared" ca="1" si="81"/>
        <v>0</v>
      </c>
      <c r="AM118" s="338">
        <f t="shared" ca="1" si="81"/>
        <v>0</v>
      </c>
      <c r="AN118" s="338">
        <f t="shared" ca="1" si="81"/>
        <v>0</v>
      </c>
      <c r="AO118" s="338">
        <f t="shared" ca="1" si="82"/>
        <v>0</v>
      </c>
      <c r="AP118" s="338">
        <f t="shared" ca="1" si="82"/>
        <v>0</v>
      </c>
      <c r="AQ118" s="338">
        <f t="shared" ca="1" si="82"/>
        <v>0</v>
      </c>
      <c r="AR118" s="338">
        <f t="shared" ca="1" si="82"/>
        <v>0</v>
      </c>
      <c r="AS118" s="338">
        <f t="shared" ca="1" si="82"/>
        <v>0</v>
      </c>
      <c r="AT118" s="338">
        <f t="shared" ca="1" si="82"/>
        <v>0</v>
      </c>
    </row>
    <row r="119" spans="1:46" outlineLevel="1" x14ac:dyDescent="0.2">
      <c r="B119" s="405">
        <f t="shared" si="78"/>
        <v>0</v>
      </c>
      <c r="C119" s="422">
        <v>15</v>
      </c>
      <c r="D119" s="418"/>
      <c r="E119" s="805"/>
      <c r="F119" s="806"/>
      <c r="G119" s="807"/>
      <c r="H119" s="404"/>
      <c r="I119" s="378"/>
      <c r="J119" s="233"/>
      <c r="K119" s="232"/>
      <c r="L119" s="234"/>
      <c r="M119" s="378"/>
      <c r="N119" s="78"/>
      <c r="O119" s="235" t="str">
        <f t="shared" si="79"/>
        <v/>
      </c>
      <c r="P119" s="650"/>
      <c r="Q119" s="381"/>
      <c r="R119" s="233"/>
      <c r="S119" s="378"/>
      <c r="T119" s="808"/>
      <c r="U119" s="809"/>
      <c r="V119" s="809"/>
      <c r="W119" s="810"/>
      <c r="Y119" s="503"/>
      <c r="Z119" s="503"/>
      <c r="AA119" s="422">
        <v>15</v>
      </c>
      <c r="AB119" s="95" t="str">
        <f t="shared" si="71"/>
        <v>** NOT USED **</v>
      </c>
      <c r="AC119" s="106" t="str">
        <f t="shared" si="72"/>
        <v/>
      </c>
      <c r="AD119" s="348">
        <f t="shared" si="73"/>
        <v>0</v>
      </c>
      <c r="AE119" s="198">
        <f t="shared" si="74"/>
        <v>0</v>
      </c>
      <c r="AF119" s="198">
        <f ca="1">IF(T119&lt;&gt;"",MATCH(T119,OFFSET(References!$AB$23,0,AE119,PxTxCount),0),0)</f>
        <v>0</v>
      </c>
      <c r="AG119" s="198">
        <f t="shared" ca="1" si="80"/>
        <v>0</v>
      </c>
      <c r="AH119" s="95" t="str">
        <f ca="1">IF(AE119&lt;&gt;0,OFFSET(References!$AB$23,0,$AE$105,INDEX(PxTxValid,,$AE$105+1)),"")</f>
        <v/>
      </c>
      <c r="AI119" s="338">
        <f t="shared" ca="1" si="81"/>
        <v>0</v>
      </c>
      <c r="AJ119" s="338">
        <f t="shared" ca="1" si="81"/>
        <v>0</v>
      </c>
      <c r="AK119" s="338">
        <f t="shared" ca="1" si="81"/>
        <v>0</v>
      </c>
      <c r="AL119" s="338">
        <f t="shared" ca="1" si="81"/>
        <v>0</v>
      </c>
      <c r="AM119" s="338">
        <f t="shared" ca="1" si="81"/>
        <v>0</v>
      </c>
      <c r="AN119" s="338">
        <f t="shared" ca="1" si="81"/>
        <v>0</v>
      </c>
      <c r="AO119" s="338">
        <f t="shared" ca="1" si="82"/>
        <v>0</v>
      </c>
      <c r="AP119" s="338">
        <f t="shared" ca="1" si="82"/>
        <v>0</v>
      </c>
      <c r="AQ119" s="338">
        <f t="shared" ca="1" si="82"/>
        <v>0</v>
      </c>
      <c r="AR119" s="338">
        <f t="shared" ca="1" si="82"/>
        <v>0</v>
      </c>
      <c r="AS119" s="338">
        <f t="shared" ca="1" si="82"/>
        <v>0</v>
      </c>
      <c r="AT119" s="338">
        <f t="shared" ca="1" si="82"/>
        <v>0</v>
      </c>
    </row>
    <row r="120" spans="1:46" outlineLevel="1" x14ac:dyDescent="0.2">
      <c r="B120" s="405">
        <f t="shared" si="78"/>
        <v>0</v>
      </c>
      <c r="C120" s="422">
        <v>16</v>
      </c>
      <c r="D120" s="418"/>
      <c r="E120" s="805"/>
      <c r="F120" s="806"/>
      <c r="G120" s="807"/>
      <c r="H120" s="404"/>
      <c r="I120" s="378"/>
      <c r="J120" s="233"/>
      <c r="K120" s="232"/>
      <c r="L120" s="234"/>
      <c r="M120" s="378"/>
      <c r="N120" s="78"/>
      <c r="O120" s="235" t="str">
        <f t="shared" si="79"/>
        <v/>
      </c>
      <c r="P120" s="650"/>
      <c r="Q120" s="381"/>
      <c r="R120" s="233"/>
      <c r="S120" s="378"/>
      <c r="T120" s="808"/>
      <c r="U120" s="809"/>
      <c r="V120" s="809"/>
      <c r="W120" s="810"/>
      <c r="Y120" s="503"/>
      <c r="Z120" s="503"/>
      <c r="AA120" s="422">
        <v>16</v>
      </c>
      <c r="AB120" s="95" t="str">
        <f t="shared" si="71"/>
        <v>** NOT USED **</v>
      </c>
      <c r="AC120" s="106" t="str">
        <f t="shared" si="72"/>
        <v/>
      </c>
      <c r="AD120" s="348">
        <f t="shared" si="73"/>
        <v>0</v>
      </c>
      <c r="AE120" s="198">
        <f t="shared" si="74"/>
        <v>0</v>
      </c>
      <c r="AF120" s="198">
        <f ca="1">IF(T120&lt;&gt;"",MATCH(T120,OFFSET(References!$AB$23,0,AE120,PxTxCount),0),0)</f>
        <v>0</v>
      </c>
      <c r="AG120" s="198">
        <f t="shared" ca="1" si="80"/>
        <v>0</v>
      </c>
      <c r="AH120" s="95" t="str">
        <f ca="1">IF(AE120&lt;&gt;0,OFFSET(References!$AB$23,0,$AE$105,INDEX(PxTxValid,,$AE$105+1)),"")</f>
        <v/>
      </c>
      <c r="AI120" s="338">
        <f t="shared" ca="1" si="81"/>
        <v>0</v>
      </c>
      <c r="AJ120" s="338">
        <f t="shared" ca="1" si="81"/>
        <v>0</v>
      </c>
      <c r="AK120" s="338">
        <f t="shared" ca="1" si="81"/>
        <v>0</v>
      </c>
      <c r="AL120" s="338">
        <f t="shared" ca="1" si="81"/>
        <v>0</v>
      </c>
      <c r="AM120" s="338">
        <f t="shared" ca="1" si="81"/>
        <v>0</v>
      </c>
      <c r="AN120" s="338">
        <f t="shared" ca="1" si="81"/>
        <v>0</v>
      </c>
      <c r="AO120" s="338">
        <f t="shared" ca="1" si="82"/>
        <v>0</v>
      </c>
      <c r="AP120" s="338">
        <f t="shared" ca="1" si="82"/>
        <v>0</v>
      </c>
      <c r="AQ120" s="338">
        <f t="shared" ca="1" si="82"/>
        <v>0</v>
      </c>
      <c r="AR120" s="338">
        <f t="shared" ca="1" si="82"/>
        <v>0</v>
      </c>
      <c r="AS120" s="338">
        <f t="shared" ca="1" si="82"/>
        <v>0</v>
      </c>
      <c r="AT120" s="338">
        <f t="shared" ca="1" si="82"/>
        <v>0</v>
      </c>
    </row>
    <row r="121" spans="1:46" outlineLevel="1" x14ac:dyDescent="0.2">
      <c r="B121" s="405">
        <f t="shared" si="78"/>
        <v>0</v>
      </c>
      <c r="C121" s="422">
        <v>17</v>
      </c>
      <c r="D121" s="418"/>
      <c r="E121" s="805"/>
      <c r="F121" s="806"/>
      <c r="G121" s="807"/>
      <c r="H121" s="404"/>
      <c r="I121" s="378"/>
      <c r="J121" s="233"/>
      <c r="K121" s="232"/>
      <c r="L121" s="234"/>
      <c r="M121" s="378"/>
      <c r="N121" s="78"/>
      <c r="O121" s="235" t="str">
        <f t="shared" si="79"/>
        <v/>
      </c>
      <c r="P121" s="650"/>
      <c r="Q121" s="381"/>
      <c r="R121" s="233"/>
      <c r="S121" s="378"/>
      <c r="T121" s="808"/>
      <c r="U121" s="809"/>
      <c r="V121" s="809"/>
      <c r="W121" s="810"/>
      <c r="Y121" s="503"/>
      <c r="Z121" s="503"/>
      <c r="AA121" s="422">
        <v>17</v>
      </c>
      <c r="AB121" s="95" t="str">
        <f t="shared" si="71"/>
        <v>** NOT USED **</v>
      </c>
      <c r="AC121" s="106" t="str">
        <f t="shared" si="72"/>
        <v/>
      </c>
      <c r="AD121" s="348">
        <f t="shared" si="73"/>
        <v>0</v>
      </c>
      <c r="AE121" s="198">
        <f t="shared" si="74"/>
        <v>0</v>
      </c>
      <c r="AF121" s="198">
        <f ca="1">IF(T121&lt;&gt;"",MATCH(T121,OFFSET(References!$AB$23,0,AE121,PxTxCount),0),0)</f>
        <v>0</v>
      </c>
      <c r="AG121" s="198">
        <f t="shared" ca="1" si="80"/>
        <v>0</v>
      </c>
      <c r="AH121" s="95" t="str">
        <f ca="1">IF(AE121&lt;&gt;0,OFFSET(References!$AB$23,0,$AE$105,INDEX(PxTxValid,,$AE$105+1)),"")</f>
        <v/>
      </c>
      <c r="AI121" s="338">
        <f t="shared" ca="1" si="81"/>
        <v>0</v>
      </c>
      <c r="AJ121" s="338">
        <f t="shared" ca="1" si="81"/>
        <v>0</v>
      </c>
      <c r="AK121" s="338">
        <f t="shared" ca="1" si="81"/>
        <v>0</v>
      </c>
      <c r="AL121" s="338">
        <f t="shared" ca="1" si="81"/>
        <v>0</v>
      </c>
      <c r="AM121" s="338">
        <f t="shared" ca="1" si="81"/>
        <v>0</v>
      </c>
      <c r="AN121" s="338">
        <f t="shared" ca="1" si="81"/>
        <v>0</v>
      </c>
      <c r="AO121" s="338">
        <f t="shared" ca="1" si="82"/>
        <v>0</v>
      </c>
      <c r="AP121" s="338">
        <f t="shared" ca="1" si="82"/>
        <v>0</v>
      </c>
      <c r="AQ121" s="338">
        <f t="shared" ca="1" si="82"/>
        <v>0</v>
      </c>
      <c r="AR121" s="338">
        <f t="shared" ca="1" si="82"/>
        <v>0</v>
      </c>
      <c r="AS121" s="338">
        <f t="shared" ca="1" si="82"/>
        <v>0</v>
      </c>
      <c r="AT121" s="338">
        <f t="shared" ca="1" si="82"/>
        <v>0</v>
      </c>
    </row>
    <row r="122" spans="1:46" outlineLevel="1" x14ac:dyDescent="0.2">
      <c r="B122" s="405">
        <f t="shared" si="78"/>
        <v>0</v>
      </c>
      <c r="C122" s="422">
        <v>18</v>
      </c>
      <c r="D122" s="418"/>
      <c r="E122" s="805"/>
      <c r="F122" s="806"/>
      <c r="G122" s="807"/>
      <c r="H122" s="404"/>
      <c r="I122" s="378"/>
      <c r="J122" s="233"/>
      <c r="K122" s="232"/>
      <c r="L122" s="234"/>
      <c r="M122" s="378"/>
      <c r="N122" s="78"/>
      <c r="O122" s="235" t="str">
        <f t="shared" si="79"/>
        <v/>
      </c>
      <c r="P122" s="650"/>
      <c r="Q122" s="381"/>
      <c r="R122" s="233"/>
      <c r="S122" s="378"/>
      <c r="T122" s="808"/>
      <c r="U122" s="809"/>
      <c r="V122" s="809"/>
      <c r="W122" s="810"/>
      <c r="Y122" s="503"/>
      <c r="Z122" s="503"/>
      <c r="AA122" s="422">
        <v>18</v>
      </c>
      <c r="AB122" s="95" t="str">
        <f t="shared" si="71"/>
        <v>** NOT USED **</v>
      </c>
      <c r="AC122" s="106" t="str">
        <f t="shared" si="72"/>
        <v/>
      </c>
      <c r="AD122" s="348">
        <f t="shared" si="73"/>
        <v>0</v>
      </c>
      <c r="AE122" s="198">
        <f t="shared" si="74"/>
        <v>0</v>
      </c>
      <c r="AF122" s="198">
        <f ca="1">IF(T122&lt;&gt;"",MATCH(T122,OFFSET(References!$AB$23,0,AE122,PxTxCount),0),0)</f>
        <v>0</v>
      </c>
      <c r="AG122" s="198">
        <f t="shared" ca="1" si="80"/>
        <v>0</v>
      </c>
      <c r="AH122" s="95" t="str">
        <f ca="1">IF(AE122&lt;&gt;0,OFFSET(References!$AB$23,0,$AE$105,INDEX(PxTxValid,,$AE$105+1)),"")</f>
        <v/>
      </c>
      <c r="AI122" s="338">
        <f t="shared" ca="1" si="81"/>
        <v>0</v>
      </c>
      <c r="AJ122" s="338">
        <f t="shared" ca="1" si="81"/>
        <v>0</v>
      </c>
      <c r="AK122" s="338">
        <f t="shared" ca="1" si="81"/>
        <v>0</v>
      </c>
      <c r="AL122" s="338">
        <f t="shared" ca="1" si="81"/>
        <v>0</v>
      </c>
      <c r="AM122" s="338">
        <f t="shared" ca="1" si="81"/>
        <v>0</v>
      </c>
      <c r="AN122" s="338">
        <f t="shared" ca="1" si="81"/>
        <v>0</v>
      </c>
      <c r="AO122" s="338">
        <f t="shared" ca="1" si="82"/>
        <v>0</v>
      </c>
      <c r="AP122" s="338">
        <f t="shared" ca="1" si="82"/>
        <v>0</v>
      </c>
      <c r="AQ122" s="338">
        <f t="shared" ca="1" si="82"/>
        <v>0</v>
      </c>
      <c r="AR122" s="338">
        <f t="shared" ca="1" si="82"/>
        <v>0</v>
      </c>
      <c r="AS122" s="338">
        <f t="shared" ca="1" si="82"/>
        <v>0</v>
      </c>
      <c r="AT122" s="338">
        <f t="shared" ca="1" si="82"/>
        <v>0</v>
      </c>
    </row>
    <row r="123" spans="1:46" outlineLevel="1" x14ac:dyDescent="0.2">
      <c r="B123" s="405">
        <f t="shared" si="78"/>
        <v>0</v>
      </c>
      <c r="C123" s="422">
        <v>19</v>
      </c>
      <c r="D123" s="418"/>
      <c r="E123" s="805"/>
      <c r="F123" s="806"/>
      <c r="G123" s="807"/>
      <c r="H123" s="404"/>
      <c r="I123" s="378"/>
      <c r="J123" s="233"/>
      <c r="K123" s="232"/>
      <c r="L123" s="234"/>
      <c r="M123" s="378"/>
      <c r="N123" s="78"/>
      <c r="O123" s="235" t="str">
        <f t="shared" si="79"/>
        <v/>
      </c>
      <c r="P123" s="650"/>
      <c r="Q123" s="381"/>
      <c r="R123" s="233"/>
      <c r="S123" s="378"/>
      <c r="T123" s="808"/>
      <c r="U123" s="809"/>
      <c r="V123" s="809"/>
      <c r="W123" s="810"/>
      <c r="Y123" s="503"/>
      <c r="Z123" s="503"/>
      <c r="AA123" s="422">
        <v>19</v>
      </c>
      <c r="AB123" s="95" t="str">
        <f t="shared" si="71"/>
        <v>** NOT USED **</v>
      </c>
      <c r="AC123" s="106" t="str">
        <f t="shared" si="72"/>
        <v/>
      </c>
      <c r="AD123" s="348">
        <f t="shared" si="73"/>
        <v>0</v>
      </c>
      <c r="AE123" s="198">
        <f t="shared" si="74"/>
        <v>0</v>
      </c>
      <c r="AF123" s="198">
        <f ca="1">IF(T123&lt;&gt;"",MATCH(T123,OFFSET(References!$AB$23,0,AE123,PxTxCount),0),0)</f>
        <v>0</v>
      </c>
      <c r="AG123" s="198">
        <f t="shared" ca="1" si="80"/>
        <v>0</v>
      </c>
      <c r="AH123" s="95" t="str">
        <f ca="1">IF(AE123&lt;&gt;0,OFFSET(References!$AB$23,0,$AE$105,INDEX(PxTxValid,,$AE$105+1)),"")</f>
        <v/>
      </c>
      <c r="AI123" s="338">
        <f t="shared" ca="1" si="81"/>
        <v>0</v>
      </c>
      <c r="AJ123" s="338">
        <f t="shared" ca="1" si="81"/>
        <v>0</v>
      </c>
      <c r="AK123" s="338">
        <f t="shared" ca="1" si="81"/>
        <v>0</v>
      </c>
      <c r="AL123" s="338">
        <f t="shared" ca="1" si="81"/>
        <v>0</v>
      </c>
      <c r="AM123" s="338">
        <f t="shared" ca="1" si="81"/>
        <v>0</v>
      </c>
      <c r="AN123" s="338">
        <f t="shared" ca="1" si="81"/>
        <v>0</v>
      </c>
      <c r="AO123" s="338">
        <f t="shared" ca="1" si="82"/>
        <v>0</v>
      </c>
      <c r="AP123" s="338">
        <f t="shared" ca="1" si="82"/>
        <v>0</v>
      </c>
      <c r="AQ123" s="338">
        <f t="shared" ca="1" si="82"/>
        <v>0</v>
      </c>
      <c r="AR123" s="338">
        <f t="shared" ca="1" si="82"/>
        <v>0</v>
      </c>
      <c r="AS123" s="338">
        <f t="shared" ca="1" si="82"/>
        <v>0</v>
      </c>
      <c r="AT123" s="338">
        <f t="shared" ca="1" si="82"/>
        <v>0</v>
      </c>
    </row>
    <row r="124" spans="1:46" outlineLevel="1" x14ac:dyDescent="0.2">
      <c r="B124" s="405">
        <f t="shared" si="78"/>
        <v>0</v>
      </c>
      <c r="C124" s="422">
        <v>20</v>
      </c>
      <c r="D124" s="418"/>
      <c r="E124" s="805"/>
      <c r="F124" s="806"/>
      <c r="G124" s="807"/>
      <c r="H124" s="404"/>
      <c r="I124" s="378"/>
      <c r="J124" s="233"/>
      <c r="K124" s="232"/>
      <c r="L124" s="234"/>
      <c r="M124" s="378"/>
      <c r="N124" s="78"/>
      <c r="O124" s="235" t="str">
        <f t="shared" si="79"/>
        <v/>
      </c>
      <c r="P124" s="650"/>
      <c r="Q124" s="381"/>
      <c r="R124" s="233"/>
      <c r="S124" s="378"/>
      <c r="T124" s="808"/>
      <c r="U124" s="809"/>
      <c r="V124" s="809"/>
      <c r="W124" s="810"/>
      <c r="Y124" s="503"/>
      <c r="Z124" s="503"/>
      <c r="AA124" s="422">
        <v>20</v>
      </c>
      <c r="AB124" s="95" t="str">
        <f t="shared" si="71"/>
        <v>** NOT USED **</v>
      </c>
      <c r="AC124" s="106" t="str">
        <f t="shared" si="72"/>
        <v/>
      </c>
      <c r="AD124" s="348">
        <f t="shared" si="73"/>
        <v>0</v>
      </c>
      <c r="AE124" s="198">
        <f t="shared" si="74"/>
        <v>0</v>
      </c>
      <c r="AF124" s="198">
        <f ca="1">IF(T124&lt;&gt;"",MATCH(T124,OFFSET(References!$AB$23,0,AE124,PxTxCount),0),0)</f>
        <v>0</v>
      </c>
      <c r="AG124" s="198">
        <f t="shared" ca="1" si="80"/>
        <v>0</v>
      </c>
      <c r="AH124" s="95" t="str">
        <f ca="1">IF(AE124&lt;&gt;0,OFFSET(References!$AB$23,0,$AE$105,INDEX(PxTxValid,,$AE$105+1)),"")</f>
        <v/>
      </c>
      <c r="AI124" s="338">
        <f t="shared" ca="1" si="81"/>
        <v>0</v>
      </c>
      <c r="AJ124" s="338">
        <f t="shared" ca="1" si="81"/>
        <v>0</v>
      </c>
      <c r="AK124" s="338">
        <f t="shared" ca="1" si="81"/>
        <v>0</v>
      </c>
      <c r="AL124" s="338">
        <f t="shared" ca="1" si="81"/>
        <v>0</v>
      </c>
      <c r="AM124" s="338">
        <f t="shared" ca="1" si="81"/>
        <v>0</v>
      </c>
      <c r="AN124" s="338">
        <f t="shared" ca="1" si="81"/>
        <v>0</v>
      </c>
      <c r="AO124" s="338">
        <f t="shared" ca="1" si="82"/>
        <v>0</v>
      </c>
      <c r="AP124" s="338">
        <f t="shared" ca="1" si="82"/>
        <v>0</v>
      </c>
      <c r="AQ124" s="338">
        <f t="shared" ca="1" si="82"/>
        <v>0</v>
      </c>
      <c r="AR124" s="338">
        <f t="shared" ca="1" si="82"/>
        <v>0</v>
      </c>
      <c r="AS124" s="338">
        <f t="shared" ca="1" si="82"/>
        <v>0</v>
      </c>
      <c r="AT124" s="338">
        <f t="shared" ca="1" si="82"/>
        <v>0</v>
      </c>
    </row>
    <row r="125" spans="1:46" outlineLevel="1" x14ac:dyDescent="0.2">
      <c r="A125" s="171"/>
      <c r="B125" s="405">
        <f>SUM(B105:B124)</f>
        <v>0</v>
      </c>
      <c r="C125" s="405">
        <f>COUNTA(D105:D124)</f>
        <v>0</v>
      </c>
      <c r="D125" s="171"/>
      <c r="E125" s="171"/>
      <c r="F125" s="171"/>
      <c r="G125" s="171"/>
      <c r="H125" s="171"/>
      <c r="I125" s="171"/>
      <c r="J125" s="171"/>
      <c r="K125" s="171"/>
      <c r="L125" s="171"/>
      <c r="M125" s="171"/>
      <c r="N125" s="171"/>
      <c r="O125" s="171"/>
      <c r="P125" s="592"/>
      <c r="Q125" s="171"/>
      <c r="R125" s="171"/>
      <c r="S125" s="171"/>
      <c r="T125" s="171"/>
      <c r="U125" s="171"/>
      <c r="V125" s="171"/>
      <c r="W125"/>
      <c r="Y125" s="503"/>
      <c r="Z125" s="503"/>
      <c r="AA125" s="13"/>
      <c r="AB125" s="5"/>
      <c r="AC125" s="5"/>
      <c r="AD125" s="5"/>
      <c r="AE125" s="5"/>
      <c r="AF125" s="5"/>
      <c r="AG125" s="5"/>
      <c r="AH125" s="5"/>
      <c r="AI125" s="5"/>
      <c r="AJ125" s="5"/>
      <c r="AK125" s="5"/>
      <c r="AL125" s="5"/>
      <c r="AM125" s="5"/>
      <c r="AN125" s="5"/>
      <c r="AO125" s="5"/>
      <c r="AP125" s="5"/>
      <c r="AQ125" s="5"/>
      <c r="AR125" s="5"/>
      <c r="AS125" s="5"/>
      <c r="AT125" s="5"/>
    </row>
    <row r="126" spans="1:46" x14ac:dyDescent="0.2">
      <c r="A126" s="171"/>
      <c r="B126" s="171"/>
      <c r="C126" s="171"/>
      <c r="D126" s="220"/>
      <c r="E126" s="215"/>
      <c r="F126" s="171"/>
      <c r="G126" s="171"/>
      <c r="H126" s="171"/>
      <c r="I126" s="171"/>
      <c r="J126" s="171"/>
      <c r="K126" s="171"/>
      <c r="L126" s="171"/>
      <c r="M126" s="171"/>
      <c r="N126" s="171"/>
      <c r="O126" s="171"/>
      <c r="P126" s="592"/>
      <c r="Q126" s="171"/>
      <c r="R126" s="171"/>
      <c r="S126" s="171"/>
      <c r="T126" s="171"/>
      <c r="U126" s="171"/>
      <c r="V126" s="171"/>
      <c r="W126"/>
      <c r="Y126" s="503"/>
      <c r="Z126" s="503"/>
      <c r="AA126" s="13"/>
      <c r="AB126" s="5"/>
      <c r="AC126" s="5"/>
      <c r="AD126" s="5"/>
      <c r="AE126" s="5"/>
      <c r="AF126" s="5"/>
      <c r="AG126" s="5"/>
      <c r="AH126" s="5"/>
      <c r="AI126" s="5"/>
      <c r="AJ126" s="5"/>
      <c r="AK126" s="5"/>
      <c r="AL126" s="5"/>
      <c r="AM126" s="5"/>
      <c r="AN126" s="5"/>
      <c r="AO126" s="5"/>
      <c r="AP126" s="5"/>
      <c r="AQ126" s="5"/>
      <c r="AR126" s="5"/>
      <c r="AS126" s="5"/>
      <c r="AT126" s="5"/>
    </row>
    <row r="127" spans="1:46" ht="15.75" x14ac:dyDescent="0.2">
      <c r="A127" s="176"/>
      <c r="B127" s="176"/>
      <c r="C127" s="176"/>
      <c r="D127" s="174" t="s">
        <v>1005</v>
      </c>
      <c r="E127" s="175"/>
      <c r="F127" s="175"/>
      <c r="G127" s="175"/>
      <c r="H127" s="175"/>
      <c r="I127" s="771" t="str">
        <f>IF(C153=0,MsgNotUsed,"")</f>
        <v>** NOT USED **</v>
      </c>
      <c r="J127" s="772"/>
      <c r="K127" s="175"/>
      <c r="L127" s="175"/>
      <c r="M127" s="175"/>
      <c r="N127" s="175"/>
      <c r="O127" s="175"/>
      <c r="P127" s="175"/>
      <c r="Q127" s="175"/>
      <c r="R127" s="175"/>
      <c r="S127" s="175"/>
      <c r="T127" s="175"/>
      <c r="U127" s="175"/>
      <c r="V127" s="175"/>
      <c r="W127" s="175"/>
      <c r="X127" s="13"/>
      <c r="Y127" s="13"/>
      <c r="Z127" s="13"/>
      <c r="AA127" s="13"/>
      <c r="AB127" s="40"/>
      <c r="AC127" s="40"/>
      <c r="AD127" s="40"/>
      <c r="AE127" s="40"/>
      <c r="AF127" s="40"/>
      <c r="AG127" s="40"/>
    </row>
    <row r="128" spans="1:46" ht="15.75" outlineLevel="1" x14ac:dyDescent="0.2">
      <c r="A128" s="171"/>
      <c r="B128" s="171"/>
      <c r="C128" s="171"/>
      <c r="D128" s="193"/>
      <c r="E128" s="215"/>
      <c r="F128" s="171"/>
      <c r="G128" s="171"/>
      <c r="H128" s="171"/>
      <c r="I128" s="171"/>
      <c r="J128" s="171"/>
      <c r="K128" s="171"/>
      <c r="L128" s="171"/>
      <c r="M128" s="171"/>
      <c r="N128" s="171"/>
      <c r="O128" s="171"/>
      <c r="P128" s="171"/>
      <c r="Q128" s="171"/>
      <c r="R128" s="171"/>
      <c r="S128" s="5"/>
      <c r="T128" s="5"/>
      <c r="U128" s="5"/>
      <c r="V128" s="5"/>
      <c r="W128" s="5"/>
      <c r="X128" s="13"/>
      <c r="Y128" s="13"/>
      <c r="Z128" s="13"/>
      <c r="AA128" s="13"/>
      <c r="AB128" s="5"/>
      <c r="AC128" s="5"/>
      <c r="AD128" s="5"/>
      <c r="AE128" s="5"/>
      <c r="AF128" s="5"/>
      <c r="AG128" s="5"/>
    </row>
    <row r="129" spans="1:33" ht="14.25" customHeight="1" outlineLevel="1" x14ac:dyDescent="0.2">
      <c r="A129" s="171"/>
      <c r="B129" s="171"/>
      <c r="C129" s="171"/>
      <c r="D129" s="502" t="s">
        <v>710</v>
      </c>
      <c r="E129" s="6"/>
      <c r="F129" s="6"/>
      <c r="G129" s="6"/>
      <c r="H129" s="6"/>
      <c r="I129" s="770" t="str">
        <f>IF(B153 &gt; 0,"The services below overwrite volumes from Worksheet 2d.","")</f>
        <v/>
      </c>
      <c r="J129" s="770"/>
      <c r="K129" s="770"/>
      <c r="L129" s="770"/>
      <c r="M129" s="770"/>
      <c r="N129" s="770"/>
      <c r="O129" s="770"/>
      <c r="P129" s="171"/>
      <c r="Q129" s="171"/>
      <c r="R129" s="171"/>
      <c r="S129" s="5"/>
      <c r="T129" s="5"/>
      <c r="U129" s="5"/>
      <c r="V129" s="5"/>
      <c r="W129" s="5"/>
      <c r="X129" s="13"/>
      <c r="Y129" s="13"/>
      <c r="Z129" s="13"/>
      <c r="AA129" s="13"/>
      <c r="AB129" s="5"/>
      <c r="AC129" s="5"/>
      <c r="AD129" s="5"/>
      <c r="AE129" s="5"/>
      <c r="AF129" s="5"/>
      <c r="AG129" s="5"/>
    </row>
    <row r="130" spans="1:33" outlineLevel="1" x14ac:dyDescent="0.2">
      <c r="A130" s="171"/>
      <c r="B130" s="171"/>
      <c r="C130" s="171"/>
      <c r="D130" s="6"/>
      <c r="E130" s="6"/>
      <c r="F130" s="6"/>
      <c r="G130" s="6"/>
      <c r="H130" s="6"/>
      <c r="I130" s="6"/>
      <c r="P130" s="171"/>
      <c r="Q130" s="171"/>
      <c r="R130" s="171"/>
      <c r="S130" s="5"/>
      <c r="T130" s="5"/>
      <c r="U130" s="5"/>
      <c r="V130" s="5"/>
      <c r="W130" s="5"/>
      <c r="X130" s="13"/>
      <c r="Y130" s="13"/>
      <c r="Z130" s="13"/>
      <c r="AA130" s="13"/>
      <c r="AB130" s="5"/>
      <c r="AC130" s="5"/>
      <c r="AD130" s="5"/>
      <c r="AE130" s="5"/>
      <c r="AF130" s="5"/>
      <c r="AG130" s="5"/>
    </row>
    <row r="131" spans="1:33" outlineLevel="1" x14ac:dyDescent="0.2">
      <c r="A131" s="171"/>
      <c r="B131" s="171"/>
      <c r="C131" s="171"/>
      <c r="D131" s="183" t="str">
        <f>"Service volumes for calendar year " &amp; FirstYear-1</f>
        <v>Service volumes for calendar year -1</v>
      </c>
      <c r="E131" s="215"/>
      <c r="F131" s="171"/>
      <c r="G131" s="171"/>
      <c r="H131" s="171"/>
      <c r="J131" s="798" t="s">
        <v>122</v>
      </c>
      <c r="K131" s="799"/>
      <c r="L131" s="799"/>
      <c r="M131" s="799"/>
      <c r="N131" s="798" t="s">
        <v>121</v>
      </c>
      <c r="O131" s="799"/>
      <c r="Q131" s="785" t="s">
        <v>333</v>
      </c>
      <c r="R131" s="786"/>
      <c r="S131" s="5"/>
      <c r="X131" s="13"/>
      <c r="Y131" s="503"/>
      <c r="Z131" s="13"/>
      <c r="AA131" s="13"/>
      <c r="AB131" s="5"/>
      <c r="AC131" s="5"/>
      <c r="AD131" s="5"/>
      <c r="AE131" s="5"/>
      <c r="AF131" s="5"/>
      <c r="AG131" s="5"/>
    </row>
    <row r="132" spans="1:33" ht="38.25" outlineLevel="1" x14ac:dyDescent="0.2">
      <c r="A132" s="171"/>
      <c r="B132" s="171"/>
      <c r="C132" s="171"/>
      <c r="D132" s="113" t="s">
        <v>884</v>
      </c>
      <c r="E132" s="792" t="s">
        <v>128</v>
      </c>
      <c r="F132" s="793"/>
      <c r="G132" s="794"/>
      <c r="H132" s="114" t="s">
        <v>127</v>
      </c>
      <c r="I132" s="415" t="s">
        <v>57</v>
      </c>
      <c r="J132" s="113" t="s">
        <v>112</v>
      </c>
      <c r="K132" s="113" t="s">
        <v>113</v>
      </c>
      <c r="L132" s="113" t="s">
        <v>114</v>
      </c>
      <c r="M132" s="113" t="s">
        <v>115</v>
      </c>
      <c r="N132" s="113" t="s">
        <v>116</v>
      </c>
      <c r="O132" s="113" t="s">
        <v>117</v>
      </c>
      <c r="P132" s="620" t="s">
        <v>817</v>
      </c>
      <c r="Q132" s="515" t="s">
        <v>331</v>
      </c>
      <c r="R132" s="515" t="s">
        <v>332</v>
      </c>
      <c r="S132" s="113" t="s">
        <v>288</v>
      </c>
      <c r="X132" s="13"/>
      <c r="Z132" s="13"/>
      <c r="AA132" s="13"/>
      <c r="AB132" s="336" t="s">
        <v>314</v>
      </c>
      <c r="AC132" s="336" t="s">
        <v>326</v>
      </c>
      <c r="AD132" s="336" t="s">
        <v>472</v>
      </c>
      <c r="AE132" s="5"/>
      <c r="AF132" s="5"/>
      <c r="AG132" s="5"/>
    </row>
    <row r="133" spans="1:33" outlineLevel="1" x14ac:dyDescent="0.2">
      <c r="A133" s="171"/>
      <c r="B133" s="405">
        <f t="shared" ref="B133:B152" si="83">IF(AND(D133&lt;&gt;"",INDEX(NamesMS,C133)&lt;&gt;MsgNotUsed),1,0)</f>
        <v>0</v>
      </c>
      <c r="C133" s="79">
        <v>1</v>
      </c>
      <c r="D133" s="118"/>
      <c r="E133" s="805"/>
      <c r="F133" s="843"/>
      <c r="G133" s="844"/>
      <c r="H133" s="241"/>
      <c r="I133" s="404"/>
      <c r="J133" s="232"/>
      <c r="K133" s="232"/>
      <c r="L133" s="232"/>
      <c r="M133" s="232"/>
      <c r="N133" s="232"/>
      <c r="O133" s="232"/>
      <c r="P133" s="241"/>
      <c r="Q133" s="404"/>
      <c r="R133" s="404"/>
      <c r="S133" s="241"/>
      <c r="X133" s="13"/>
      <c r="Z133" s="13"/>
      <c r="AA133" s="79">
        <v>1</v>
      </c>
      <c r="AB133" s="102" t="str">
        <f t="shared" ref="AB133:AB152" si="84">IF(D133&lt;&gt;"",CONCATENATE(H133," - ",D133," ",E133," - ",I133),MsgNotUsed)</f>
        <v>** NOT USED **</v>
      </c>
      <c r="AC133" s="106" t="str">
        <f t="shared" ref="AC133:AC152" si="85">IF(I133&lt;&gt;"",VLOOKUP(I133,TPShortCode,3,FALSE),"")</f>
        <v/>
      </c>
      <c r="AD133" s="349">
        <f t="shared" ref="AD133:AD152" si="86">IF(S133="Decrease",-1,IF(S133="Increase",1,0))</f>
        <v>0</v>
      </c>
      <c r="AE133" s="5"/>
      <c r="AF133" s="5"/>
      <c r="AG133" s="5"/>
    </row>
    <row r="134" spans="1:33" outlineLevel="1" x14ac:dyDescent="0.2">
      <c r="A134" s="171"/>
      <c r="B134" s="405">
        <f t="shared" si="83"/>
        <v>0</v>
      </c>
      <c r="C134" s="79">
        <v>2</v>
      </c>
      <c r="D134" s="118"/>
      <c r="E134" s="805"/>
      <c r="F134" s="843"/>
      <c r="G134" s="844"/>
      <c r="H134" s="241"/>
      <c r="I134" s="404"/>
      <c r="J134" s="232"/>
      <c r="K134" s="232"/>
      <c r="L134" s="232"/>
      <c r="M134" s="232"/>
      <c r="N134" s="232"/>
      <c r="O134" s="232"/>
      <c r="P134" s="241"/>
      <c r="Q134" s="404"/>
      <c r="R134" s="404"/>
      <c r="S134" s="241"/>
      <c r="X134" s="13"/>
      <c r="Z134" s="13"/>
      <c r="AA134" s="79">
        <v>2</v>
      </c>
      <c r="AB134" s="102" t="str">
        <f t="shared" si="84"/>
        <v>** NOT USED **</v>
      </c>
      <c r="AC134" s="106" t="str">
        <f t="shared" si="85"/>
        <v/>
      </c>
      <c r="AD134" s="349">
        <f t="shared" si="86"/>
        <v>0</v>
      </c>
      <c r="AE134" s="5"/>
      <c r="AF134" s="5"/>
      <c r="AG134" s="5"/>
    </row>
    <row r="135" spans="1:33" outlineLevel="1" x14ac:dyDescent="0.2">
      <c r="A135" s="171"/>
      <c r="B135" s="405">
        <f t="shared" si="83"/>
        <v>0</v>
      </c>
      <c r="C135" s="79">
        <v>3</v>
      </c>
      <c r="D135" s="118"/>
      <c r="E135" s="805"/>
      <c r="F135" s="843"/>
      <c r="G135" s="844"/>
      <c r="H135" s="241"/>
      <c r="I135" s="404"/>
      <c r="J135" s="232"/>
      <c r="K135" s="232"/>
      <c r="L135" s="232"/>
      <c r="M135" s="232"/>
      <c r="N135" s="232"/>
      <c r="O135" s="232"/>
      <c r="P135" s="241"/>
      <c r="Q135" s="404"/>
      <c r="R135" s="404"/>
      <c r="S135" s="241"/>
      <c r="X135" s="13"/>
      <c r="Z135" s="13"/>
      <c r="AA135" s="79">
        <v>3</v>
      </c>
      <c r="AB135" s="102" t="str">
        <f t="shared" si="84"/>
        <v>** NOT USED **</v>
      </c>
      <c r="AC135" s="106" t="str">
        <f t="shared" si="85"/>
        <v/>
      </c>
      <c r="AD135" s="349">
        <f t="shared" si="86"/>
        <v>0</v>
      </c>
      <c r="AE135" s="5"/>
      <c r="AF135" s="5"/>
      <c r="AG135" s="5"/>
    </row>
    <row r="136" spans="1:33" outlineLevel="1" x14ac:dyDescent="0.2">
      <c r="A136" s="171"/>
      <c r="B136" s="405">
        <f t="shared" si="83"/>
        <v>0</v>
      </c>
      <c r="C136" s="79">
        <v>4</v>
      </c>
      <c r="D136" s="118"/>
      <c r="E136" s="805"/>
      <c r="F136" s="843"/>
      <c r="G136" s="844"/>
      <c r="H136" s="241"/>
      <c r="I136" s="404"/>
      <c r="J136" s="232"/>
      <c r="K136" s="232"/>
      <c r="L136" s="232"/>
      <c r="M136" s="232"/>
      <c r="N136" s="232"/>
      <c r="O136" s="232"/>
      <c r="P136" s="241"/>
      <c r="Q136" s="404"/>
      <c r="R136" s="404"/>
      <c r="S136" s="241"/>
      <c r="X136" s="13"/>
      <c r="Z136" s="13"/>
      <c r="AA136" s="79">
        <v>4</v>
      </c>
      <c r="AB136" s="102" t="str">
        <f t="shared" si="84"/>
        <v>** NOT USED **</v>
      </c>
      <c r="AC136" s="106" t="str">
        <f t="shared" si="85"/>
        <v/>
      </c>
      <c r="AD136" s="349">
        <f t="shared" si="86"/>
        <v>0</v>
      </c>
      <c r="AE136" s="5"/>
      <c r="AF136" s="5"/>
      <c r="AG136" s="5"/>
    </row>
    <row r="137" spans="1:33" outlineLevel="1" x14ac:dyDescent="0.2">
      <c r="A137" s="171"/>
      <c r="B137" s="405">
        <f t="shared" si="83"/>
        <v>0</v>
      </c>
      <c r="C137" s="79">
        <v>5</v>
      </c>
      <c r="D137" s="118"/>
      <c r="E137" s="805"/>
      <c r="F137" s="843"/>
      <c r="G137" s="844"/>
      <c r="H137" s="241"/>
      <c r="I137" s="404"/>
      <c r="J137" s="232"/>
      <c r="K137" s="232"/>
      <c r="L137" s="232"/>
      <c r="M137" s="232"/>
      <c r="N137" s="232"/>
      <c r="O137" s="232"/>
      <c r="P137" s="241"/>
      <c r="Q137" s="404"/>
      <c r="R137" s="404"/>
      <c r="S137" s="241"/>
      <c r="X137" s="13"/>
      <c r="Z137" s="13"/>
      <c r="AA137" s="79">
        <v>5</v>
      </c>
      <c r="AB137" s="102" t="str">
        <f t="shared" si="84"/>
        <v>** NOT USED **</v>
      </c>
      <c r="AC137" s="106" t="str">
        <f t="shared" si="85"/>
        <v/>
      </c>
      <c r="AD137" s="349">
        <f t="shared" si="86"/>
        <v>0</v>
      </c>
      <c r="AE137" s="5"/>
      <c r="AF137" s="5"/>
      <c r="AG137" s="5"/>
    </row>
    <row r="138" spans="1:33" outlineLevel="1" x14ac:dyDescent="0.2">
      <c r="A138" s="171"/>
      <c r="B138" s="405">
        <f t="shared" si="83"/>
        <v>0</v>
      </c>
      <c r="C138" s="79">
        <v>6</v>
      </c>
      <c r="D138" s="118"/>
      <c r="E138" s="805"/>
      <c r="F138" s="843"/>
      <c r="G138" s="844"/>
      <c r="H138" s="241"/>
      <c r="I138" s="404"/>
      <c r="J138" s="232"/>
      <c r="K138" s="232"/>
      <c r="L138" s="232"/>
      <c r="M138" s="232"/>
      <c r="N138" s="232"/>
      <c r="O138" s="232"/>
      <c r="P138" s="241"/>
      <c r="Q138" s="404"/>
      <c r="R138" s="404"/>
      <c r="S138" s="241"/>
      <c r="X138" s="13"/>
      <c r="Z138" s="13"/>
      <c r="AA138" s="79">
        <v>6</v>
      </c>
      <c r="AB138" s="102" t="str">
        <f t="shared" si="84"/>
        <v>** NOT USED **</v>
      </c>
      <c r="AC138" s="106" t="str">
        <f t="shared" si="85"/>
        <v/>
      </c>
      <c r="AD138" s="349">
        <f t="shared" si="86"/>
        <v>0</v>
      </c>
      <c r="AE138" s="5"/>
      <c r="AF138" s="5"/>
      <c r="AG138" s="5"/>
    </row>
    <row r="139" spans="1:33" outlineLevel="1" x14ac:dyDescent="0.2">
      <c r="A139" s="171"/>
      <c r="B139" s="405">
        <f t="shared" si="83"/>
        <v>0</v>
      </c>
      <c r="C139" s="79">
        <v>7</v>
      </c>
      <c r="D139" s="118"/>
      <c r="E139" s="805"/>
      <c r="F139" s="843"/>
      <c r="G139" s="844"/>
      <c r="H139" s="241"/>
      <c r="I139" s="404"/>
      <c r="J139" s="232"/>
      <c r="K139" s="232"/>
      <c r="L139" s="232"/>
      <c r="M139" s="232"/>
      <c r="N139" s="232"/>
      <c r="O139" s="232"/>
      <c r="P139" s="241"/>
      <c r="Q139" s="404"/>
      <c r="R139" s="404"/>
      <c r="S139" s="241"/>
      <c r="X139" s="13"/>
      <c r="Z139" s="13"/>
      <c r="AA139" s="79">
        <v>7</v>
      </c>
      <c r="AB139" s="102" t="str">
        <f t="shared" si="84"/>
        <v>** NOT USED **</v>
      </c>
      <c r="AC139" s="106" t="str">
        <f t="shared" si="85"/>
        <v/>
      </c>
      <c r="AD139" s="349">
        <f t="shared" si="86"/>
        <v>0</v>
      </c>
      <c r="AE139" s="5"/>
      <c r="AF139" s="5"/>
      <c r="AG139" s="5"/>
    </row>
    <row r="140" spans="1:33" outlineLevel="1" x14ac:dyDescent="0.2">
      <c r="A140" s="171"/>
      <c r="B140" s="405">
        <f t="shared" si="83"/>
        <v>0</v>
      </c>
      <c r="C140" s="79">
        <v>8</v>
      </c>
      <c r="D140" s="118"/>
      <c r="E140" s="805"/>
      <c r="F140" s="843"/>
      <c r="G140" s="844"/>
      <c r="H140" s="241"/>
      <c r="I140" s="404"/>
      <c r="J140" s="232"/>
      <c r="K140" s="232"/>
      <c r="L140" s="232"/>
      <c r="M140" s="232"/>
      <c r="N140" s="232"/>
      <c r="O140" s="232"/>
      <c r="P140" s="241"/>
      <c r="Q140" s="404"/>
      <c r="R140" s="404"/>
      <c r="S140" s="241"/>
      <c r="X140" s="13"/>
      <c r="Z140" s="13"/>
      <c r="AA140" s="79">
        <v>8</v>
      </c>
      <c r="AB140" s="102" t="str">
        <f t="shared" si="84"/>
        <v>** NOT USED **</v>
      </c>
      <c r="AC140" s="106" t="str">
        <f t="shared" si="85"/>
        <v/>
      </c>
      <c r="AD140" s="349">
        <f t="shared" si="86"/>
        <v>0</v>
      </c>
      <c r="AE140" s="5"/>
      <c r="AF140" s="5"/>
      <c r="AG140" s="5"/>
    </row>
    <row r="141" spans="1:33" outlineLevel="1" x14ac:dyDescent="0.2">
      <c r="A141" s="171"/>
      <c r="B141" s="405">
        <f t="shared" si="83"/>
        <v>0</v>
      </c>
      <c r="C141" s="79">
        <v>9</v>
      </c>
      <c r="D141" s="118"/>
      <c r="E141" s="805"/>
      <c r="F141" s="843"/>
      <c r="G141" s="844"/>
      <c r="H141" s="241"/>
      <c r="I141" s="404"/>
      <c r="J141" s="232"/>
      <c r="K141" s="232"/>
      <c r="L141" s="232"/>
      <c r="M141" s="232"/>
      <c r="N141" s="232"/>
      <c r="O141" s="232"/>
      <c r="P141" s="241"/>
      <c r="Q141" s="404"/>
      <c r="R141" s="404"/>
      <c r="S141" s="241"/>
      <c r="X141" s="13"/>
      <c r="Z141" s="13"/>
      <c r="AA141" s="79">
        <v>9</v>
      </c>
      <c r="AB141" s="102" t="str">
        <f t="shared" si="84"/>
        <v>** NOT USED **</v>
      </c>
      <c r="AC141" s="106" t="str">
        <f t="shared" si="85"/>
        <v/>
      </c>
      <c r="AD141" s="349">
        <f t="shared" si="86"/>
        <v>0</v>
      </c>
      <c r="AE141" s="5"/>
      <c r="AF141" s="5"/>
      <c r="AG141" s="5"/>
    </row>
    <row r="142" spans="1:33" outlineLevel="1" x14ac:dyDescent="0.2">
      <c r="A142" s="171"/>
      <c r="B142" s="405">
        <f t="shared" si="83"/>
        <v>0</v>
      </c>
      <c r="C142" s="79">
        <v>10</v>
      </c>
      <c r="D142" s="118"/>
      <c r="E142" s="805"/>
      <c r="F142" s="843"/>
      <c r="G142" s="844"/>
      <c r="H142" s="241"/>
      <c r="I142" s="404"/>
      <c r="J142" s="232"/>
      <c r="K142" s="232"/>
      <c r="L142" s="232"/>
      <c r="M142" s="232"/>
      <c r="N142" s="232"/>
      <c r="O142" s="232"/>
      <c r="P142" s="241"/>
      <c r="Q142" s="404"/>
      <c r="R142" s="404"/>
      <c r="S142" s="241"/>
      <c r="X142" s="13"/>
      <c r="Z142" s="13"/>
      <c r="AA142" s="79">
        <v>10</v>
      </c>
      <c r="AB142" s="102" t="str">
        <f t="shared" si="84"/>
        <v>** NOT USED **</v>
      </c>
      <c r="AC142" s="106" t="str">
        <f t="shared" si="85"/>
        <v/>
      </c>
      <c r="AD142" s="349">
        <f t="shared" si="86"/>
        <v>0</v>
      </c>
      <c r="AE142" s="5"/>
      <c r="AF142" s="5"/>
      <c r="AG142" s="5"/>
    </row>
    <row r="143" spans="1:33" outlineLevel="1" x14ac:dyDescent="0.2">
      <c r="B143" s="405">
        <f t="shared" si="83"/>
        <v>0</v>
      </c>
      <c r="C143" s="79">
        <v>11</v>
      </c>
      <c r="D143" s="418"/>
      <c r="E143" s="805"/>
      <c r="F143" s="843"/>
      <c r="G143" s="844"/>
      <c r="H143" s="241"/>
      <c r="I143" s="404"/>
      <c r="J143" s="232"/>
      <c r="K143" s="232"/>
      <c r="L143" s="232"/>
      <c r="M143" s="232"/>
      <c r="N143" s="232"/>
      <c r="O143" s="232"/>
      <c r="P143" s="241"/>
      <c r="Q143" s="404"/>
      <c r="R143" s="404"/>
      <c r="S143" s="241"/>
      <c r="Z143" s="503"/>
      <c r="AA143" s="79">
        <v>11</v>
      </c>
      <c r="AB143" s="102" t="str">
        <f t="shared" si="84"/>
        <v>** NOT USED **</v>
      </c>
      <c r="AC143" s="106" t="str">
        <f t="shared" si="85"/>
        <v/>
      </c>
      <c r="AD143" s="349">
        <f t="shared" si="86"/>
        <v>0</v>
      </c>
    </row>
    <row r="144" spans="1:33" outlineLevel="1" x14ac:dyDescent="0.2">
      <c r="B144" s="405">
        <f t="shared" si="83"/>
        <v>0</v>
      </c>
      <c r="C144" s="79">
        <v>12</v>
      </c>
      <c r="D144" s="418"/>
      <c r="E144" s="805"/>
      <c r="F144" s="843"/>
      <c r="G144" s="844"/>
      <c r="H144" s="241"/>
      <c r="I144" s="404"/>
      <c r="J144" s="232"/>
      <c r="K144" s="232"/>
      <c r="L144" s="232"/>
      <c r="M144" s="232"/>
      <c r="N144" s="232"/>
      <c r="O144" s="232"/>
      <c r="P144" s="241"/>
      <c r="Q144" s="404"/>
      <c r="R144" s="404"/>
      <c r="S144" s="241"/>
      <c r="Z144" s="503"/>
      <c r="AA144" s="79">
        <v>12</v>
      </c>
      <c r="AB144" s="102" t="str">
        <f t="shared" si="84"/>
        <v>** NOT USED **</v>
      </c>
      <c r="AC144" s="106" t="str">
        <f t="shared" si="85"/>
        <v/>
      </c>
      <c r="AD144" s="349">
        <f t="shared" si="86"/>
        <v>0</v>
      </c>
    </row>
    <row r="145" spans="1:46" outlineLevel="1" x14ac:dyDescent="0.2">
      <c r="B145" s="405">
        <f t="shared" si="83"/>
        <v>0</v>
      </c>
      <c r="C145" s="79">
        <v>13</v>
      </c>
      <c r="D145" s="418"/>
      <c r="E145" s="805"/>
      <c r="F145" s="843"/>
      <c r="G145" s="844"/>
      <c r="H145" s="241"/>
      <c r="I145" s="404"/>
      <c r="J145" s="232"/>
      <c r="K145" s="232"/>
      <c r="L145" s="232"/>
      <c r="M145" s="232"/>
      <c r="N145" s="232"/>
      <c r="O145" s="232"/>
      <c r="P145" s="241"/>
      <c r="Q145" s="404"/>
      <c r="R145" s="404"/>
      <c r="S145" s="241"/>
      <c r="Z145" s="503"/>
      <c r="AA145" s="79">
        <v>13</v>
      </c>
      <c r="AB145" s="102" t="str">
        <f t="shared" si="84"/>
        <v>** NOT USED **</v>
      </c>
      <c r="AC145" s="106" t="str">
        <f t="shared" si="85"/>
        <v/>
      </c>
      <c r="AD145" s="349">
        <f t="shared" si="86"/>
        <v>0</v>
      </c>
    </row>
    <row r="146" spans="1:46" outlineLevel="1" x14ac:dyDescent="0.2">
      <c r="B146" s="405">
        <f t="shared" si="83"/>
        <v>0</v>
      </c>
      <c r="C146" s="79">
        <v>14</v>
      </c>
      <c r="D146" s="418"/>
      <c r="E146" s="805"/>
      <c r="F146" s="843"/>
      <c r="G146" s="844"/>
      <c r="H146" s="241"/>
      <c r="I146" s="404"/>
      <c r="J146" s="232"/>
      <c r="K146" s="232"/>
      <c r="L146" s="232"/>
      <c r="M146" s="232"/>
      <c r="N146" s="232"/>
      <c r="O146" s="232"/>
      <c r="P146" s="241"/>
      <c r="Q146" s="404"/>
      <c r="R146" s="404"/>
      <c r="S146" s="241"/>
      <c r="Z146" s="503"/>
      <c r="AA146" s="79">
        <v>14</v>
      </c>
      <c r="AB146" s="102" t="str">
        <f t="shared" si="84"/>
        <v>** NOT USED **</v>
      </c>
      <c r="AC146" s="106" t="str">
        <f t="shared" si="85"/>
        <v/>
      </c>
      <c r="AD146" s="349">
        <f t="shared" si="86"/>
        <v>0</v>
      </c>
    </row>
    <row r="147" spans="1:46" outlineLevel="1" x14ac:dyDescent="0.2">
      <c r="B147" s="405">
        <f t="shared" si="83"/>
        <v>0</v>
      </c>
      <c r="C147" s="79">
        <v>15</v>
      </c>
      <c r="D147" s="418"/>
      <c r="E147" s="805"/>
      <c r="F147" s="843"/>
      <c r="G147" s="844"/>
      <c r="H147" s="241"/>
      <c r="I147" s="404"/>
      <c r="J147" s="232"/>
      <c r="K147" s="232"/>
      <c r="L147" s="232"/>
      <c r="M147" s="232"/>
      <c r="N147" s="232"/>
      <c r="O147" s="232"/>
      <c r="P147" s="241"/>
      <c r="Q147" s="404"/>
      <c r="R147" s="404"/>
      <c r="S147" s="241"/>
      <c r="Z147" s="503"/>
      <c r="AA147" s="79">
        <v>15</v>
      </c>
      <c r="AB147" s="102" t="str">
        <f t="shared" si="84"/>
        <v>** NOT USED **</v>
      </c>
      <c r="AC147" s="106" t="str">
        <f t="shared" si="85"/>
        <v/>
      </c>
      <c r="AD147" s="349">
        <f t="shared" si="86"/>
        <v>0</v>
      </c>
    </row>
    <row r="148" spans="1:46" outlineLevel="1" x14ac:dyDescent="0.2">
      <c r="B148" s="405">
        <f t="shared" si="83"/>
        <v>0</v>
      </c>
      <c r="C148" s="79">
        <v>16</v>
      </c>
      <c r="D148" s="418"/>
      <c r="E148" s="805"/>
      <c r="F148" s="843"/>
      <c r="G148" s="844"/>
      <c r="H148" s="241"/>
      <c r="I148" s="404"/>
      <c r="J148" s="232"/>
      <c r="K148" s="232"/>
      <c r="L148" s="232"/>
      <c r="M148" s="232"/>
      <c r="N148" s="232"/>
      <c r="O148" s="232"/>
      <c r="P148" s="241"/>
      <c r="Q148" s="404"/>
      <c r="R148" s="404"/>
      <c r="S148" s="241"/>
      <c r="Z148" s="503"/>
      <c r="AA148" s="79">
        <v>16</v>
      </c>
      <c r="AB148" s="102" t="str">
        <f t="shared" si="84"/>
        <v>** NOT USED **</v>
      </c>
      <c r="AC148" s="106" t="str">
        <f t="shared" si="85"/>
        <v/>
      </c>
      <c r="AD148" s="349">
        <f t="shared" si="86"/>
        <v>0</v>
      </c>
    </row>
    <row r="149" spans="1:46" outlineLevel="1" x14ac:dyDescent="0.2">
      <c r="B149" s="405">
        <f t="shared" si="83"/>
        <v>0</v>
      </c>
      <c r="C149" s="79">
        <v>17</v>
      </c>
      <c r="D149" s="418"/>
      <c r="E149" s="805"/>
      <c r="F149" s="843"/>
      <c r="G149" s="844"/>
      <c r="H149" s="241"/>
      <c r="I149" s="404"/>
      <c r="J149" s="232"/>
      <c r="K149" s="232"/>
      <c r="L149" s="232"/>
      <c r="M149" s="232"/>
      <c r="N149" s="232"/>
      <c r="O149" s="232"/>
      <c r="P149" s="241"/>
      <c r="Q149" s="404"/>
      <c r="R149" s="404"/>
      <c r="S149" s="241"/>
      <c r="Z149" s="503"/>
      <c r="AA149" s="79">
        <v>17</v>
      </c>
      <c r="AB149" s="102" t="str">
        <f t="shared" si="84"/>
        <v>** NOT USED **</v>
      </c>
      <c r="AC149" s="106" t="str">
        <f t="shared" si="85"/>
        <v/>
      </c>
      <c r="AD149" s="349">
        <f t="shared" si="86"/>
        <v>0</v>
      </c>
    </row>
    <row r="150" spans="1:46" outlineLevel="1" x14ac:dyDescent="0.2">
      <c r="B150" s="405">
        <f t="shared" si="83"/>
        <v>0</v>
      </c>
      <c r="C150" s="79">
        <v>18</v>
      </c>
      <c r="D150" s="418"/>
      <c r="E150" s="805"/>
      <c r="F150" s="843"/>
      <c r="G150" s="844"/>
      <c r="H150" s="241"/>
      <c r="I150" s="404"/>
      <c r="J150" s="232"/>
      <c r="K150" s="232"/>
      <c r="L150" s="232"/>
      <c r="M150" s="232"/>
      <c r="N150" s="232"/>
      <c r="O150" s="232"/>
      <c r="P150" s="241"/>
      <c r="Q150" s="404"/>
      <c r="R150" s="404"/>
      <c r="S150" s="241"/>
      <c r="Z150" s="503"/>
      <c r="AA150" s="79">
        <v>18</v>
      </c>
      <c r="AB150" s="102" t="str">
        <f t="shared" si="84"/>
        <v>** NOT USED **</v>
      </c>
      <c r="AC150" s="106" t="str">
        <f t="shared" si="85"/>
        <v/>
      </c>
      <c r="AD150" s="349">
        <f t="shared" si="86"/>
        <v>0</v>
      </c>
    </row>
    <row r="151" spans="1:46" outlineLevel="1" x14ac:dyDescent="0.2">
      <c r="B151" s="405">
        <f t="shared" si="83"/>
        <v>0</v>
      </c>
      <c r="C151" s="79">
        <v>19</v>
      </c>
      <c r="D151" s="418"/>
      <c r="E151" s="805"/>
      <c r="F151" s="843"/>
      <c r="G151" s="844"/>
      <c r="H151" s="241"/>
      <c r="I151" s="404"/>
      <c r="J151" s="232"/>
      <c r="K151" s="232"/>
      <c r="L151" s="232"/>
      <c r="M151" s="232"/>
      <c r="N151" s="232"/>
      <c r="O151" s="232"/>
      <c r="P151" s="241"/>
      <c r="Q151" s="404"/>
      <c r="R151" s="404"/>
      <c r="S151" s="241"/>
      <c r="Z151" s="503"/>
      <c r="AA151" s="79">
        <v>19</v>
      </c>
      <c r="AB151" s="102" t="str">
        <f t="shared" si="84"/>
        <v>** NOT USED **</v>
      </c>
      <c r="AC151" s="106" t="str">
        <f t="shared" si="85"/>
        <v/>
      </c>
      <c r="AD151" s="349">
        <f t="shared" si="86"/>
        <v>0</v>
      </c>
    </row>
    <row r="152" spans="1:46" outlineLevel="1" x14ac:dyDescent="0.2">
      <c r="B152" s="405">
        <f t="shared" si="83"/>
        <v>0</v>
      </c>
      <c r="C152" s="79">
        <v>20</v>
      </c>
      <c r="D152" s="418"/>
      <c r="E152" s="805"/>
      <c r="F152" s="843"/>
      <c r="G152" s="844"/>
      <c r="H152" s="241"/>
      <c r="I152" s="404"/>
      <c r="J152" s="232"/>
      <c r="K152" s="232"/>
      <c r="L152" s="232"/>
      <c r="M152" s="232"/>
      <c r="N152" s="232"/>
      <c r="O152" s="232"/>
      <c r="P152" s="241"/>
      <c r="Q152" s="404"/>
      <c r="R152" s="404"/>
      <c r="S152" s="241"/>
      <c r="Z152" s="503"/>
      <c r="AA152" s="79">
        <v>20</v>
      </c>
      <c r="AB152" s="102" t="str">
        <f t="shared" si="84"/>
        <v>** NOT USED **</v>
      </c>
      <c r="AC152" s="106" t="str">
        <f t="shared" si="85"/>
        <v/>
      </c>
      <c r="AD152" s="349">
        <f t="shared" si="86"/>
        <v>0</v>
      </c>
    </row>
    <row r="153" spans="1:46" outlineLevel="1" x14ac:dyDescent="0.2">
      <c r="A153" s="172"/>
      <c r="B153" s="649">
        <f>SUM(B133:B152)</f>
        <v>0</v>
      </c>
      <c r="C153" s="405">
        <f>COUNTA(D133:D152)</f>
        <v>0</v>
      </c>
      <c r="D153" s="171"/>
      <c r="E153" s="172"/>
      <c r="F153" s="172"/>
      <c r="G153" s="172"/>
      <c r="H153" s="172"/>
      <c r="I153" s="172"/>
      <c r="J153" s="172"/>
      <c r="K153" s="172"/>
      <c r="L153" s="172"/>
      <c r="M153" s="172"/>
      <c r="N153" s="172"/>
      <c r="O153" s="172"/>
      <c r="P153" s="172"/>
      <c r="Q153" s="172"/>
      <c r="X153" s="13"/>
      <c r="Z153" s="13"/>
      <c r="AA153" s="13"/>
    </row>
    <row r="154" spans="1:46" ht="12.75" customHeight="1" x14ac:dyDescent="0.2">
      <c r="Y154" s="503"/>
      <c r="Z154" s="503"/>
    </row>
    <row r="155" spans="1:46" ht="15.75" x14ac:dyDescent="0.2">
      <c r="A155" s="171"/>
      <c r="B155" s="171"/>
      <c r="C155" s="171"/>
      <c r="D155" s="174" t="s">
        <v>949</v>
      </c>
      <c r="E155" s="188"/>
      <c r="F155" s="188"/>
      <c r="G155" s="188"/>
      <c r="H155" s="188"/>
      <c r="I155" s="771" t="str">
        <f>IF(C178=0,MsgNotUsed,"")</f>
        <v>** NOT USED **</v>
      </c>
      <c r="J155" s="772"/>
      <c r="K155" s="188"/>
      <c r="L155" s="188"/>
      <c r="M155" s="188"/>
      <c r="N155" s="188"/>
      <c r="O155" s="188"/>
      <c r="P155" s="188"/>
      <c r="Q155" s="188"/>
      <c r="R155" s="188"/>
      <c r="S155" s="188"/>
      <c r="T155" s="188"/>
      <c r="U155" s="188"/>
      <c r="V155" s="188"/>
      <c r="W155" s="188"/>
      <c r="X155" s="13"/>
      <c r="Y155" s="13"/>
      <c r="Z155" s="13"/>
      <c r="AA155" s="13"/>
      <c r="AB155" s="5"/>
      <c r="AC155" s="5"/>
      <c r="AD155" s="5"/>
      <c r="AE155" s="5"/>
      <c r="AF155" s="5"/>
      <c r="AG155" s="5"/>
      <c r="AH155" s="5"/>
      <c r="AI155" s="5"/>
      <c r="AJ155" s="5"/>
      <c r="AK155" s="5"/>
      <c r="AL155" s="5"/>
      <c r="AM155" s="5"/>
      <c r="AN155" s="5"/>
      <c r="AO155" s="5"/>
      <c r="AP155" s="5"/>
      <c r="AQ155" s="5"/>
      <c r="AR155" s="5"/>
      <c r="AS155" s="5"/>
      <c r="AT155" s="5"/>
    </row>
    <row r="156" spans="1:46" ht="14.25" customHeight="1" outlineLevel="1" x14ac:dyDescent="0.2">
      <c r="A156" s="171"/>
      <c r="B156" s="171"/>
      <c r="C156" s="171"/>
      <c r="D156" s="6"/>
      <c r="E156" s="6"/>
      <c r="F156" s="6"/>
      <c r="G156" s="6"/>
      <c r="H156" s="6"/>
      <c r="I156" s="6"/>
      <c r="J156" s="6"/>
      <c r="K156" s="192"/>
      <c r="L156" s="192"/>
      <c r="M156" s="192"/>
      <c r="N156" s="171"/>
      <c r="O156" s="171"/>
      <c r="P156" s="171"/>
      <c r="Q156" s="171"/>
      <c r="R156" s="171"/>
      <c r="S156" s="5"/>
      <c r="T156" s="5"/>
      <c r="U156" s="5"/>
      <c r="V156" s="5"/>
      <c r="W156" s="5"/>
      <c r="X156" s="13"/>
      <c r="Y156" s="503"/>
      <c r="Z156" s="13"/>
      <c r="AA156" s="13"/>
      <c r="AB156" s="5"/>
      <c r="AC156" s="5"/>
      <c r="AD156" s="5"/>
      <c r="AE156" s="5"/>
      <c r="AF156" s="5"/>
      <c r="AG156" s="5"/>
      <c r="AH156" s="5"/>
      <c r="AI156" s="5"/>
      <c r="AJ156" s="5"/>
      <c r="AK156" s="5"/>
      <c r="AL156" s="5"/>
      <c r="AM156" s="5"/>
      <c r="AN156" s="5"/>
      <c r="AO156" s="5"/>
      <c r="AP156" s="5"/>
      <c r="AQ156" s="5"/>
      <c r="AR156" s="5"/>
      <c r="AS156" s="5"/>
      <c r="AT156" s="5"/>
    </row>
    <row r="157" spans="1:46" ht="38.25" outlineLevel="1" x14ac:dyDescent="0.2">
      <c r="A157" s="171"/>
      <c r="B157" s="171"/>
      <c r="C157" s="171"/>
      <c r="D157" s="113" t="s">
        <v>884</v>
      </c>
      <c r="E157" s="792" t="s">
        <v>128</v>
      </c>
      <c r="F157" s="793"/>
      <c r="G157" s="794"/>
      <c r="H157" s="114" t="s">
        <v>127</v>
      </c>
      <c r="I157" s="457" t="s">
        <v>57</v>
      </c>
      <c r="J157" s="113" t="s">
        <v>112</v>
      </c>
      <c r="K157" s="113" t="s">
        <v>113</v>
      </c>
      <c r="L157" s="113" t="s">
        <v>114</v>
      </c>
      <c r="M157" s="113" t="s">
        <v>115</v>
      </c>
      <c r="N157" s="113" t="s">
        <v>116</v>
      </c>
      <c r="O157" s="113" t="s">
        <v>117</v>
      </c>
      <c r="P157" s="113" t="s">
        <v>119</v>
      </c>
      <c r="Q157" s="113" t="s">
        <v>120</v>
      </c>
      <c r="R157" s="113" t="s">
        <v>118</v>
      </c>
      <c r="S157" s="113" t="s">
        <v>123</v>
      </c>
      <c r="T157" s="113" t="s">
        <v>124</v>
      </c>
      <c r="U157" s="63"/>
      <c r="V157" s="63"/>
      <c r="W157" s="63"/>
      <c r="X157" s="13"/>
      <c r="Z157" s="13"/>
      <c r="AA157" s="13"/>
      <c r="AB157" s="394" t="s">
        <v>314</v>
      </c>
      <c r="AC157" s="5"/>
      <c r="AD157" s="5"/>
      <c r="AE157" s="5"/>
      <c r="AF157" s="5"/>
      <c r="AG157" s="5"/>
      <c r="AH157" s="5"/>
      <c r="AI157" s="5"/>
      <c r="AJ157" s="5"/>
      <c r="AK157" s="5"/>
      <c r="AL157" s="5"/>
      <c r="AM157" s="5"/>
      <c r="AN157" s="5"/>
      <c r="AO157" s="5"/>
      <c r="AP157" s="5"/>
      <c r="AQ157" s="5"/>
      <c r="AR157" s="5"/>
      <c r="AS157" s="5"/>
      <c r="AT157" s="5"/>
    </row>
    <row r="158" spans="1:46" outlineLevel="1" x14ac:dyDescent="0.2">
      <c r="A158" s="171"/>
      <c r="B158" s="405">
        <f t="shared" ref="B158:B177" si="87">IF(D158&lt;&gt;MsgNotUsed,1,0)</f>
        <v>0</v>
      </c>
      <c r="C158" s="422">
        <v>1</v>
      </c>
      <c r="D158" s="461" t="str">
        <f t="shared" ref="D158:D177" si="88">IF(D105&lt;&gt;"",D105,IF(D133&lt;&gt;"",D133,MsgNotUsed))</f>
        <v>** NOT USED **</v>
      </c>
      <c r="E158" s="840" t="str">
        <f t="shared" ref="E158:E177" si="89">IF($D105&lt;&gt;"",E105,IF($D133&lt;&gt;"",E133,""))</f>
        <v/>
      </c>
      <c r="F158" s="841"/>
      <c r="G158" s="842"/>
      <c r="H158" s="257" t="str">
        <f t="shared" ref="H158:H177" si="90">IF($D105&lt;&gt;"",H105,IF($D133&lt;&gt;"",H133,""))</f>
        <v/>
      </c>
      <c r="I158" s="257" t="str">
        <f t="shared" ref="I158:O158" si="91">IF($D105&lt;&gt;"",I105,IF($D133&lt;&gt;"",I133,""))</f>
        <v/>
      </c>
      <c r="J158" s="86" t="str">
        <f t="shared" si="91"/>
        <v/>
      </c>
      <c r="K158" s="86" t="str">
        <f t="shared" si="91"/>
        <v/>
      </c>
      <c r="L158" s="86" t="str">
        <f t="shared" si="91"/>
        <v/>
      </c>
      <c r="M158" s="86" t="str">
        <f t="shared" si="91"/>
        <v/>
      </c>
      <c r="N158" s="86" t="str">
        <f t="shared" si="91"/>
        <v/>
      </c>
      <c r="O158" s="86" t="str">
        <f t="shared" si="91"/>
        <v/>
      </c>
      <c r="P158" s="86">
        <f>SUM($J158:$M158)</f>
        <v>0</v>
      </c>
      <c r="Q158" s="86">
        <f>SUM($N158:$O158)</f>
        <v>0</v>
      </c>
      <c r="R158" s="86">
        <f>P158+Q158</f>
        <v>0</v>
      </c>
      <c r="S158" s="652">
        <f>IF(AND(P158&lt;&gt;0,R158&lt;&gt;0),P158/R158,0)</f>
        <v>0</v>
      </c>
      <c r="T158" s="652">
        <f>IF(AND(Q158&lt;&gt;0,R158&lt;&gt;0),Q158/R158,0)</f>
        <v>0</v>
      </c>
      <c r="U158" s="63"/>
      <c r="V158" s="63"/>
      <c r="W158" s="63"/>
      <c r="X158" s="203"/>
      <c r="Z158" s="203"/>
      <c r="AA158" s="79">
        <v>1</v>
      </c>
      <c r="AB158" s="95" t="str">
        <f t="shared" ref="AB158:AB177" si="92">IF(D158&lt;&gt;MsgNotUsed,CONCATENATE(H158," - ",D158," ",E158, " - ",I158),MsgNotUsed)</f>
        <v>** NOT USED **</v>
      </c>
      <c r="AC158" s="5"/>
      <c r="AD158" s="5"/>
      <c r="AE158" s="5"/>
      <c r="AF158" s="5"/>
      <c r="AG158" s="5"/>
      <c r="AH158" s="5"/>
      <c r="AI158" s="5"/>
      <c r="AJ158" s="5"/>
      <c r="AK158" s="5"/>
      <c r="AL158" s="5"/>
      <c r="AM158" s="5"/>
      <c r="AN158" s="5"/>
      <c r="AO158" s="5"/>
      <c r="AP158" s="5"/>
      <c r="AQ158" s="5"/>
      <c r="AR158" s="5"/>
      <c r="AS158" s="5"/>
      <c r="AT158" s="5"/>
    </row>
    <row r="159" spans="1:46" outlineLevel="1" x14ac:dyDescent="0.2">
      <c r="A159" s="171"/>
      <c r="B159" s="405">
        <f t="shared" si="87"/>
        <v>0</v>
      </c>
      <c r="C159" s="422">
        <v>2</v>
      </c>
      <c r="D159" s="623" t="str">
        <f t="shared" si="88"/>
        <v>** NOT USED **</v>
      </c>
      <c r="E159" s="840" t="str">
        <f t="shared" si="89"/>
        <v/>
      </c>
      <c r="F159" s="841"/>
      <c r="G159" s="842"/>
      <c r="H159" s="257" t="str">
        <f t="shared" si="90"/>
        <v/>
      </c>
      <c r="I159" s="257" t="str">
        <f t="shared" ref="I159:J159" si="93">IF($D106&lt;&gt;"",I106,IF($D134&lt;&gt;"",I134,""))</f>
        <v/>
      </c>
      <c r="J159" s="651" t="str">
        <f t="shared" si="93"/>
        <v/>
      </c>
      <c r="K159" s="651" t="str">
        <f t="shared" ref="K159:O159" si="94">IF($D106&lt;&gt;"",K106,IF($D134&lt;&gt;"",K134,""))</f>
        <v/>
      </c>
      <c r="L159" s="651" t="str">
        <f t="shared" si="94"/>
        <v/>
      </c>
      <c r="M159" s="651" t="str">
        <f t="shared" si="94"/>
        <v/>
      </c>
      <c r="N159" s="651" t="str">
        <f t="shared" si="94"/>
        <v/>
      </c>
      <c r="O159" s="651" t="str">
        <f t="shared" si="94"/>
        <v/>
      </c>
      <c r="P159" s="86">
        <f t="shared" ref="P159:P177" si="95">SUM($J159:$M159)</f>
        <v>0</v>
      </c>
      <c r="Q159" s="86">
        <f t="shared" ref="Q159:Q177" si="96">SUM($N159:$O159)</f>
        <v>0</v>
      </c>
      <c r="R159" s="86">
        <f t="shared" ref="R159:R167" si="97">Q159+P159</f>
        <v>0</v>
      </c>
      <c r="S159" s="69">
        <f t="shared" ref="S159:S167" si="98">IF(AND(P159&lt;&gt;0,R159&lt;&gt;0),P159/R159,0)</f>
        <v>0</v>
      </c>
      <c r="T159" s="69">
        <f t="shared" ref="T159:T167" si="99">IF(AND(Q159&lt;&gt;0,R159&lt;&gt;0),Q159/R159,0)</f>
        <v>0</v>
      </c>
      <c r="U159" s="63"/>
      <c r="V159" s="63"/>
      <c r="W159" s="63"/>
      <c r="X159" s="203"/>
      <c r="Z159" s="203"/>
      <c r="AA159" s="79">
        <v>2</v>
      </c>
      <c r="AB159" s="95" t="str">
        <f t="shared" si="92"/>
        <v>** NOT USED **</v>
      </c>
      <c r="AC159" s="5"/>
      <c r="AD159" s="5"/>
      <c r="AE159" s="5"/>
      <c r="AF159" s="5"/>
      <c r="AG159" s="5"/>
      <c r="AH159" s="5"/>
      <c r="AI159" s="5"/>
      <c r="AJ159" s="5"/>
      <c r="AK159" s="5"/>
      <c r="AL159" s="5"/>
      <c r="AM159" s="5"/>
      <c r="AN159" s="5"/>
      <c r="AO159" s="5"/>
      <c r="AP159" s="5"/>
      <c r="AQ159" s="5"/>
      <c r="AR159" s="5"/>
      <c r="AS159" s="5"/>
      <c r="AT159" s="5"/>
    </row>
    <row r="160" spans="1:46" outlineLevel="1" x14ac:dyDescent="0.2">
      <c r="A160" s="171"/>
      <c r="B160" s="405">
        <f t="shared" si="87"/>
        <v>0</v>
      </c>
      <c r="C160" s="422">
        <v>3</v>
      </c>
      <c r="D160" s="623" t="str">
        <f t="shared" si="88"/>
        <v>** NOT USED **</v>
      </c>
      <c r="E160" s="840" t="str">
        <f t="shared" si="89"/>
        <v/>
      </c>
      <c r="F160" s="841"/>
      <c r="G160" s="842"/>
      <c r="H160" s="257" t="str">
        <f t="shared" si="90"/>
        <v/>
      </c>
      <c r="I160" s="257" t="str">
        <f t="shared" ref="I160:J160" si="100">IF($D107&lt;&gt;"",I107,IF($D135&lt;&gt;"",I135,""))</f>
        <v/>
      </c>
      <c r="J160" s="651" t="str">
        <f t="shared" si="100"/>
        <v/>
      </c>
      <c r="K160" s="651" t="str">
        <f t="shared" ref="K160:O160" si="101">IF($D107&lt;&gt;"",K107,IF($D135&lt;&gt;"",K135,""))</f>
        <v/>
      </c>
      <c r="L160" s="651" t="str">
        <f t="shared" si="101"/>
        <v/>
      </c>
      <c r="M160" s="651" t="str">
        <f t="shared" si="101"/>
        <v/>
      </c>
      <c r="N160" s="651" t="str">
        <f t="shared" si="101"/>
        <v/>
      </c>
      <c r="O160" s="651" t="str">
        <f t="shared" si="101"/>
        <v/>
      </c>
      <c r="P160" s="86">
        <f t="shared" si="95"/>
        <v>0</v>
      </c>
      <c r="Q160" s="86">
        <f t="shared" si="96"/>
        <v>0</v>
      </c>
      <c r="R160" s="86">
        <f t="shared" si="97"/>
        <v>0</v>
      </c>
      <c r="S160" s="69">
        <f t="shared" si="98"/>
        <v>0</v>
      </c>
      <c r="T160" s="69">
        <f t="shared" si="99"/>
        <v>0</v>
      </c>
      <c r="U160" s="63"/>
      <c r="V160" s="63"/>
      <c r="W160" s="63"/>
      <c r="X160" s="203"/>
      <c r="Z160" s="203"/>
      <c r="AA160" s="79">
        <v>3</v>
      </c>
      <c r="AB160" s="95" t="str">
        <f t="shared" si="92"/>
        <v>** NOT USED **</v>
      </c>
      <c r="AC160" s="5"/>
      <c r="AD160" s="5"/>
      <c r="AE160" s="5"/>
      <c r="AF160" s="5"/>
      <c r="AG160" s="5"/>
      <c r="AH160" s="5"/>
      <c r="AI160" s="5"/>
      <c r="AJ160" s="5"/>
      <c r="AK160" s="5"/>
      <c r="AL160" s="5"/>
      <c r="AM160" s="5"/>
      <c r="AN160" s="5"/>
      <c r="AO160" s="5"/>
      <c r="AP160" s="5"/>
      <c r="AQ160" s="5"/>
      <c r="AR160" s="5"/>
      <c r="AS160" s="5"/>
      <c r="AT160" s="5"/>
    </row>
    <row r="161" spans="1:46" outlineLevel="1" x14ac:dyDescent="0.2">
      <c r="A161" s="171"/>
      <c r="B161" s="405">
        <f t="shared" si="87"/>
        <v>0</v>
      </c>
      <c r="C161" s="422">
        <v>4</v>
      </c>
      <c r="D161" s="623" t="str">
        <f t="shared" si="88"/>
        <v>** NOT USED **</v>
      </c>
      <c r="E161" s="840" t="str">
        <f t="shared" si="89"/>
        <v/>
      </c>
      <c r="F161" s="841"/>
      <c r="G161" s="842"/>
      <c r="H161" s="257" t="str">
        <f t="shared" si="90"/>
        <v/>
      </c>
      <c r="I161" s="257" t="str">
        <f t="shared" ref="I161:J161" si="102">IF($D108&lt;&gt;"",I108,IF($D136&lt;&gt;"",I136,""))</f>
        <v/>
      </c>
      <c r="J161" s="651" t="str">
        <f t="shared" si="102"/>
        <v/>
      </c>
      <c r="K161" s="651" t="str">
        <f t="shared" ref="K161:O161" si="103">IF($D108&lt;&gt;"",K108,IF($D136&lt;&gt;"",K136,""))</f>
        <v/>
      </c>
      <c r="L161" s="651" t="str">
        <f t="shared" si="103"/>
        <v/>
      </c>
      <c r="M161" s="651" t="str">
        <f t="shared" si="103"/>
        <v/>
      </c>
      <c r="N161" s="651" t="str">
        <f t="shared" si="103"/>
        <v/>
      </c>
      <c r="O161" s="651" t="str">
        <f t="shared" si="103"/>
        <v/>
      </c>
      <c r="P161" s="86">
        <f t="shared" si="95"/>
        <v>0</v>
      </c>
      <c r="Q161" s="86">
        <f t="shared" si="96"/>
        <v>0</v>
      </c>
      <c r="R161" s="86">
        <f t="shared" si="97"/>
        <v>0</v>
      </c>
      <c r="S161" s="69">
        <f t="shared" si="98"/>
        <v>0</v>
      </c>
      <c r="T161" s="69">
        <f t="shared" si="99"/>
        <v>0</v>
      </c>
      <c r="U161" s="63"/>
      <c r="V161" s="63"/>
      <c r="W161" s="63"/>
      <c r="X161" s="203"/>
      <c r="Z161" s="203"/>
      <c r="AA161" s="79">
        <v>4</v>
      </c>
      <c r="AB161" s="95" t="str">
        <f t="shared" si="92"/>
        <v>** NOT USED **</v>
      </c>
      <c r="AC161" s="5"/>
      <c r="AD161" s="5"/>
      <c r="AE161" s="5"/>
      <c r="AF161" s="5"/>
      <c r="AG161" s="5"/>
      <c r="AH161" s="5"/>
      <c r="AI161" s="5"/>
      <c r="AJ161" s="5"/>
      <c r="AK161" s="5"/>
      <c r="AL161" s="5"/>
      <c r="AM161" s="5"/>
      <c r="AN161" s="5"/>
      <c r="AO161" s="5"/>
      <c r="AP161" s="5"/>
      <c r="AQ161" s="5"/>
      <c r="AR161" s="5"/>
      <c r="AS161" s="5"/>
      <c r="AT161" s="5"/>
    </row>
    <row r="162" spans="1:46" outlineLevel="1" x14ac:dyDescent="0.2">
      <c r="A162" s="171"/>
      <c r="B162" s="405">
        <f t="shared" si="87"/>
        <v>0</v>
      </c>
      <c r="C162" s="422">
        <v>5</v>
      </c>
      <c r="D162" s="623" t="str">
        <f t="shared" si="88"/>
        <v>** NOT USED **</v>
      </c>
      <c r="E162" s="840" t="str">
        <f t="shared" si="89"/>
        <v/>
      </c>
      <c r="F162" s="841"/>
      <c r="G162" s="842"/>
      <c r="H162" s="257" t="str">
        <f t="shared" si="90"/>
        <v/>
      </c>
      <c r="I162" s="257" t="str">
        <f t="shared" ref="I162:J162" si="104">IF($D109&lt;&gt;"",I109,IF($D137&lt;&gt;"",I137,""))</f>
        <v/>
      </c>
      <c r="J162" s="651" t="str">
        <f t="shared" si="104"/>
        <v/>
      </c>
      <c r="K162" s="651" t="str">
        <f t="shared" ref="K162:O162" si="105">IF($D109&lt;&gt;"",K109,IF($D137&lt;&gt;"",K137,""))</f>
        <v/>
      </c>
      <c r="L162" s="651" t="str">
        <f t="shared" si="105"/>
        <v/>
      </c>
      <c r="M162" s="651" t="str">
        <f t="shared" si="105"/>
        <v/>
      </c>
      <c r="N162" s="651" t="str">
        <f t="shared" si="105"/>
        <v/>
      </c>
      <c r="O162" s="651" t="str">
        <f t="shared" si="105"/>
        <v/>
      </c>
      <c r="P162" s="86">
        <f t="shared" si="95"/>
        <v>0</v>
      </c>
      <c r="Q162" s="86">
        <f t="shared" si="96"/>
        <v>0</v>
      </c>
      <c r="R162" s="86">
        <f t="shared" si="97"/>
        <v>0</v>
      </c>
      <c r="S162" s="69">
        <f t="shared" si="98"/>
        <v>0</v>
      </c>
      <c r="T162" s="69">
        <f t="shared" si="99"/>
        <v>0</v>
      </c>
      <c r="U162" s="63"/>
      <c r="V162" s="63"/>
      <c r="W162" s="63"/>
      <c r="X162" s="203"/>
      <c r="Z162" s="203"/>
      <c r="AA162" s="79">
        <v>5</v>
      </c>
      <c r="AB162" s="95" t="str">
        <f t="shared" si="92"/>
        <v>** NOT USED **</v>
      </c>
      <c r="AC162" s="5"/>
      <c r="AD162" s="5"/>
      <c r="AE162" s="5"/>
      <c r="AF162" s="5"/>
      <c r="AG162" s="5"/>
      <c r="AH162" s="5"/>
      <c r="AI162" s="5"/>
      <c r="AJ162" s="5"/>
      <c r="AK162" s="5"/>
      <c r="AL162" s="5"/>
      <c r="AM162" s="5"/>
      <c r="AN162" s="5"/>
      <c r="AO162" s="5"/>
      <c r="AP162" s="5"/>
      <c r="AQ162" s="5"/>
      <c r="AR162" s="5"/>
      <c r="AS162" s="5"/>
      <c r="AT162" s="5"/>
    </row>
    <row r="163" spans="1:46" outlineLevel="1" x14ac:dyDescent="0.2">
      <c r="A163" s="171"/>
      <c r="B163" s="405">
        <f t="shared" si="87"/>
        <v>0</v>
      </c>
      <c r="C163" s="422">
        <v>6</v>
      </c>
      <c r="D163" s="623" t="str">
        <f t="shared" si="88"/>
        <v>** NOT USED **</v>
      </c>
      <c r="E163" s="840" t="str">
        <f t="shared" si="89"/>
        <v/>
      </c>
      <c r="F163" s="841"/>
      <c r="G163" s="842"/>
      <c r="H163" s="257" t="str">
        <f t="shared" si="90"/>
        <v/>
      </c>
      <c r="I163" s="257" t="str">
        <f t="shared" ref="I163:J163" si="106">IF($D110&lt;&gt;"",I110,IF($D138&lt;&gt;"",I138,""))</f>
        <v/>
      </c>
      <c r="J163" s="651" t="str">
        <f t="shared" si="106"/>
        <v/>
      </c>
      <c r="K163" s="651" t="str">
        <f t="shared" ref="K163:O163" si="107">IF($D110&lt;&gt;"",K110,IF($D138&lt;&gt;"",K138,""))</f>
        <v/>
      </c>
      <c r="L163" s="651" t="str">
        <f t="shared" si="107"/>
        <v/>
      </c>
      <c r="M163" s="651" t="str">
        <f t="shared" si="107"/>
        <v/>
      </c>
      <c r="N163" s="651" t="str">
        <f t="shared" si="107"/>
        <v/>
      </c>
      <c r="O163" s="651" t="str">
        <f t="shared" si="107"/>
        <v/>
      </c>
      <c r="P163" s="86">
        <f t="shared" si="95"/>
        <v>0</v>
      </c>
      <c r="Q163" s="86">
        <f t="shared" si="96"/>
        <v>0</v>
      </c>
      <c r="R163" s="86">
        <f t="shared" si="97"/>
        <v>0</v>
      </c>
      <c r="S163" s="69">
        <f t="shared" si="98"/>
        <v>0</v>
      </c>
      <c r="T163" s="69">
        <f t="shared" si="99"/>
        <v>0</v>
      </c>
      <c r="U163" s="63"/>
      <c r="V163" s="63"/>
      <c r="W163" s="63"/>
      <c r="X163" s="203"/>
      <c r="Z163" s="203"/>
      <c r="AA163" s="79">
        <v>6</v>
      </c>
      <c r="AB163" s="95" t="str">
        <f t="shared" si="92"/>
        <v>** NOT USED **</v>
      </c>
      <c r="AC163" s="5"/>
      <c r="AD163" s="5"/>
      <c r="AE163" s="5"/>
      <c r="AF163" s="5"/>
      <c r="AG163" s="5"/>
      <c r="AH163" s="5"/>
      <c r="AI163" s="5"/>
      <c r="AJ163" s="5"/>
      <c r="AK163" s="5"/>
      <c r="AL163" s="5"/>
      <c r="AM163" s="5"/>
      <c r="AN163" s="5"/>
      <c r="AO163" s="5"/>
      <c r="AP163" s="5"/>
      <c r="AQ163" s="5"/>
      <c r="AR163" s="5"/>
      <c r="AS163" s="5"/>
      <c r="AT163" s="5"/>
    </row>
    <row r="164" spans="1:46" outlineLevel="1" x14ac:dyDescent="0.2">
      <c r="A164" s="171"/>
      <c r="B164" s="405">
        <f t="shared" si="87"/>
        <v>0</v>
      </c>
      <c r="C164" s="422">
        <v>7</v>
      </c>
      <c r="D164" s="623" t="str">
        <f t="shared" si="88"/>
        <v>** NOT USED **</v>
      </c>
      <c r="E164" s="840" t="str">
        <f t="shared" si="89"/>
        <v/>
      </c>
      <c r="F164" s="841"/>
      <c r="G164" s="842"/>
      <c r="H164" s="257" t="str">
        <f t="shared" si="90"/>
        <v/>
      </c>
      <c r="I164" s="257" t="str">
        <f t="shared" ref="I164:J164" si="108">IF($D111&lt;&gt;"",I111,IF($D139&lt;&gt;"",I139,""))</f>
        <v/>
      </c>
      <c r="J164" s="651" t="str">
        <f t="shared" si="108"/>
        <v/>
      </c>
      <c r="K164" s="651" t="str">
        <f t="shared" ref="K164:O164" si="109">IF($D111&lt;&gt;"",K111,IF($D139&lt;&gt;"",K139,""))</f>
        <v/>
      </c>
      <c r="L164" s="651" t="str">
        <f t="shared" si="109"/>
        <v/>
      </c>
      <c r="M164" s="651" t="str">
        <f t="shared" si="109"/>
        <v/>
      </c>
      <c r="N164" s="651" t="str">
        <f t="shared" si="109"/>
        <v/>
      </c>
      <c r="O164" s="651" t="str">
        <f t="shared" si="109"/>
        <v/>
      </c>
      <c r="P164" s="86">
        <f t="shared" si="95"/>
        <v>0</v>
      </c>
      <c r="Q164" s="86">
        <f t="shared" si="96"/>
        <v>0</v>
      </c>
      <c r="R164" s="86">
        <f t="shared" si="97"/>
        <v>0</v>
      </c>
      <c r="S164" s="69">
        <f t="shared" si="98"/>
        <v>0</v>
      </c>
      <c r="T164" s="69">
        <f t="shared" si="99"/>
        <v>0</v>
      </c>
      <c r="U164" s="63"/>
      <c r="V164" s="63"/>
      <c r="W164" s="63"/>
      <c r="X164" s="203"/>
      <c r="Z164" s="203"/>
      <c r="AA164" s="79">
        <v>7</v>
      </c>
      <c r="AB164" s="95" t="str">
        <f t="shared" si="92"/>
        <v>** NOT USED **</v>
      </c>
      <c r="AC164" s="5"/>
      <c r="AD164" s="5"/>
      <c r="AE164" s="5"/>
      <c r="AF164" s="5"/>
      <c r="AG164" s="5"/>
      <c r="AH164" s="5"/>
      <c r="AI164" s="5"/>
      <c r="AJ164" s="5"/>
      <c r="AK164" s="5"/>
      <c r="AL164" s="5"/>
      <c r="AM164" s="5"/>
      <c r="AN164" s="5"/>
      <c r="AO164" s="5"/>
      <c r="AP164" s="5"/>
      <c r="AQ164" s="5"/>
      <c r="AR164" s="5"/>
      <c r="AS164" s="5"/>
      <c r="AT164" s="5"/>
    </row>
    <row r="165" spans="1:46" outlineLevel="1" x14ac:dyDescent="0.2">
      <c r="A165" s="171"/>
      <c r="B165" s="405">
        <f t="shared" si="87"/>
        <v>0</v>
      </c>
      <c r="C165" s="422">
        <v>8</v>
      </c>
      <c r="D165" s="623" t="str">
        <f t="shared" si="88"/>
        <v>** NOT USED **</v>
      </c>
      <c r="E165" s="840" t="str">
        <f t="shared" si="89"/>
        <v/>
      </c>
      <c r="F165" s="841"/>
      <c r="G165" s="842"/>
      <c r="H165" s="257" t="str">
        <f t="shared" si="90"/>
        <v/>
      </c>
      <c r="I165" s="257" t="str">
        <f t="shared" ref="I165:J165" si="110">IF($D112&lt;&gt;"",I112,IF($D140&lt;&gt;"",I140,""))</f>
        <v/>
      </c>
      <c r="J165" s="651" t="str">
        <f t="shared" si="110"/>
        <v/>
      </c>
      <c r="K165" s="651" t="str">
        <f t="shared" ref="K165:O165" si="111">IF($D112&lt;&gt;"",K112,IF($D140&lt;&gt;"",K140,""))</f>
        <v/>
      </c>
      <c r="L165" s="651" t="str">
        <f t="shared" si="111"/>
        <v/>
      </c>
      <c r="M165" s="651" t="str">
        <f t="shared" si="111"/>
        <v/>
      </c>
      <c r="N165" s="651" t="str">
        <f t="shared" si="111"/>
        <v/>
      </c>
      <c r="O165" s="651" t="str">
        <f t="shared" si="111"/>
        <v/>
      </c>
      <c r="P165" s="86">
        <f t="shared" si="95"/>
        <v>0</v>
      </c>
      <c r="Q165" s="86">
        <f t="shared" si="96"/>
        <v>0</v>
      </c>
      <c r="R165" s="86">
        <f t="shared" si="97"/>
        <v>0</v>
      </c>
      <c r="S165" s="69">
        <f t="shared" si="98"/>
        <v>0</v>
      </c>
      <c r="T165" s="69">
        <f t="shared" si="99"/>
        <v>0</v>
      </c>
      <c r="U165" s="63"/>
      <c r="V165" s="63"/>
      <c r="W165" s="63"/>
      <c r="X165" s="203"/>
      <c r="Z165" s="203"/>
      <c r="AA165" s="79">
        <v>8</v>
      </c>
      <c r="AB165" s="95" t="str">
        <f t="shared" si="92"/>
        <v>** NOT USED **</v>
      </c>
      <c r="AC165" s="5"/>
      <c r="AD165" s="5"/>
      <c r="AE165" s="5"/>
      <c r="AF165" s="5"/>
      <c r="AG165" s="5"/>
      <c r="AH165" s="5"/>
      <c r="AI165" s="5"/>
      <c r="AJ165" s="5"/>
      <c r="AK165" s="5"/>
      <c r="AL165" s="5"/>
      <c r="AM165" s="5"/>
      <c r="AN165" s="5"/>
      <c r="AO165" s="5"/>
      <c r="AP165" s="5"/>
      <c r="AQ165" s="5"/>
      <c r="AR165" s="5"/>
      <c r="AS165" s="5"/>
      <c r="AT165" s="5"/>
    </row>
    <row r="166" spans="1:46" outlineLevel="1" x14ac:dyDescent="0.2">
      <c r="A166" s="171"/>
      <c r="B166" s="405">
        <f t="shared" si="87"/>
        <v>0</v>
      </c>
      <c r="C166" s="422">
        <v>9</v>
      </c>
      <c r="D166" s="623" t="str">
        <f t="shared" si="88"/>
        <v>** NOT USED **</v>
      </c>
      <c r="E166" s="840" t="str">
        <f t="shared" si="89"/>
        <v/>
      </c>
      <c r="F166" s="841"/>
      <c r="G166" s="842"/>
      <c r="H166" s="257" t="str">
        <f t="shared" si="90"/>
        <v/>
      </c>
      <c r="I166" s="257" t="str">
        <f t="shared" ref="I166:J166" si="112">IF($D113&lt;&gt;"",I113,IF($D141&lt;&gt;"",I141,""))</f>
        <v/>
      </c>
      <c r="J166" s="651" t="str">
        <f t="shared" si="112"/>
        <v/>
      </c>
      <c r="K166" s="651" t="str">
        <f t="shared" ref="K166:O166" si="113">IF($D113&lt;&gt;"",K113,IF($D141&lt;&gt;"",K141,""))</f>
        <v/>
      </c>
      <c r="L166" s="651" t="str">
        <f t="shared" si="113"/>
        <v/>
      </c>
      <c r="M166" s="651" t="str">
        <f t="shared" si="113"/>
        <v/>
      </c>
      <c r="N166" s="651" t="str">
        <f t="shared" si="113"/>
        <v/>
      </c>
      <c r="O166" s="651" t="str">
        <f t="shared" si="113"/>
        <v/>
      </c>
      <c r="P166" s="86">
        <f t="shared" si="95"/>
        <v>0</v>
      </c>
      <c r="Q166" s="86">
        <f t="shared" si="96"/>
        <v>0</v>
      </c>
      <c r="R166" s="86">
        <f t="shared" si="97"/>
        <v>0</v>
      </c>
      <c r="S166" s="69">
        <f t="shared" si="98"/>
        <v>0</v>
      </c>
      <c r="T166" s="69">
        <f t="shared" si="99"/>
        <v>0</v>
      </c>
      <c r="U166" s="63"/>
      <c r="V166" s="63"/>
      <c r="W166" s="63"/>
      <c r="X166" s="203"/>
      <c r="Z166" s="203"/>
      <c r="AA166" s="79">
        <v>9</v>
      </c>
      <c r="AB166" s="95" t="str">
        <f t="shared" si="92"/>
        <v>** NOT USED **</v>
      </c>
      <c r="AC166" s="5"/>
      <c r="AD166" s="5"/>
      <c r="AE166" s="5"/>
      <c r="AF166" s="5"/>
      <c r="AG166" s="5"/>
      <c r="AH166" s="5"/>
      <c r="AI166" s="5"/>
      <c r="AJ166" s="5"/>
      <c r="AK166" s="5"/>
      <c r="AL166" s="5"/>
      <c r="AM166" s="5"/>
      <c r="AN166" s="5"/>
      <c r="AO166" s="5"/>
      <c r="AP166" s="5"/>
      <c r="AQ166" s="5"/>
      <c r="AR166" s="5"/>
      <c r="AS166" s="5"/>
      <c r="AT166" s="5"/>
    </row>
    <row r="167" spans="1:46" outlineLevel="1" x14ac:dyDescent="0.2">
      <c r="A167" s="171"/>
      <c r="B167" s="405">
        <f t="shared" si="87"/>
        <v>0</v>
      </c>
      <c r="C167" s="422">
        <v>10</v>
      </c>
      <c r="D167" s="623" t="str">
        <f t="shared" si="88"/>
        <v>** NOT USED **</v>
      </c>
      <c r="E167" s="840" t="str">
        <f t="shared" si="89"/>
        <v/>
      </c>
      <c r="F167" s="841"/>
      <c r="G167" s="842"/>
      <c r="H167" s="257" t="str">
        <f t="shared" si="90"/>
        <v/>
      </c>
      <c r="I167" s="257" t="str">
        <f t="shared" ref="I167:J167" si="114">IF($D114&lt;&gt;"",I114,IF($D142&lt;&gt;"",I142,""))</f>
        <v/>
      </c>
      <c r="J167" s="651" t="str">
        <f t="shared" si="114"/>
        <v/>
      </c>
      <c r="K167" s="651" t="str">
        <f t="shared" ref="K167:O167" si="115">IF($D114&lt;&gt;"",K114,IF($D142&lt;&gt;"",K142,""))</f>
        <v/>
      </c>
      <c r="L167" s="651" t="str">
        <f t="shared" si="115"/>
        <v/>
      </c>
      <c r="M167" s="651" t="str">
        <f t="shared" si="115"/>
        <v/>
      </c>
      <c r="N167" s="651" t="str">
        <f t="shared" si="115"/>
        <v/>
      </c>
      <c r="O167" s="651" t="str">
        <f t="shared" si="115"/>
        <v/>
      </c>
      <c r="P167" s="86">
        <f t="shared" si="95"/>
        <v>0</v>
      </c>
      <c r="Q167" s="86">
        <f t="shared" si="96"/>
        <v>0</v>
      </c>
      <c r="R167" s="86">
        <f t="shared" si="97"/>
        <v>0</v>
      </c>
      <c r="S167" s="69">
        <f t="shared" si="98"/>
        <v>0</v>
      </c>
      <c r="T167" s="69">
        <f t="shared" si="99"/>
        <v>0</v>
      </c>
      <c r="U167" s="63"/>
      <c r="V167" s="63"/>
      <c r="W167" s="63"/>
      <c r="X167" s="203"/>
      <c r="Z167" s="203"/>
      <c r="AA167" s="79">
        <v>10</v>
      </c>
      <c r="AB167" s="95" t="str">
        <f t="shared" si="92"/>
        <v>** NOT USED **</v>
      </c>
      <c r="AC167" s="5"/>
      <c r="AD167" s="5"/>
      <c r="AE167" s="5"/>
      <c r="AF167" s="5"/>
      <c r="AG167" s="5"/>
      <c r="AH167" s="5"/>
      <c r="AI167" s="5"/>
      <c r="AJ167" s="5"/>
      <c r="AK167" s="5"/>
      <c r="AL167" s="5"/>
      <c r="AM167" s="5"/>
      <c r="AN167" s="5"/>
      <c r="AO167" s="5"/>
      <c r="AP167" s="5"/>
      <c r="AQ167" s="5"/>
      <c r="AR167" s="5"/>
      <c r="AS167" s="5"/>
      <c r="AT167" s="5"/>
    </row>
    <row r="168" spans="1:46" outlineLevel="1" x14ac:dyDescent="0.2">
      <c r="B168" s="405">
        <f t="shared" si="87"/>
        <v>0</v>
      </c>
      <c r="C168" s="422">
        <v>11</v>
      </c>
      <c r="D168" s="623" t="str">
        <f t="shared" si="88"/>
        <v>** NOT USED **</v>
      </c>
      <c r="E168" s="840" t="str">
        <f t="shared" si="89"/>
        <v/>
      </c>
      <c r="F168" s="841"/>
      <c r="G168" s="842"/>
      <c r="H168" s="257" t="str">
        <f t="shared" si="90"/>
        <v/>
      </c>
      <c r="I168" s="257" t="str">
        <f t="shared" ref="I168:J168" si="116">IF($D115&lt;&gt;"",I115,IF($D143&lt;&gt;"",I143,""))</f>
        <v/>
      </c>
      <c r="J168" s="651" t="str">
        <f t="shared" si="116"/>
        <v/>
      </c>
      <c r="K168" s="651" t="str">
        <f t="shared" ref="K168:O168" si="117">IF($D115&lt;&gt;"",K115,IF($D143&lt;&gt;"",K143,""))</f>
        <v/>
      </c>
      <c r="L168" s="651" t="str">
        <f t="shared" si="117"/>
        <v/>
      </c>
      <c r="M168" s="651" t="str">
        <f t="shared" si="117"/>
        <v/>
      </c>
      <c r="N168" s="651" t="str">
        <f t="shared" si="117"/>
        <v/>
      </c>
      <c r="O168" s="651" t="str">
        <f t="shared" si="117"/>
        <v/>
      </c>
      <c r="P168" s="86">
        <f t="shared" si="95"/>
        <v>0</v>
      </c>
      <c r="Q168" s="86">
        <f t="shared" si="96"/>
        <v>0</v>
      </c>
      <c r="R168" s="86">
        <f t="shared" ref="R168:R177" si="118">Q168+P168</f>
        <v>0</v>
      </c>
      <c r="S168" s="69">
        <f t="shared" ref="S168:S177" si="119">IF(AND(P168&lt;&gt;0,R168&lt;&gt;0),P168/R168,0)</f>
        <v>0</v>
      </c>
      <c r="T168" s="69">
        <f t="shared" ref="T168:T177" si="120">IF(AND(Q168&lt;&gt;0,R168&lt;&gt;0),Q168/R168,0)</f>
        <v>0</v>
      </c>
      <c r="X168" s="203"/>
      <c r="Z168" s="203"/>
      <c r="AA168" s="79">
        <v>11</v>
      </c>
      <c r="AB168" s="95" t="str">
        <f t="shared" si="92"/>
        <v>** NOT USED **</v>
      </c>
    </row>
    <row r="169" spans="1:46" outlineLevel="1" x14ac:dyDescent="0.2">
      <c r="B169" s="405">
        <f t="shared" si="87"/>
        <v>0</v>
      </c>
      <c r="C169" s="422">
        <v>12</v>
      </c>
      <c r="D169" s="623" t="str">
        <f t="shared" si="88"/>
        <v>** NOT USED **</v>
      </c>
      <c r="E169" s="840" t="str">
        <f t="shared" si="89"/>
        <v/>
      </c>
      <c r="F169" s="841"/>
      <c r="G169" s="842"/>
      <c r="H169" s="257" t="str">
        <f t="shared" si="90"/>
        <v/>
      </c>
      <c r="I169" s="257" t="str">
        <f t="shared" ref="I169:J169" si="121">IF($D116&lt;&gt;"",I116,IF($D144&lt;&gt;"",I144,""))</f>
        <v/>
      </c>
      <c r="J169" s="651" t="str">
        <f t="shared" si="121"/>
        <v/>
      </c>
      <c r="K169" s="651" t="str">
        <f t="shared" ref="K169:O169" si="122">IF($D116&lt;&gt;"",K116,IF($D144&lt;&gt;"",K144,""))</f>
        <v/>
      </c>
      <c r="L169" s="651" t="str">
        <f t="shared" si="122"/>
        <v/>
      </c>
      <c r="M169" s="651" t="str">
        <f t="shared" si="122"/>
        <v/>
      </c>
      <c r="N169" s="651" t="str">
        <f t="shared" si="122"/>
        <v/>
      </c>
      <c r="O169" s="651" t="str">
        <f t="shared" si="122"/>
        <v/>
      </c>
      <c r="P169" s="86">
        <f t="shared" si="95"/>
        <v>0</v>
      </c>
      <c r="Q169" s="86">
        <f t="shared" si="96"/>
        <v>0</v>
      </c>
      <c r="R169" s="86">
        <f t="shared" si="118"/>
        <v>0</v>
      </c>
      <c r="S169" s="69">
        <f t="shared" si="119"/>
        <v>0</v>
      </c>
      <c r="T169" s="69">
        <f t="shared" si="120"/>
        <v>0</v>
      </c>
      <c r="X169" s="203"/>
      <c r="Z169" s="203"/>
      <c r="AA169" s="79">
        <v>12</v>
      </c>
      <c r="AB169" s="95" t="str">
        <f t="shared" si="92"/>
        <v>** NOT USED **</v>
      </c>
    </row>
    <row r="170" spans="1:46" outlineLevel="1" x14ac:dyDescent="0.2">
      <c r="B170" s="405">
        <f t="shared" si="87"/>
        <v>0</v>
      </c>
      <c r="C170" s="422">
        <v>13</v>
      </c>
      <c r="D170" s="623" t="str">
        <f t="shared" si="88"/>
        <v>** NOT USED **</v>
      </c>
      <c r="E170" s="840" t="str">
        <f t="shared" si="89"/>
        <v/>
      </c>
      <c r="F170" s="841"/>
      <c r="G170" s="842"/>
      <c r="H170" s="257" t="str">
        <f t="shared" si="90"/>
        <v/>
      </c>
      <c r="I170" s="257" t="str">
        <f t="shared" ref="I170:J170" si="123">IF($D117&lt;&gt;"",I117,IF($D145&lt;&gt;"",I145,""))</f>
        <v/>
      </c>
      <c r="J170" s="651" t="str">
        <f t="shared" si="123"/>
        <v/>
      </c>
      <c r="K170" s="651" t="str">
        <f t="shared" ref="K170:O170" si="124">IF($D117&lt;&gt;"",K117,IF($D145&lt;&gt;"",K145,""))</f>
        <v/>
      </c>
      <c r="L170" s="651" t="str">
        <f t="shared" si="124"/>
        <v/>
      </c>
      <c r="M170" s="651" t="str">
        <f t="shared" si="124"/>
        <v/>
      </c>
      <c r="N170" s="651" t="str">
        <f t="shared" si="124"/>
        <v/>
      </c>
      <c r="O170" s="651" t="str">
        <f t="shared" si="124"/>
        <v/>
      </c>
      <c r="P170" s="86">
        <f t="shared" si="95"/>
        <v>0</v>
      </c>
      <c r="Q170" s="86">
        <f t="shared" si="96"/>
        <v>0</v>
      </c>
      <c r="R170" s="86">
        <f t="shared" si="118"/>
        <v>0</v>
      </c>
      <c r="S170" s="69">
        <f t="shared" si="119"/>
        <v>0</v>
      </c>
      <c r="T170" s="69">
        <f t="shared" si="120"/>
        <v>0</v>
      </c>
      <c r="X170" s="203"/>
      <c r="Z170" s="203"/>
      <c r="AA170" s="79">
        <v>13</v>
      </c>
      <c r="AB170" s="95" t="str">
        <f t="shared" si="92"/>
        <v>** NOT USED **</v>
      </c>
    </row>
    <row r="171" spans="1:46" outlineLevel="1" x14ac:dyDescent="0.2">
      <c r="B171" s="405">
        <f t="shared" si="87"/>
        <v>0</v>
      </c>
      <c r="C171" s="422">
        <v>14</v>
      </c>
      <c r="D171" s="623" t="str">
        <f t="shared" si="88"/>
        <v>** NOT USED **</v>
      </c>
      <c r="E171" s="840" t="str">
        <f t="shared" si="89"/>
        <v/>
      </c>
      <c r="F171" s="841"/>
      <c r="G171" s="842"/>
      <c r="H171" s="257" t="str">
        <f t="shared" si="90"/>
        <v/>
      </c>
      <c r="I171" s="257" t="str">
        <f t="shared" ref="I171:J171" si="125">IF($D118&lt;&gt;"",I118,IF($D146&lt;&gt;"",I146,""))</f>
        <v/>
      </c>
      <c r="J171" s="651" t="str">
        <f t="shared" si="125"/>
        <v/>
      </c>
      <c r="K171" s="651" t="str">
        <f t="shared" ref="K171:O171" si="126">IF($D118&lt;&gt;"",K118,IF($D146&lt;&gt;"",K146,""))</f>
        <v/>
      </c>
      <c r="L171" s="651" t="str">
        <f t="shared" si="126"/>
        <v/>
      </c>
      <c r="M171" s="651" t="str">
        <f t="shared" si="126"/>
        <v/>
      </c>
      <c r="N171" s="651" t="str">
        <f t="shared" si="126"/>
        <v/>
      </c>
      <c r="O171" s="651" t="str">
        <f t="shared" si="126"/>
        <v/>
      </c>
      <c r="P171" s="86">
        <f t="shared" si="95"/>
        <v>0</v>
      </c>
      <c r="Q171" s="86">
        <f t="shared" si="96"/>
        <v>0</v>
      </c>
      <c r="R171" s="86">
        <f t="shared" si="118"/>
        <v>0</v>
      </c>
      <c r="S171" s="69">
        <f t="shared" si="119"/>
        <v>0</v>
      </c>
      <c r="T171" s="69">
        <f t="shared" si="120"/>
        <v>0</v>
      </c>
      <c r="X171" s="203"/>
      <c r="Z171" s="203"/>
      <c r="AA171" s="79">
        <v>14</v>
      </c>
      <c r="AB171" s="95" t="str">
        <f t="shared" si="92"/>
        <v>** NOT USED **</v>
      </c>
    </row>
    <row r="172" spans="1:46" outlineLevel="1" x14ac:dyDescent="0.2">
      <c r="B172" s="405">
        <f t="shared" si="87"/>
        <v>0</v>
      </c>
      <c r="C172" s="422">
        <v>15</v>
      </c>
      <c r="D172" s="623" t="str">
        <f t="shared" si="88"/>
        <v>** NOT USED **</v>
      </c>
      <c r="E172" s="840" t="str">
        <f t="shared" si="89"/>
        <v/>
      </c>
      <c r="F172" s="841"/>
      <c r="G172" s="842"/>
      <c r="H172" s="257" t="str">
        <f t="shared" si="90"/>
        <v/>
      </c>
      <c r="I172" s="257" t="str">
        <f t="shared" ref="I172:J172" si="127">IF($D119&lt;&gt;"",I119,IF($D147&lt;&gt;"",I147,""))</f>
        <v/>
      </c>
      <c r="J172" s="651" t="str">
        <f t="shared" si="127"/>
        <v/>
      </c>
      <c r="K172" s="651" t="str">
        <f t="shared" ref="K172:O172" si="128">IF($D119&lt;&gt;"",K119,IF($D147&lt;&gt;"",K147,""))</f>
        <v/>
      </c>
      <c r="L172" s="651" t="str">
        <f t="shared" si="128"/>
        <v/>
      </c>
      <c r="M172" s="651" t="str">
        <f t="shared" si="128"/>
        <v/>
      </c>
      <c r="N172" s="651" t="str">
        <f t="shared" si="128"/>
        <v/>
      </c>
      <c r="O172" s="651" t="str">
        <f t="shared" si="128"/>
        <v/>
      </c>
      <c r="P172" s="86">
        <f t="shared" si="95"/>
        <v>0</v>
      </c>
      <c r="Q172" s="86">
        <f t="shared" si="96"/>
        <v>0</v>
      </c>
      <c r="R172" s="86">
        <f t="shared" si="118"/>
        <v>0</v>
      </c>
      <c r="S172" s="69">
        <f t="shared" si="119"/>
        <v>0</v>
      </c>
      <c r="T172" s="69">
        <f t="shared" si="120"/>
        <v>0</v>
      </c>
      <c r="X172" s="203"/>
      <c r="Z172" s="203"/>
      <c r="AA172" s="79">
        <v>15</v>
      </c>
      <c r="AB172" s="95" t="str">
        <f t="shared" si="92"/>
        <v>** NOT USED **</v>
      </c>
    </row>
    <row r="173" spans="1:46" outlineLevel="1" x14ac:dyDescent="0.2">
      <c r="B173" s="405">
        <f t="shared" si="87"/>
        <v>0</v>
      </c>
      <c r="C173" s="422">
        <v>16</v>
      </c>
      <c r="D173" s="623" t="str">
        <f t="shared" si="88"/>
        <v>** NOT USED **</v>
      </c>
      <c r="E173" s="840" t="str">
        <f t="shared" si="89"/>
        <v/>
      </c>
      <c r="F173" s="841"/>
      <c r="G173" s="842"/>
      <c r="H173" s="257" t="str">
        <f t="shared" si="90"/>
        <v/>
      </c>
      <c r="I173" s="257" t="str">
        <f t="shared" ref="I173:J173" si="129">IF($D120&lt;&gt;"",I120,IF($D148&lt;&gt;"",I148,""))</f>
        <v/>
      </c>
      <c r="J173" s="651" t="str">
        <f t="shared" si="129"/>
        <v/>
      </c>
      <c r="K173" s="651" t="str">
        <f t="shared" ref="K173:O173" si="130">IF($D120&lt;&gt;"",K120,IF($D148&lt;&gt;"",K148,""))</f>
        <v/>
      </c>
      <c r="L173" s="651" t="str">
        <f t="shared" si="130"/>
        <v/>
      </c>
      <c r="M173" s="651" t="str">
        <f t="shared" si="130"/>
        <v/>
      </c>
      <c r="N173" s="651" t="str">
        <f t="shared" si="130"/>
        <v/>
      </c>
      <c r="O173" s="651" t="str">
        <f t="shared" si="130"/>
        <v/>
      </c>
      <c r="P173" s="86">
        <f t="shared" si="95"/>
        <v>0</v>
      </c>
      <c r="Q173" s="86">
        <f t="shared" si="96"/>
        <v>0</v>
      </c>
      <c r="R173" s="86">
        <f t="shared" si="118"/>
        <v>0</v>
      </c>
      <c r="S173" s="69">
        <f t="shared" si="119"/>
        <v>0</v>
      </c>
      <c r="T173" s="69">
        <f t="shared" si="120"/>
        <v>0</v>
      </c>
      <c r="X173" s="203"/>
      <c r="Z173" s="203"/>
      <c r="AA173" s="79">
        <v>16</v>
      </c>
      <c r="AB173" s="95" t="str">
        <f t="shared" si="92"/>
        <v>** NOT USED **</v>
      </c>
    </row>
    <row r="174" spans="1:46" outlineLevel="1" x14ac:dyDescent="0.2">
      <c r="B174" s="405">
        <f t="shared" si="87"/>
        <v>0</v>
      </c>
      <c r="C174" s="422">
        <v>17</v>
      </c>
      <c r="D174" s="623" t="str">
        <f t="shared" si="88"/>
        <v>** NOT USED **</v>
      </c>
      <c r="E174" s="840" t="str">
        <f t="shared" si="89"/>
        <v/>
      </c>
      <c r="F174" s="841"/>
      <c r="G174" s="842"/>
      <c r="H174" s="257" t="str">
        <f t="shared" si="90"/>
        <v/>
      </c>
      <c r="I174" s="257" t="str">
        <f t="shared" ref="I174:J174" si="131">IF($D121&lt;&gt;"",I121,IF($D149&lt;&gt;"",I149,""))</f>
        <v/>
      </c>
      <c r="J174" s="651" t="str">
        <f t="shared" si="131"/>
        <v/>
      </c>
      <c r="K174" s="651" t="str">
        <f t="shared" ref="K174:O174" si="132">IF($D121&lt;&gt;"",K121,IF($D149&lt;&gt;"",K149,""))</f>
        <v/>
      </c>
      <c r="L174" s="651" t="str">
        <f t="shared" si="132"/>
        <v/>
      </c>
      <c r="M174" s="651" t="str">
        <f t="shared" si="132"/>
        <v/>
      </c>
      <c r="N174" s="651" t="str">
        <f t="shared" si="132"/>
        <v/>
      </c>
      <c r="O174" s="651" t="str">
        <f t="shared" si="132"/>
        <v/>
      </c>
      <c r="P174" s="86">
        <f t="shared" si="95"/>
        <v>0</v>
      </c>
      <c r="Q174" s="86">
        <f t="shared" si="96"/>
        <v>0</v>
      </c>
      <c r="R174" s="86">
        <f t="shared" si="118"/>
        <v>0</v>
      </c>
      <c r="S174" s="69">
        <f t="shared" si="119"/>
        <v>0</v>
      </c>
      <c r="T174" s="69">
        <f t="shared" si="120"/>
        <v>0</v>
      </c>
      <c r="X174" s="203"/>
      <c r="Z174" s="203"/>
      <c r="AA174" s="79">
        <v>17</v>
      </c>
      <c r="AB174" s="95" t="str">
        <f t="shared" si="92"/>
        <v>** NOT USED **</v>
      </c>
    </row>
    <row r="175" spans="1:46" outlineLevel="1" x14ac:dyDescent="0.2">
      <c r="B175" s="405">
        <f t="shared" si="87"/>
        <v>0</v>
      </c>
      <c r="C175" s="422">
        <v>18</v>
      </c>
      <c r="D175" s="623" t="str">
        <f t="shared" si="88"/>
        <v>** NOT USED **</v>
      </c>
      <c r="E175" s="840" t="str">
        <f t="shared" si="89"/>
        <v/>
      </c>
      <c r="F175" s="841"/>
      <c r="G175" s="842"/>
      <c r="H175" s="257" t="str">
        <f t="shared" si="90"/>
        <v/>
      </c>
      <c r="I175" s="257" t="str">
        <f t="shared" ref="I175:J175" si="133">IF($D122&lt;&gt;"",I122,IF($D150&lt;&gt;"",I150,""))</f>
        <v/>
      </c>
      <c r="J175" s="651" t="str">
        <f t="shared" si="133"/>
        <v/>
      </c>
      <c r="K175" s="651" t="str">
        <f t="shared" ref="K175:O175" si="134">IF($D122&lt;&gt;"",K122,IF($D150&lt;&gt;"",K150,""))</f>
        <v/>
      </c>
      <c r="L175" s="651" t="str">
        <f t="shared" si="134"/>
        <v/>
      </c>
      <c r="M175" s="651" t="str">
        <f t="shared" si="134"/>
        <v/>
      </c>
      <c r="N175" s="651" t="str">
        <f t="shared" si="134"/>
        <v/>
      </c>
      <c r="O175" s="651" t="str">
        <f t="shared" si="134"/>
        <v/>
      </c>
      <c r="P175" s="86">
        <f t="shared" si="95"/>
        <v>0</v>
      </c>
      <c r="Q175" s="86">
        <f t="shared" si="96"/>
        <v>0</v>
      </c>
      <c r="R175" s="86">
        <f t="shared" si="118"/>
        <v>0</v>
      </c>
      <c r="S175" s="69">
        <f t="shared" si="119"/>
        <v>0</v>
      </c>
      <c r="T175" s="69">
        <f t="shared" si="120"/>
        <v>0</v>
      </c>
      <c r="X175" s="203"/>
      <c r="Z175" s="203"/>
      <c r="AA175" s="79">
        <v>18</v>
      </c>
      <c r="AB175" s="95" t="str">
        <f t="shared" si="92"/>
        <v>** NOT USED **</v>
      </c>
    </row>
    <row r="176" spans="1:46" outlineLevel="1" x14ac:dyDescent="0.2">
      <c r="B176" s="405">
        <f t="shared" si="87"/>
        <v>0</v>
      </c>
      <c r="C176" s="422">
        <v>19</v>
      </c>
      <c r="D176" s="623" t="str">
        <f t="shared" si="88"/>
        <v>** NOT USED **</v>
      </c>
      <c r="E176" s="840" t="str">
        <f t="shared" si="89"/>
        <v/>
      </c>
      <c r="F176" s="841"/>
      <c r="G176" s="842"/>
      <c r="H176" s="257" t="str">
        <f t="shared" si="90"/>
        <v/>
      </c>
      <c r="I176" s="257" t="str">
        <f t="shared" ref="I176:J176" si="135">IF($D123&lt;&gt;"",I123,IF($D151&lt;&gt;"",I151,""))</f>
        <v/>
      </c>
      <c r="J176" s="651" t="str">
        <f t="shared" si="135"/>
        <v/>
      </c>
      <c r="K176" s="651" t="str">
        <f t="shared" ref="K176:O176" si="136">IF($D123&lt;&gt;"",K123,IF($D151&lt;&gt;"",K151,""))</f>
        <v/>
      </c>
      <c r="L176" s="651" t="str">
        <f t="shared" si="136"/>
        <v/>
      </c>
      <c r="M176" s="651" t="str">
        <f t="shared" si="136"/>
        <v/>
      </c>
      <c r="N176" s="651" t="str">
        <f t="shared" si="136"/>
        <v/>
      </c>
      <c r="O176" s="651" t="str">
        <f t="shared" si="136"/>
        <v/>
      </c>
      <c r="P176" s="86">
        <f t="shared" si="95"/>
        <v>0</v>
      </c>
      <c r="Q176" s="86">
        <f t="shared" si="96"/>
        <v>0</v>
      </c>
      <c r="R176" s="86">
        <f t="shared" si="118"/>
        <v>0</v>
      </c>
      <c r="S176" s="69">
        <f t="shared" si="119"/>
        <v>0</v>
      </c>
      <c r="T176" s="69">
        <f t="shared" si="120"/>
        <v>0</v>
      </c>
      <c r="X176" s="203"/>
      <c r="Z176" s="203"/>
      <c r="AA176" s="79">
        <v>19</v>
      </c>
      <c r="AB176" s="95" t="str">
        <f t="shared" si="92"/>
        <v>** NOT USED **</v>
      </c>
    </row>
    <row r="177" spans="1:46" outlineLevel="1" x14ac:dyDescent="0.2">
      <c r="B177" s="405">
        <f t="shared" si="87"/>
        <v>0</v>
      </c>
      <c r="C177" s="422">
        <v>20</v>
      </c>
      <c r="D177" s="623" t="str">
        <f t="shared" si="88"/>
        <v>** NOT USED **</v>
      </c>
      <c r="E177" s="840" t="str">
        <f t="shared" si="89"/>
        <v/>
      </c>
      <c r="F177" s="841"/>
      <c r="G177" s="842"/>
      <c r="H177" s="257" t="str">
        <f t="shared" si="90"/>
        <v/>
      </c>
      <c r="I177" s="257" t="str">
        <f t="shared" ref="I177:J177" si="137">IF($D124&lt;&gt;"",I124,IF($D152&lt;&gt;"",I152,""))</f>
        <v/>
      </c>
      <c r="J177" s="651" t="str">
        <f t="shared" si="137"/>
        <v/>
      </c>
      <c r="K177" s="651" t="str">
        <f t="shared" ref="K177:O177" si="138">IF($D124&lt;&gt;"",K124,IF($D152&lt;&gt;"",K152,""))</f>
        <v/>
      </c>
      <c r="L177" s="651" t="str">
        <f t="shared" si="138"/>
        <v/>
      </c>
      <c r="M177" s="651" t="str">
        <f t="shared" si="138"/>
        <v/>
      </c>
      <c r="N177" s="651" t="str">
        <f t="shared" si="138"/>
        <v/>
      </c>
      <c r="O177" s="651" t="str">
        <f t="shared" si="138"/>
        <v/>
      </c>
      <c r="P177" s="86">
        <f t="shared" si="95"/>
        <v>0</v>
      </c>
      <c r="Q177" s="86">
        <f t="shared" si="96"/>
        <v>0</v>
      </c>
      <c r="R177" s="86">
        <f t="shared" si="118"/>
        <v>0</v>
      </c>
      <c r="S177" s="69">
        <f t="shared" si="119"/>
        <v>0</v>
      </c>
      <c r="T177" s="69">
        <f t="shared" si="120"/>
        <v>0</v>
      </c>
      <c r="X177" s="203"/>
      <c r="Z177" s="203"/>
      <c r="AA177" s="79">
        <v>20</v>
      </c>
      <c r="AB177" s="95" t="str">
        <f t="shared" si="92"/>
        <v>** NOT USED **</v>
      </c>
    </row>
    <row r="178" spans="1:46" outlineLevel="1" x14ac:dyDescent="0.2">
      <c r="A178" s="171"/>
      <c r="B178" s="405">
        <f>SUM(B158:B177)</f>
        <v>0</v>
      </c>
      <c r="D178" s="171"/>
      <c r="E178" s="171"/>
      <c r="F178" s="171"/>
      <c r="G178" s="171"/>
      <c r="I178" s="67" t="s">
        <v>76</v>
      </c>
      <c r="J178" s="86">
        <f>SUM(J158:J177)</f>
        <v>0</v>
      </c>
      <c r="K178" s="86">
        <f t="shared" ref="K178:R178" si="139">SUM(K158:K177)</f>
        <v>0</v>
      </c>
      <c r="L178" s="86">
        <f t="shared" si="139"/>
        <v>0</v>
      </c>
      <c r="M178" s="86">
        <f t="shared" si="139"/>
        <v>0</v>
      </c>
      <c r="N178" s="86">
        <f t="shared" si="139"/>
        <v>0</v>
      </c>
      <c r="O178" s="86">
        <f t="shared" si="139"/>
        <v>0</v>
      </c>
      <c r="P178" s="86">
        <f t="shared" si="139"/>
        <v>0</v>
      </c>
      <c r="Q178" s="86">
        <f t="shared" si="139"/>
        <v>0</v>
      </c>
      <c r="R178" s="86">
        <f t="shared" si="139"/>
        <v>0</v>
      </c>
      <c r="S178" s="171"/>
      <c r="T178" s="171"/>
      <c r="U178" s="171"/>
      <c r="V178" s="171"/>
      <c r="W178" s="592"/>
      <c r="X178" s="13"/>
      <c r="Z178" s="13"/>
      <c r="AA178" s="13"/>
      <c r="AB178" s="5"/>
      <c r="AC178" s="5"/>
      <c r="AD178" s="5"/>
      <c r="AE178" s="5"/>
      <c r="AF178" s="5"/>
      <c r="AG178" s="5"/>
      <c r="AH178" s="5"/>
      <c r="AI178" s="5"/>
      <c r="AJ178" s="5"/>
      <c r="AK178" s="5"/>
      <c r="AL178" s="5"/>
      <c r="AM178" s="5"/>
      <c r="AN178" s="5"/>
      <c r="AO178" s="5"/>
      <c r="AP178" s="5"/>
      <c r="AQ178" s="5"/>
      <c r="AR178" s="5"/>
      <c r="AS178" s="5"/>
      <c r="AT178" s="5"/>
    </row>
    <row r="179" spans="1:46" outlineLevel="1" x14ac:dyDescent="0.2">
      <c r="A179" s="172"/>
      <c r="B179" s="172"/>
      <c r="C179" s="172"/>
      <c r="D179" s="172"/>
      <c r="E179" s="172"/>
      <c r="G179" s="172"/>
      <c r="H179" s="172"/>
      <c r="I179" s="172"/>
      <c r="J179" s="172"/>
      <c r="K179" s="172"/>
      <c r="L179" s="172"/>
      <c r="M179" s="172"/>
      <c r="N179" s="172"/>
      <c r="O179" s="172"/>
      <c r="P179" s="172"/>
      <c r="Q179" s="172"/>
      <c r="R179" s="172"/>
      <c r="X179" s="13"/>
      <c r="Y179" s="13"/>
      <c r="Z179" s="13"/>
      <c r="AA179" s="13"/>
    </row>
    <row r="180" spans="1:46" x14ac:dyDescent="0.2">
      <c r="A180" s="172"/>
      <c r="B180" s="172"/>
      <c r="C180" s="172"/>
      <c r="D180" s="172"/>
      <c r="E180" s="172"/>
      <c r="F180" s="172"/>
      <c r="G180" s="172"/>
      <c r="H180" s="172"/>
      <c r="I180" s="172"/>
      <c r="J180" s="172"/>
      <c r="K180" s="172"/>
      <c r="L180" s="172"/>
      <c r="M180" s="172"/>
      <c r="N180" s="172"/>
      <c r="O180" s="172"/>
      <c r="P180" s="172"/>
      <c r="Q180" s="172"/>
      <c r="R180" s="172"/>
      <c r="X180" s="13"/>
      <c r="Y180" s="13"/>
      <c r="Z180" s="13"/>
      <c r="AA180" s="13"/>
    </row>
    <row r="181" spans="1:46" ht="15.75" x14ac:dyDescent="0.2">
      <c r="A181" s="498"/>
      <c r="B181" s="498"/>
      <c r="C181" s="498"/>
      <c r="D181" s="174" t="s">
        <v>1014</v>
      </c>
      <c r="E181" s="188"/>
      <c r="F181" s="188"/>
      <c r="G181" s="188"/>
      <c r="H181" s="188"/>
      <c r="I181" s="771" t="str">
        <f>IF(C153=0,MsgNotUsed,"")</f>
        <v>** NOT USED **</v>
      </c>
      <c r="J181" s="772"/>
      <c r="K181" s="188"/>
      <c r="L181" s="188"/>
      <c r="M181" s="188"/>
      <c r="N181" s="188"/>
      <c r="O181" s="188"/>
      <c r="P181" s="188"/>
      <c r="Q181" s="188"/>
      <c r="R181" s="188"/>
      <c r="S181" s="188"/>
      <c r="T181" s="188"/>
      <c r="U181" s="188"/>
      <c r="V181" s="188"/>
      <c r="W181" s="188"/>
      <c r="X181" s="13"/>
      <c r="Y181" s="13"/>
      <c r="Z181" s="13"/>
      <c r="AA181" s="13"/>
      <c r="AB181" s="503"/>
      <c r="AC181" s="503"/>
      <c r="AD181" s="503"/>
      <c r="AE181" s="503"/>
      <c r="AF181" s="503"/>
      <c r="AG181" s="503"/>
      <c r="AH181" s="503"/>
      <c r="AI181" s="503"/>
      <c r="AJ181" s="503"/>
      <c r="AK181" s="503"/>
      <c r="AL181" s="503"/>
      <c r="AM181" s="503"/>
      <c r="AN181" s="503"/>
      <c r="AO181" s="503"/>
      <c r="AP181" s="503"/>
      <c r="AQ181" s="503"/>
      <c r="AR181" s="503"/>
      <c r="AS181" s="503"/>
      <c r="AT181" s="503"/>
    </row>
    <row r="182" spans="1:46" x14ac:dyDescent="0.2">
      <c r="A182" s="498"/>
      <c r="B182" s="498"/>
      <c r="C182" s="498"/>
      <c r="D182" s="498"/>
      <c r="E182" s="498"/>
      <c r="F182" s="498"/>
      <c r="G182" s="498"/>
      <c r="H182" s="498"/>
      <c r="I182" s="498"/>
      <c r="J182" s="498"/>
      <c r="K182" s="498"/>
      <c r="L182" s="498"/>
      <c r="M182" s="498"/>
      <c r="N182" s="498"/>
      <c r="O182" s="498"/>
      <c r="P182" s="498"/>
      <c r="Q182" s="498"/>
      <c r="R182" s="498"/>
      <c r="S182" s="503"/>
      <c r="T182" s="503"/>
      <c r="U182" s="503"/>
      <c r="V182" s="503"/>
      <c r="X182" s="13"/>
      <c r="Y182" s="13"/>
      <c r="Z182" s="13"/>
      <c r="AA182" s="13"/>
      <c r="AB182" s="503"/>
      <c r="AC182" s="503"/>
      <c r="AD182" s="503"/>
      <c r="AE182" s="503"/>
      <c r="AF182" s="503"/>
      <c r="AG182" s="503"/>
      <c r="AH182" s="503"/>
      <c r="AI182" s="503"/>
      <c r="AJ182" s="503"/>
      <c r="AK182" s="503"/>
      <c r="AL182" s="503"/>
      <c r="AM182" s="503"/>
      <c r="AN182" s="503"/>
      <c r="AO182" s="503"/>
      <c r="AP182" s="503"/>
      <c r="AQ182" s="503"/>
      <c r="AR182" s="503"/>
      <c r="AS182" s="503"/>
      <c r="AT182" s="503"/>
    </row>
    <row r="183" spans="1:46" x14ac:dyDescent="0.2">
      <c r="A183" s="498"/>
      <c r="B183" s="498"/>
      <c r="C183" s="498"/>
      <c r="D183" s="6" t="s">
        <v>471</v>
      </c>
      <c r="E183" s="498"/>
      <c r="F183" s="498"/>
      <c r="G183" s="498"/>
      <c r="H183" s="498"/>
      <c r="I183" s="498"/>
      <c r="J183" s="498"/>
      <c r="K183" s="498"/>
      <c r="L183" s="498"/>
      <c r="M183" s="498"/>
      <c r="N183" s="498"/>
      <c r="O183" s="498"/>
      <c r="P183" s="498"/>
      <c r="Q183" s="498"/>
      <c r="R183" s="498"/>
      <c r="S183" s="503"/>
      <c r="T183" s="503"/>
      <c r="U183" s="503"/>
      <c r="V183" s="503"/>
      <c r="X183" s="13"/>
      <c r="Y183" s="13"/>
      <c r="Z183" s="13"/>
      <c r="AA183" s="13"/>
      <c r="AB183" s="503"/>
      <c r="AC183" s="503"/>
      <c r="AD183" s="503"/>
      <c r="AE183" s="503"/>
      <c r="AF183" s="503"/>
      <c r="AG183" s="503"/>
      <c r="AH183" s="503"/>
      <c r="AI183" s="503"/>
      <c r="AJ183" s="503"/>
      <c r="AK183" s="503"/>
      <c r="AL183" s="503"/>
      <c r="AM183" s="503"/>
      <c r="AN183" s="503"/>
      <c r="AO183" s="503"/>
      <c r="AP183" s="503"/>
      <c r="AQ183" s="503"/>
      <c r="AR183" s="503"/>
      <c r="AS183" s="503"/>
      <c r="AT183" s="503"/>
    </row>
    <row r="184" spans="1:46" x14ac:dyDescent="0.2">
      <c r="A184" s="498"/>
      <c r="B184" s="498"/>
      <c r="C184" s="498"/>
      <c r="D184" s="498"/>
      <c r="E184" s="498"/>
      <c r="F184" s="498"/>
      <c r="G184" s="498"/>
      <c r="H184" s="498"/>
      <c r="I184" s="498"/>
      <c r="J184" s="498"/>
      <c r="K184" s="498"/>
      <c r="L184" s="498"/>
      <c r="M184" s="498"/>
      <c r="N184" s="498"/>
      <c r="O184" s="498"/>
      <c r="P184" s="498"/>
      <c r="Q184" s="498"/>
      <c r="R184" s="498"/>
      <c r="S184" s="503"/>
      <c r="T184" s="503"/>
      <c r="U184" s="503"/>
      <c r="V184" s="503"/>
      <c r="X184" s="13"/>
      <c r="Y184" s="13"/>
      <c r="Z184" s="13"/>
      <c r="AA184" s="13"/>
      <c r="AB184" s="503"/>
      <c r="AC184" s="503"/>
      <c r="AD184" s="503"/>
      <c r="AE184" s="503"/>
      <c r="AF184" s="503"/>
      <c r="AG184" s="503"/>
      <c r="AH184" s="503"/>
      <c r="AI184" s="503"/>
      <c r="AJ184" s="503"/>
      <c r="AK184" s="503"/>
      <c r="AL184" s="503"/>
      <c r="AM184" s="503"/>
      <c r="AN184" s="503"/>
      <c r="AO184" s="503"/>
      <c r="AP184" s="503"/>
      <c r="AQ184" s="503"/>
      <c r="AR184" s="503"/>
      <c r="AS184" s="503"/>
      <c r="AT184" s="503"/>
    </row>
    <row r="185" spans="1:46" ht="15" x14ac:dyDescent="0.2">
      <c r="A185" s="172"/>
      <c r="B185" s="172"/>
      <c r="C185" s="405">
        <v>1</v>
      </c>
      <c r="D185" s="221" t="str">
        <f>D158</f>
        <v>** NOT USED **</v>
      </c>
      <c r="E185" s="207"/>
      <c r="F185" s="207"/>
      <c r="G185" s="207"/>
      <c r="H185" s="207"/>
      <c r="I185" s="782" t="str">
        <f>IF(D185&lt;&gt;MsgNotUsed,"Co-payment group " &amp; INDEX(CoPayBandMS,C185),"")</f>
        <v/>
      </c>
      <c r="J185" s="782"/>
      <c r="K185" s="207"/>
      <c r="L185" s="207"/>
      <c r="M185" s="207"/>
      <c r="N185" s="207"/>
      <c r="O185" s="207"/>
      <c r="P185" s="207"/>
      <c r="Q185" s="207"/>
      <c r="R185" s="207"/>
      <c r="S185" s="207"/>
      <c r="T185" s="207"/>
      <c r="U185" s="207"/>
      <c r="V185" s="207"/>
      <c r="W185" s="207"/>
      <c r="X185" s="13"/>
      <c r="Y185" s="13"/>
      <c r="Z185" s="13"/>
      <c r="AA185" s="13"/>
    </row>
    <row r="186" spans="1:46" ht="15.75" outlineLevel="1" x14ac:dyDescent="0.2">
      <c r="A186" s="192"/>
      <c r="B186" s="192"/>
      <c r="C186" s="406"/>
      <c r="D186" s="193"/>
      <c r="E186" s="192"/>
      <c r="F186" s="192"/>
      <c r="G186" s="192"/>
      <c r="H186" s="192"/>
      <c r="I186" s="192"/>
      <c r="J186" s="192"/>
      <c r="K186" s="192"/>
      <c r="L186" s="192"/>
      <c r="M186" s="192"/>
      <c r="N186" s="192"/>
      <c r="O186" s="192"/>
      <c r="P186" s="192"/>
      <c r="Q186" s="192"/>
      <c r="R186" s="192"/>
      <c r="S186" s="3"/>
      <c r="T186" s="3"/>
      <c r="U186" s="3"/>
      <c r="V186" s="3"/>
      <c r="W186" s="3"/>
      <c r="X186" s="13"/>
      <c r="Y186" s="13"/>
      <c r="Z186" s="13"/>
      <c r="AA186" s="13"/>
      <c r="AB186" s="3"/>
      <c r="AC186" s="3"/>
      <c r="AD186" s="3"/>
      <c r="AE186" s="3"/>
      <c r="AF186" s="3"/>
      <c r="AG186" s="3"/>
      <c r="AH186" s="3"/>
      <c r="AI186" s="3"/>
      <c r="AJ186" s="3"/>
      <c r="AK186" s="3"/>
      <c r="AL186" s="3"/>
      <c r="AM186" s="3"/>
      <c r="AN186" s="3"/>
      <c r="AO186" s="3"/>
      <c r="AP186" s="3"/>
      <c r="AQ186" s="3"/>
      <c r="AR186" s="3"/>
      <c r="AS186" s="3"/>
      <c r="AT186" s="3"/>
    </row>
    <row r="187" spans="1:46" ht="14.25" customHeight="1" outlineLevel="1" x14ac:dyDescent="0.2">
      <c r="A187" s="6"/>
      <c r="B187" s="220"/>
      <c r="C187" s="407"/>
      <c r="D187" s="15"/>
      <c r="E187" s="87">
        <f>F187-1</f>
        <v>-1</v>
      </c>
      <c r="F187" s="87">
        <f>FirstYear</f>
        <v>0</v>
      </c>
      <c r="G187" s="87">
        <f>F187+1</f>
        <v>1</v>
      </c>
      <c r="H187" s="87">
        <f>G187+1</f>
        <v>2</v>
      </c>
      <c r="I187" s="87">
        <f>H187+1</f>
        <v>3</v>
      </c>
      <c r="J187" s="87">
        <f>I187+1</f>
        <v>4</v>
      </c>
      <c r="K187" s="87">
        <f>J187+1</f>
        <v>5</v>
      </c>
      <c r="L187" s="6"/>
      <c r="M187" s="195"/>
      <c r="N187" s="6"/>
      <c r="O187" s="6"/>
      <c r="P187" s="195"/>
      <c r="Q187" s="6"/>
      <c r="R187" s="6"/>
      <c r="S187" s="1"/>
      <c r="T187" s="1"/>
      <c r="U187" s="1"/>
      <c r="V187" s="4"/>
      <c r="W187" s="571"/>
      <c r="X187" s="13"/>
      <c r="Y187" s="13"/>
      <c r="Z187" s="13"/>
      <c r="AA187" s="13"/>
      <c r="AB187" s="1"/>
      <c r="AC187" s="1"/>
      <c r="AD187" s="1"/>
      <c r="AE187" s="1"/>
      <c r="AF187" s="1"/>
      <c r="AG187" s="1"/>
      <c r="AH187" s="1"/>
      <c r="AI187" s="1"/>
      <c r="AJ187" s="1"/>
      <c r="AK187" s="1"/>
      <c r="AL187" s="1"/>
      <c r="AM187" s="1"/>
      <c r="AN187" s="1"/>
      <c r="AO187" s="1"/>
      <c r="AP187" s="1"/>
      <c r="AQ187" s="1"/>
      <c r="AR187" s="1"/>
      <c r="AS187" s="1"/>
      <c r="AT187" s="1"/>
    </row>
    <row r="188" spans="1:46" outlineLevel="1" x14ac:dyDescent="0.2">
      <c r="A188" s="6"/>
      <c r="B188" s="220"/>
      <c r="C188" s="407"/>
      <c r="D188" s="8" t="s">
        <v>132</v>
      </c>
      <c r="E188" s="53">
        <f>INDEX(ScriptsMSAdditional,$C185) * INDEX(NamesMSAdditional,$C185,3)</f>
        <v>0</v>
      </c>
      <c r="F188" s="53">
        <f t="shared" ref="F188:K188" si="140">IF(E188="","",E188*(1+E189))</f>
        <v>0</v>
      </c>
      <c r="G188" s="53">
        <f t="shared" si="140"/>
        <v>0</v>
      </c>
      <c r="H188" s="53">
        <f t="shared" si="140"/>
        <v>0</v>
      </c>
      <c r="I188" s="53">
        <f t="shared" si="140"/>
        <v>0</v>
      </c>
      <c r="J188" s="53">
        <f>IF(I188="","",I188*(1+I189))</f>
        <v>0</v>
      </c>
      <c r="K188" s="53">
        <f t="shared" si="140"/>
        <v>0</v>
      </c>
      <c r="L188" s="6"/>
      <c r="M188" s="19" t="s">
        <v>292</v>
      </c>
      <c r="N188" s="6"/>
      <c r="O188" s="195"/>
      <c r="P188" s="6"/>
      <c r="Q188" s="6"/>
      <c r="R188" s="195"/>
      <c r="S188" s="1"/>
      <c r="T188" s="1"/>
      <c r="U188" s="1"/>
      <c r="V188" s="4"/>
      <c r="W188" s="571"/>
      <c r="X188" s="13"/>
      <c r="Y188" s="13"/>
      <c r="Z188" s="13"/>
      <c r="AA188" s="13"/>
      <c r="AB188" s="1"/>
      <c r="AC188" s="1"/>
      <c r="AD188" s="1"/>
      <c r="AE188" s="1"/>
      <c r="AF188" s="1"/>
      <c r="AG188" s="1"/>
      <c r="AH188" s="1"/>
      <c r="AI188" s="1"/>
      <c r="AJ188" s="1"/>
      <c r="AK188" s="1"/>
      <c r="AL188" s="1"/>
      <c r="AM188" s="1"/>
      <c r="AN188" s="1"/>
      <c r="AO188" s="1"/>
      <c r="AP188" s="1"/>
      <c r="AQ188" s="1"/>
      <c r="AR188" s="1"/>
      <c r="AS188" s="1"/>
      <c r="AT188" s="1"/>
    </row>
    <row r="189" spans="1:46" outlineLevel="1" x14ac:dyDescent="0.2">
      <c r="A189" s="6"/>
      <c r="B189" s="220"/>
      <c r="C189" s="407"/>
      <c r="D189" s="21" t="s">
        <v>27</v>
      </c>
      <c r="E189" s="49"/>
      <c r="F189" s="49"/>
      <c r="G189" s="49"/>
      <c r="H189" s="49"/>
      <c r="I189" s="49"/>
      <c r="J189" s="49"/>
      <c r="K189" s="48"/>
      <c r="L189" s="6"/>
      <c r="M189" s="838"/>
      <c r="N189" s="839"/>
      <c r="O189" s="839"/>
      <c r="P189" s="6"/>
      <c r="Q189" s="6"/>
      <c r="R189" s="6"/>
      <c r="S189" s="1"/>
      <c r="T189" s="1"/>
      <c r="U189" s="1"/>
      <c r="V189" s="4"/>
      <c r="W189" s="571"/>
      <c r="X189" s="13"/>
      <c r="Y189" s="13"/>
      <c r="Z189" s="13"/>
      <c r="AA189" s="13"/>
      <c r="AB189" s="1"/>
      <c r="AC189" s="1"/>
      <c r="AD189" s="1"/>
      <c r="AE189" s="1"/>
      <c r="AF189" s="1"/>
      <c r="AG189" s="1"/>
      <c r="AH189" s="1"/>
      <c r="AI189" s="1"/>
      <c r="AJ189" s="1"/>
      <c r="AK189" s="1"/>
      <c r="AL189" s="1"/>
      <c r="AM189" s="1"/>
      <c r="AN189" s="1"/>
      <c r="AO189" s="1"/>
      <c r="AP189" s="1"/>
      <c r="AQ189" s="1"/>
      <c r="AR189" s="1"/>
      <c r="AS189" s="1"/>
      <c r="AT189" s="1"/>
    </row>
    <row r="190" spans="1:46" outlineLevel="1" x14ac:dyDescent="0.2">
      <c r="A190" s="6"/>
      <c r="B190" s="220"/>
      <c r="C190" s="407"/>
      <c r="D190" s="21" t="s">
        <v>34</v>
      </c>
      <c r="E190" s="49"/>
      <c r="F190" s="49"/>
      <c r="G190" s="49"/>
      <c r="H190" s="49"/>
      <c r="I190" s="49"/>
      <c r="J190" s="49"/>
      <c r="K190" s="49"/>
      <c r="L190" s="6"/>
      <c r="M190" s="838"/>
      <c r="N190" s="839"/>
      <c r="O190" s="839"/>
      <c r="P190" s="6"/>
      <c r="Q190" s="6"/>
      <c r="R190" s="6"/>
      <c r="S190" s="1"/>
      <c r="T190" s="1"/>
      <c r="U190" s="1"/>
      <c r="V190" s="4"/>
      <c r="W190" s="571"/>
      <c r="X190" s="13"/>
      <c r="Y190" s="13"/>
      <c r="Z190" s="13"/>
      <c r="AA190" s="13"/>
      <c r="AB190" s="1"/>
      <c r="AC190" s="1"/>
      <c r="AD190" s="1"/>
      <c r="AE190" s="1"/>
      <c r="AF190" s="1"/>
      <c r="AG190" s="1"/>
      <c r="AH190" s="1"/>
      <c r="AI190" s="1"/>
      <c r="AJ190" s="1"/>
      <c r="AK190" s="1"/>
      <c r="AL190" s="1"/>
      <c r="AM190" s="1"/>
      <c r="AN190" s="1"/>
      <c r="AO190" s="1"/>
      <c r="AP190" s="1"/>
      <c r="AQ190" s="1"/>
      <c r="AR190" s="1"/>
      <c r="AS190" s="1"/>
      <c r="AT190" s="1"/>
    </row>
    <row r="191" spans="1:46" outlineLevel="1" x14ac:dyDescent="0.2">
      <c r="A191" s="6"/>
      <c r="B191" s="220"/>
      <c r="C191" s="407"/>
      <c r="D191" s="21" t="s">
        <v>923</v>
      </c>
      <c r="E191" s="49"/>
      <c r="F191" s="49"/>
      <c r="G191" s="49"/>
      <c r="H191" s="49"/>
      <c r="I191" s="49"/>
      <c r="J191" s="49"/>
      <c r="K191" s="49"/>
      <c r="L191" s="6"/>
      <c r="M191" s="838"/>
      <c r="N191" s="839"/>
      <c r="O191" s="839"/>
      <c r="P191" s="6"/>
      <c r="Q191" s="6"/>
      <c r="R191" s="6"/>
      <c r="S191" s="1"/>
      <c r="T191" s="1"/>
      <c r="U191" s="1"/>
      <c r="V191" s="4"/>
      <c r="W191" s="571"/>
      <c r="X191" s="13"/>
      <c r="Y191" s="13"/>
      <c r="Z191" s="13"/>
      <c r="AA191" s="13"/>
      <c r="AB191" s="1"/>
      <c r="AC191" s="1"/>
      <c r="AD191" s="1"/>
      <c r="AE191" s="1"/>
      <c r="AF191" s="1"/>
      <c r="AG191" s="1"/>
      <c r="AH191" s="1"/>
      <c r="AI191" s="1"/>
      <c r="AJ191" s="1"/>
      <c r="AK191" s="1"/>
      <c r="AL191" s="1"/>
      <c r="AM191" s="1"/>
      <c r="AN191" s="1"/>
      <c r="AO191" s="1"/>
      <c r="AP191" s="1"/>
      <c r="AQ191" s="1"/>
      <c r="AR191" s="1"/>
      <c r="AS191" s="1"/>
      <c r="AT191" s="1"/>
    </row>
    <row r="192" spans="1:46" outlineLevel="1" x14ac:dyDescent="0.2">
      <c r="A192" s="197"/>
      <c r="B192" s="264"/>
      <c r="C192" s="408"/>
      <c r="D192" s="23" t="s">
        <v>125</v>
      </c>
      <c r="E192" s="53">
        <v>0</v>
      </c>
      <c r="F192" s="53">
        <f t="shared" ref="F192:K192" si="141">F194-F193</f>
        <v>0</v>
      </c>
      <c r="G192" s="53">
        <f t="shared" si="141"/>
        <v>0</v>
      </c>
      <c r="H192" s="53">
        <f t="shared" si="141"/>
        <v>0</v>
      </c>
      <c r="I192" s="53">
        <f t="shared" si="141"/>
        <v>0</v>
      </c>
      <c r="J192" s="53">
        <f t="shared" si="141"/>
        <v>0</v>
      </c>
      <c r="K192" s="53">
        <f t="shared" si="141"/>
        <v>0</v>
      </c>
      <c r="L192" s="197"/>
      <c r="M192" s="197"/>
      <c r="N192" s="197"/>
      <c r="O192" s="197"/>
      <c r="P192" s="197"/>
      <c r="Q192" s="197"/>
      <c r="R192" s="197"/>
      <c r="S192" s="2"/>
      <c r="T192" s="2"/>
      <c r="U192" s="2"/>
      <c r="V192" s="10"/>
      <c r="W192" s="10"/>
      <c r="X192" s="13"/>
      <c r="Y192" s="13"/>
      <c r="Z192" s="13"/>
      <c r="AA192" s="13"/>
      <c r="AB192" s="2"/>
      <c r="AC192" s="2"/>
      <c r="AD192" s="2"/>
      <c r="AE192" s="2"/>
      <c r="AF192" s="2"/>
      <c r="AG192" s="2"/>
      <c r="AH192" s="2"/>
      <c r="AI192" s="2"/>
      <c r="AJ192" s="2"/>
      <c r="AK192" s="2"/>
      <c r="AL192" s="2"/>
      <c r="AM192" s="2"/>
      <c r="AN192" s="2"/>
      <c r="AO192" s="2"/>
      <c r="AP192" s="2"/>
      <c r="AQ192" s="2"/>
      <c r="AR192" s="2"/>
      <c r="AS192" s="2"/>
      <c r="AT192" s="2"/>
    </row>
    <row r="193" spans="1:46" outlineLevel="1" x14ac:dyDescent="0.2">
      <c r="A193" s="197"/>
      <c r="B193" s="264"/>
      <c r="C193" s="408"/>
      <c r="D193" s="23" t="s">
        <v>126</v>
      </c>
      <c r="E193" s="53">
        <v>0</v>
      </c>
      <c r="F193" s="53">
        <f t="shared" ref="F193:K193" si="142">ROUND(F194*$T$158,0)</f>
        <v>0</v>
      </c>
      <c r="G193" s="53">
        <f t="shared" si="142"/>
        <v>0</v>
      </c>
      <c r="H193" s="53">
        <f t="shared" si="142"/>
        <v>0</v>
      </c>
      <c r="I193" s="53">
        <f t="shared" si="142"/>
        <v>0</v>
      </c>
      <c r="J193" s="53">
        <f t="shared" si="142"/>
        <v>0</v>
      </c>
      <c r="K193" s="53">
        <f t="shared" si="142"/>
        <v>0</v>
      </c>
      <c r="L193" s="197"/>
      <c r="M193" s="197"/>
      <c r="N193" s="197"/>
      <c r="O193" s="197"/>
      <c r="P193" s="197"/>
      <c r="Q193" s="197"/>
      <c r="R193" s="197"/>
      <c r="S193" s="2"/>
      <c r="T193" s="2"/>
      <c r="U193" s="2"/>
      <c r="V193" s="10"/>
      <c r="W193" s="10"/>
      <c r="X193" s="13"/>
      <c r="Y193" s="13"/>
      <c r="Z193" s="13"/>
      <c r="AA193" s="13"/>
      <c r="AB193" s="2"/>
      <c r="AC193" s="2"/>
      <c r="AD193" s="2"/>
      <c r="AE193" s="2"/>
      <c r="AF193" s="2"/>
      <c r="AG193" s="2"/>
      <c r="AH193" s="2"/>
      <c r="AI193" s="2"/>
      <c r="AJ193" s="2"/>
      <c r="AK193" s="2"/>
      <c r="AL193" s="2"/>
      <c r="AM193" s="2"/>
      <c r="AN193" s="2"/>
      <c r="AO193" s="2"/>
      <c r="AP193" s="2"/>
      <c r="AQ193" s="2"/>
      <c r="AR193" s="2"/>
      <c r="AS193" s="2"/>
      <c r="AT193" s="2"/>
    </row>
    <row r="194" spans="1:46" outlineLevel="1" x14ac:dyDescent="0.2">
      <c r="A194" s="197"/>
      <c r="B194" s="264"/>
      <c r="C194" s="408"/>
      <c r="D194" s="117" t="s">
        <v>918</v>
      </c>
      <c r="E194" s="54">
        <f t="shared" ref="E194:K194" si="143">IF(E188="","",E191*E190*E188)</f>
        <v>0</v>
      </c>
      <c r="F194" s="54">
        <f t="shared" si="143"/>
        <v>0</v>
      </c>
      <c r="G194" s="54">
        <f t="shared" si="143"/>
        <v>0</v>
      </c>
      <c r="H194" s="54">
        <f t="shared" si="143"/>
        <v>0</v>
      </c>
      <c r="I194" s="54">
        <f t="shared" si="143"/>
        <v>0</v>
      </c>
      <c r="J194" s="54">
        <f t="shared" si="143"/>
        <v>0</v>
      </c>
      <c r="K194" s="54">
        <f t="shared" si="143"/>
        <v>0</v>
      </c>
      <c r="L194" s="197"/>
      <c r="M194" s="197"/>
      <c r="N194" s="197"/>
      <c r="O194" s="197"/>
      <c r="P194" s="197"/>
      <c r="Q194" s="197"/>
      <c r="R194" s="197"/>
      <c r="S194" s="2"/>
      <c r="T194" s="2"/>
      <c r="U194" s="2"/>
      <c r="V194" s="10"/>
      <c r="W194" s="10"/>
      <c r="X194" s="13"/>
      <c r="Y194" s="13"/>
      <c r="Z194" s="13"/>
      <c r="AA194" s="13"/>
      <c r="AB194" s="2"/>
      <c r="AC194" s="2"/>
      <c r="AD194" s="2"/>
      <c r="AE194" s="2"/>
      <c r="AF194" s="2"/>
      <c r="AG194" s="2"/>
      <c r="AH194" s="2"/>
      <c r="AI194" s="2"/>
      <c r="AJ194" s="2"/>
      <c r="AK194" s="2"/>
      <c r="AL194" s="2"/>
      <c r="AM194" s="2"/>
      <c r="AN194" s="2"/>
      <c r="AO194" s="2"/>
      <c r="AP194" s="2"/>
      <c r="AQ194" s="2"/>
      <c r="AR194" s="2"/>
      <c r="AS194" s="2"/>
      <c r="AT194" s="2"/>
    </row>
    <row r="195" spans="1:46" outlineLevel="1" x14ac:dyDescent="0.2">
      <c r="A195" s="6"/>
      <c r="B195" s="220"/>
      <c r="C195" s="407"/>
      <c r="D195" s="6"/>
      <c r="E195" s="6"/>
      <c r="F195" s="6"/>
      <c r="G195" s="222"/>
      <c r="H195" s="222"/>
      <c r="I195" s="222"/>
      <c r="J195" s="6"/>
      <c r="K195" s="6"/>
      <c r="L195" s="6"/>
      <c r="M195" s="6"/>
      <c r="N195" s="6"/>
      <c r="O195" s="6"/>
      <c r="P195" s="6"/>
      <c r="Q195" s="6"/>
      <c r="R195" s="6"/>
      <c r="S195" s="1"/>
      <c r="T195" s="1"/>
      <c r="U195" s="1"/>
      <c r="V195" s="4"/>
      <c r="W195" s="571"/>
      <c r="X195" s="13"/>
      <c r="Y195" s="13"/>
      <c r="Z195" s="13"/>
      <c r="AA195" s="13"/>
      <c r="AB195" s="1"/>
      <c r="AC195" s="1"/>
      <c r="AD195" s="1"/>
      <c r="AE195" s="1"/>
      <c r="AF195" s="1"/>
      <c r="AG195" s="1"/>
      <c r="AH195" s="1"/>
      <c r="AI195" s="1"/>
      <c r="AJ195" s="1"/>
      <c r="AK195" s="1"/>
      <c r="AL195" s="1"/>
      <c r="AM195" s="1"/>
      <c r="AN195" s="1"/>
      <c r="AO195" s="1"/>
      <c r="AP195" s="1"/>
      <c r="AQ195" s="1"/>
      <c r="AR195" s="1"/>
      <c r="AS195" s="1"/>
      <c r="AT195" s="1"/>
    </row>
    <row r="196" spans="1:46" x14ac:dyDescent="0.2">
      <c r="A196" s="6"/>
      <c r="B196" s="220"/>
      <c r="C196" s="407"/>
      <c r="D196" s="6"/>
      <c r="E196" s="6"/>
      <c r="F196" s="6"/>
      <c r="G196" s="6"/>
      <c r="H196" s="6"/>
      <c r="I196" s="6"/>
      <c r="J196" s="6"/>
      <c r="K196" s="6"/>
      <c r="L196" s="6"/>
      <c r="M196" s="6"/>
      <c r="N196" s="6"/>
      <c r="O196" s="6"/>
      <c r="P196" s="6"/>
      <c r="Q196" s="6"/>
      <c r="R196" s="6"/>
      <c r="S196" s="1"/>
      <c r="T196" s="1"/>
      <c r="U196" s="1"/>
      <c r="V196" s="4"/>
      <c r="W196" s="571"/>
      <c r="X196" s="13"/>
      <c r="Y196" s="13"/>
      <c r="Z196" s="13"/>
      <c r="AA196" s="13"/>
      <c r="AB196" s="1"/>
      <c r="AC196" s="1"/>
      <c r="AD196" s="1"/>
      <c r="AE196" s="1"/>
      <c r="AF196" s="1"/>
      <c r="AG196" s="1"/>
      <c r="AH196" s="1"/>
      <c r="AI196" s="1"/>
      <c r="AJ196" s="1"/>
      <c r="AK196" s="1"/>
      <c r="AL196" s="1"/>
      <c r="AM196" s="1"/>
      <c r="AN196" s="1"/>
      <c r="AO196" s="1"/>
      <c r="AP196" s="1"/>
      <c r="AQ196" s="1"/>
      <c r="AR196" s="1"/>
      <c r="AS196" s="1"/>
      <c r="AT196" s="1"/>
    </row>
    <row r="197" spans="1:46" ht="15" x14ac:dyDescent="0.2">
      <c r="A197" s="172"/>
      <c r="B197" s="172"/>
      <c r="C197" s="405">
        <v>2</v>
      </c>
      <c r="D197" s="221" t="str">
        <f>D159</f>
        <v>** NOT USED **</v>
      </c>
      <c r="E197" s="207"/>
      <c r="F197" s="207"/>
      <c r="G197" s="207"/>
      <c r="H197" s="207"/>
      <c r="I197" s="782" t="str">
        <f>IF(D197&lt;&gt;MsgNotUsed,"Co-payment group " &amp; INDEX(CoPayBandMS,C197),"")</f>
        <v/>
      </c>
      <c r="J197" s="782"/>
      <c r="K197" s="207"/>
      <c r="L197" s="207"/>
      <c r="M197" s="207"/>
      <c r="N197" s="207"/>
      <c r="O197" s="207"/>
      <c r="P197" s="207"/>
      <c r="Q197" s="207"/>
      <c r="R197" s="207"/>
      <c r="S197" s="207"/>
      <c r="T197" s="207"/>
      <c r="U197" s="207"/>
      <c r="V197" s="207"/>
      <c r="W197" s="207"/>
      <c r="X197" s="13"/>
      <c r="Y197" s="13"/>
      <c r="Z197" s="13"/>
      <c r="AA197" s="13"/>
    </row>
    <row r="198" spans="1:46" ht="15.75" outlineLevel="1" x14ac:dyDescent="0.2">
      <c r="A198" s="192"/>
      <c r="B198" s="192"/>
      <c r="C198" s="406"/>
      <c r="D198" s="193"/>
      <c r="E198" s="192"/>
      <c r="F198" s="192"/>
      <c r="G198" s="192"/>
      <c r="H198" s="192"/>
      <c r="I198" s="192"/>
      <c r="J198" s="192"/>
      <c r="K198" s="192"/>
      <c r="L198" s="192"/>
      <c r="M198" s="192"/>
      <c r="N198" s="192"/>
      <c r="O198" s="192"/>
      <c r="P198" s="192"/>
      <c r="Q198" s="192"/>
      <c r="R198" s="192"/>
      <c r="S198" s="3"/>
      <c r="T198" s="3"/>
      <c r="U198" s="3"/>
      <c r="V198" s="3"/>
      <c r="W198" s="3"/>
      <c r="X198" s="13"/>
      <c r="Y198" s="13"/>
      <c r="Z198" s="13"/>
      <c r="AA198" s="13"/>
      <c r="AB198" s="3"/>
      <c r="AC198" s="3"/>
      <c r="AD198" s="3"/>
      <c r="AE198" s="3"/>
      <c r="AF198" s="3"/>
      <c r="AG198" s="3"/>
      <c r="AH198" s="3"/>
      <c r="AI198" s="3"/>
      <c r="AJ198" s="3"/>
      <c r="AK198" s="3"/>
      <c r="AL198" s="3"/>
      <c r="AM198" s="3"/>
      <c r="AN198" s="3"/>
      <c r="AO198" s="3"/>
      <c r="AP198" s="3"/>
      <c r="AQ198" s="3"/>
      <c r="AR198" s="3"/>
      <c r="AS198" s="3"/>
      <c r="AT198" s="3"/>
    </row>
    <row r="199" spans="1:46" ht="14.25" customHeight="1" outlineLevel="1" x14ac:dyDescent="0.2">
      <c r="A199" s="6"/>
      <c r="B199" s="220"/>
      <c r="C199" s="407"/>
      <c r="D199" s="15"/>
      <c r="E199" s="87">
        <f>F199-1</f>
        <v>-1</v>
      </c>
      <c r="F199" s="87">
        <f>FirstYear</f>
        <v>0</v>
      </c>
      <c r="G199" s="87">
        <f>F199+1</f>
        <v>1</v>
      </c>
      <c r="H199" s="87">
        <f>G199+1</f>
        <v>2</v>
      </c>
      <c r="I199" s="87">
        <f>H199+1</f>
        <v>3</v>
      </c>
      <c r="J199" s="87">
        <f>I199+1</f>
        <v>4</v>
      </c>
      <c r="K199" s="87">
        <f>J199+1</f>
        <v>5</v>
      </c>
      <c r="L199" s="6"/>
      <c r="M199" s="195"/>
      <c r="N199" s="6"/>
      <c r="O199" s="6"/>
      <c r="P199" s="195"/>
      <c r="Q199" s="6"/>
      <c r="R199" s="6"/>
      <c r="S199" s="1"/>
      <c r="T199" s="1"/>
      <c r="U199" s="1"/>
      <c r="V199" s="4"/>
      <c r="W199" s="571"/>
      <c r="X199" s="13"/>
      <c r="Y199" s="13"/>
      <c r="Z199" s="13"/>
      <c r="AA199" s="13"/>
      <c r="AB199" s="1"/>
      <c r="AC199" s="1"/>
      <c r="AD199" s="1"/>
      <c r="AE199" s="1"/>
      <c r="AF199" s="1"/>
      <c r="AG199" s="1"/>
      <c r="AH199" s="1"/>
      <c r="AI199" s="1"/>
      <c r="AJ199" s="1"/>
      <c r="AK199" s="1"/>
      <c r="AL199" s="1"/>
      <c r="AM199" s="1"/>
      <c r="AN199" s="1"/>
      <c r="AO199" s="1"/>
      <c r="AP199" s="1"/>
      <c r="AQ199" s="1"/>
      <c r="AR199" s="1"/>
      <c r="AS199" s="1"/>
      <c r="AT199" s="1"/>
    </row>
    <row r="200" spans="1:46" outlineLevel="1" x14ac:dyDescent="0.2">
      <c r="A200" s="6"/>
      <c r="B200" s="220"/>
      <c r="C200" s="407"/>
      <c r="D200" s="8" t="s">
        <v>132</v>
      </c>
      <c r="E200" s="53">
        <f>INDEX(ScriptsMSAdditional,$C197) * INDEX(NamesMSAdditional,$C197,3)</f>
        <v>0</v>
      </c>
      <c r="F200" s="53">
        <f t="shared" ref="F200:K200" si="144">IF(E200="","",E200*(1+E201))</f>
        <v>0</v>
      </c>
      <c r="G200" s="53">
        <f t="shared" si="144"/>
        <v>0</v>
      </c>
      <c r="H200" s="53">
        <f t="shared" si="144"/>
        <v>0</v>
      </c>
      <c r="I200" s="53">
        <f t="shared" si="144"/>
        <v>0</v>
      </c>
      <c r="J200" s="53">
        <f>IF(I200="","",I200*(1+I201))</f>
        <v>0</v>
      </c>
      <c r="K200" s="53">
        <f t="shared" si="144"/>
        <v>0</v>
      </c>
      <c r="L200" s="6"/>
      <c r="M200" s="19" t="s">
        <v>292</v>
      </c>
      <c r="N200" s="6"/>
      <c r="O200" s="195"/>
      <c r="P200" s="6"/>
      <c r="Q200" s="6"/>
      <c r="R200" s="195"/>
      <c r="S200" s="1"/>
      <c r="T200" s="1"/>
      <c r="U200" s="1"/>
      <c r="V200" s="4"/>
      <c r="W200" s="571"/>
      <c r="X200" s="13"/>
      <c r="Y200" s="13"/>
      <c r="Z200" s="13"/>
      <c r="AA200" s="13"/>
      <c r="AB200" s="1"/>
      <c r="AC200" s="1"/>
      <c r="AD200" s="1"/>
      <c r="AE200" s="1"/>
      <c r="AF200" s="1"/>
      <c r="AG200" s="1"/>
      <c r="AH200" s="1"/>
      <c r="AI200" s="1"/>
      <c r="AJ200" s="1"/>
      <c r="AK200" s="1"/>
      <c r="AL200" s="1"/>
      <c r="AM200" s="1"/>
      <c r="AN200" s="1"/>
      <c r="AO200" s="1"/>
      <c r="AP200" s="1"/>
      <c r="AQ200" s="1"/>
      <c r="AR200" s="1"/>
      <c r="AS200" s="1"/>
      <c r="AT200" s="1"/>
    </row>
    <row r="201" spans="1:46" outlineLevel="1" x14ac:dyDescent="0.2">
      <c r="A201" s="6"/>
      <c r="B201" s="220"/>
      <c r="C201" s="407"/>
      <c r="D201" s="21" t="s">
        <v>27</v>
      </c>
      <c r="E201" s="49"/>
      <c r="F201" s="49"/>
      <c r="G201" s="49"/>
      <c r="H201" s="49"/>
      <c r="I201" s="49"/>
      <c r="J201" s="49"/>
      <c r="K201" s="48"/>
      <c r="L201" s="6"/>
      <c r="M201" s="838"/>
      <c r="N201" s="839"/>
      <c r="O201" s="839"/>
      <c r="P201" s="6"/>
      <c r="Q201" s="6"/>
      <c r="R201" s="6"/>
      <c r="S201" s="1"/>
      <c r="T201" s="1"/>
      <c r="U201" s="1"/>
      <c r="V201" s="4"/>
      <c r="W201" s="571"/>
      <c r="X201" s="13"/>
      <c r="Y201" s="13"/>
      <c r="Z201" s="13"/>
      <c r="AA201" s="13"/>
      <c r="AB201" s="1"/>
      <c r="AC201" s="1"/>
      <c r="AD201" s="1"/>
      <c r="AE201" s="1"/>
      <c r="AF201" s="1"/>
      <c r="AG201" s="1"/>
      <c r="AH201" s="1"/>
      <c r="AI201" s="1"/>
      <c r="AJ201" s="1"/>
      <c r="AK201" s="1"/>
      <c r="AL201" s="1"/>
      <c r="AM201" s="1"/>
      <c r="AN201" s="1"/>
      <c r="AO201" s="1"/>
      <c r="AP201" s="1"/>
      <c r="AQ201" s="1"/>
      <c r="AR201" s="1"/>
      <c r="AS201" s="1"/>
      <c r="AT201" s="1"/>
    </row>
    <row r="202" spans="1:46" outlineLevel="1" x14ac:dyDescent="0.2">
      <c r="A202" s="6"/>
      <c r="B202" s="220"/>
      <c r="C202" s="407"/>
      <c r="D202" s="21" t="s">
        <v>34</v>
      </c>
      <c r="E202" s="49"/>
      <c r="F202" s="49"/>
      <c r="G202" s="49"/>
      <c r="H202" s="49"/>
      <c r="I202" s="49"/>
      <c r="J202" s="49"/>
      <c r="K202" s="49"/>
      <c r="L202" s="6"/>
      <c r="M202" s="838"/>
      <c r="N202" s="839"/>
      <c r="O202" s="839"/>
      <c r="P202" s="6"/>
      <c r="Q202" s="6"/>
      <c r="R202" s="6"/>
      <c r="S202" s="1"/>
      <c r="T202" s="1"/>
      <c r="U202" s="1"/>
      <c r="V202" s="4"/>
      <c r="W202" s="571"/>
      <c r="X202" s="13"/>
      <c r="Y202" s="13"/>
      <c r="Z202" s="13"/>
      <c r="AA202" s="13"/>
      <c r="AB202" s="1"/>
      <c r="AC202" s="1"/>
      <c r="AD202" s="1"/>
      <c r="AE202" s="1"/>
      <c r="AF202" s="1"/>
      <c r="AG202" s="1"/>
      <c r="AH202" s="1"/>
      <c r="AI202" s="1"/>
      <c r="AJ202" s="1"/>
      <c r="AK202" s="1"/>
      <c r="AL202" s="1"/>
      <c r="AM202" s="1"/>
      <c r="AN202" s="1"/>
      <c r="AO202" s="1"/>
      <c r="AP202" s="1"/>
      <c r="AQ202" s="1"/>
      <c r="AR202" s="1"/>
      <c r="AS202" s="1"/>
      <c r="AT202" s="1"/>
    </row>
    <row r="203" spans="1:46" outlineLevel="1" x14ac:dyDescent="0.2">
      <c r="A203" s="6"/>
      <c r="B203" s="220"/>
      <c r="C203" s="407"/>
      <c r="D203" s="21" t="s">
        <v>923</v>
      </c>
      <c r="E203" s="49"/>
      <c r="F203" s="49"/>
      <c r="G203" s="49"/>
      <c r="H203" s="49"/>
      <c r="I203" s="49"/>
      <c r="J203" s="49"/>
      <c r="K203" s="49"/>
      <c r="L203" s="6"/>
      <c r="M203" s="838"/>
      <c r="N203" s="839"/>
      <c r="O203" s="839"/>
      <c r="P203" s="6"/>
      <c r="Q203" s="6"/>
      <c r="R203" s="6"/>
      <c r="S203" s="1"/>
      <c r="T203" s="1"/>
      <c r="U203" s="1"/>
      <c r="V203" s="4"/>
      <c r="W203" s="571"/>
      <c r="X203" s="13"/>
      <c r="Y203" s="13"/>
      <c r="Z203" s="13"/>
      <c r="AA203" s="13"/>
      <c r="AB203" s="1"/>
      <c r="AC203" s="1"/>
      <c r="AD203" s="1"/>
      <c r="AE203" s="1"/>
      <c r="AF203" s="1"/>
      <c r="AG203" s="1"/>
      <c r="AH203" s="1"/>
      <c r="AI203" s="1"/>
      <c r="AJ203" s="1"/>
      <c r="AK203" s="1"/>
      <c r="AL203" s="1"/>
      <c r="AM203" s="1"/>
      <c r="AN203" s="1"/>
      <c r="AO203" s="1"/>
      <c r="AP203" s="1"/>
      <c r="AQ203" s="1"/>
      <c r="AR203" s="1"/>
      <c r="AS203" s="1"/>
      <c r="AT203" s="1"/>
    </row>
    <row r="204" spans="1:46" outlineLevel="1" x14ac:dyDescent="0.2">
      <c r="A204" s="197"/>
      <c r="B204" s="264"/>
      <c r="C204" s="408"/>
      <c r="D204" s="23" t="s">
        <v>125</v>
      </c>
      <c r="E204" s="53">
        <v>0</v>
      </c>
      <c r="F204" s="53">
        <f t="shared" ref="F204:K204" si="145">F206-F205</f>
        <v>0</v>
      </c>
      <c r="G204" s="53">
        <f t="shared" si="145"/>
        <v>0</v>
      </c>
      <c r="H204" s="53">
        <f t="shared" si="145"/>
        <v>0</v>
      </c>
      <c r="I204" s="53">
        <f t="shared" si="145"/>
        <v>0</v>
      </c>
      <c r="J204" s="53">
        <f t="shared" si="145"/>
        <v>0</v>
      </c>
      <c r="K204" s="53">
        <f t="shared" si="145"/>
        <v>0</v>
      </c>
      <c r="L204" s="197"/>
      <c r="M204" s="197"/>
      <c r="N204" s="197"/>
      <c r="O204" s="197"/>
      <c r="P204" s="197"/>
      <c r="Q204" s="197"/>
      <c r="R204" s="197"/>
      <c r="S204" s="2"/>
      <c r="T204" s="2"/>
      <c r="U204" s="2"/>
      <c r="V204" s="10"/>
      <c r="W204" s="10"/>
      <c r="X204" s="13"/>
      <c r="Y204" s="13"/>
      <c r="Z204" s="13"/>
      <c r="AA204" s="13"/>
      <c r="AB204" s="2"/>
      <c r="AC204" s="2"/>
      <c r="AD204" s="2"/>
      <c r="AE204" s="2"/>
      <c r="AF204" s="2"/>
      <c r="AG204" s="2"/>
      <c r="AH204" s="2"/>
      <c r="AI204" s="2"/>
      <c r="AJ204" s="2"/>
      <c r="AK204" s="2"/>
      <c r="AL204" s="2"/>
      <c r="AM204" s="2"/>
      <c r="AN204" s="2"/>
      <c r="AO204" s="2"/>
      <c r="AP204" s="2"/>
      <c r="AQ204" s="2"/>
      <c r="AR204" s="2"/>
      <c r="AS204" s="2"/>
      <c r="AT204" s="2"/>
    </row>
    <row r="205" spans="1:46" outlineLevel="1" x14ac:dyDescent="0.2">
      <c r="A205" s="197"/>
      <c r="B205" s="264"/>
      <c r="C205" s="408"/>
      <c r="D205" s="23" t="s">
        <v>126</v>
      </c>
      <c r="E205" s="53">
        <v>0</v>
      </c>
      <c r="F205" s="53">
        <f t="shared" ref="F205:K205" si="146">ROUND(F206*$T$159,0)</f>
        <v>0</v>
      </c>
      <c r="G205" s="53">
        <f t="shared" si="146"/>
        <v>0</v>
      </c>
      <c r="H205" s="53">
        <f t="shared" si="146"/>
        <v>0</v>
      </c>
      <c r="I205" s="53">
        <f t="shared" si="146"/>
        <v>0</v>
      </c>
      <c r="J205" s="53">
        <f t="shared" si="146"/>
        <v>0</v>
      </c>
      <c r="K205" s="53">
        <f t="shared" si="146"/>
        <v>0</v>
      </c>
      <c r="L205" s="197"/>
      <c r="M205" s="197"/>
      <c r="N205" s="197"/>
      <c r="O205" s="197"/>
      <c r="P205" s="197"/>
      <c r="Q205" s="197"/>
      <c r="R205" s="197"/>
      <c r="S205" s="2"/>
      <c r="T205" s="2"/>
      <c r="U205" s="2"/>
      <c r="V205" s="10"/>
      <c r="W205" s="10"/>
      <c r="X205" s="13"/>
      <c r="Y205" s="13"/>
      <c r="Z205" s="13"/>
      <c r="AA205" s="13"/>
      <c r="AB205" s="2"/>
      <c r="AC205" s="2"/>
      <c r="AD205" s="2"/>
      <c r="AE205" s="2"/>
      <c r="AF205" s="2"/>
      <c r="AG205" s="2"/>
      <c r="AH205" s="2"/>
      <c r="AI205" s="2"/>
      <c r="AJ205" s="2"/>
      <c r="AK205" s="2"/>
      <c r="AL205" s="2"/>
      <c r="AM205" s="2"/>
      <c r="AN205" s="2"/>
      <c r="AO205" s="2"/>
      <c r="AP205" s="2"/>
      <c r="AQ205" s="2"/>
      <c r="AR205" s="2"/>
      <c r="AS205" s="2"/>
      <c r="AT205" s="2"/>
    </row>
    <row r="206" spans="1:46" outlineLevel="1" x14ac:dyDescent="0.2">
      <c r="A206" s="197"/>
      <c r="B206" s="264"/>
      <c r="C206" s="408"/>
      <c r="D206" s="117" t="s">
        <v>918</v>
      </c>
      <c r="E206" s="54">
        <f t="shared" ref="E206:K206" si="147">IF(E200="","",E203*E202*E200)</f>
        <v>0</v>
      </c>
      <c r="F206" s="54">
        <f t="shared" si="147"/>
        <v>0</v>
      </c>
      <c r="G206" s="54">
        <f t="shared" si="147"/>
        <v>0</v>
      </c>
      <c r="H206" s="54">
        <f t="shared" si="147"/>
        <v>0</v>
      </c>
      <c r="I206" s="54">
        <f t="shared" si="147"/>
        <v>0</v>
      </c>
      <c r="J206" s="54">
        <f t="shared" si="147"/>
        <v>0</v>
      </c>
      <c r="K206" s="54">
        <f t="shared" si="147"/>
        <v>0</v>
      </c>
      <c r="L206" s="197"/>
      <c r="M206" s="197"/>
      <c r="N206" s="197"/>
      <c r="O206" s="197"/>
      <c r="P206" s="197"/>
      <c r="Q206" s="197"/>
      <c r="R206" s="197"/>
      <c r="S206" s="2"/>
      <c r="T206" s="2"/>
      <c r="U206" s="2"/>
      <c r="V206" s="10"/>
      <c r="W206" s="10"/>
      <c r="X206" s="13"/>
      <c r="Y206" s="13"/>
      <c r="Z206" s="13"/>
      <c r="AA206" s="13"/>
      <c r="AB206" s="2"/>
      <c r="AC206" s="2"/>
      <c r="AD206" s="2"/>
      <c r="AE206" s="2"/>
      <c r="AF206" s="2"/>
      <c r="AG206" s="2"/>
      <c r="AH206" s="2"/>
      <c r="AI206" s="2"/>
      <c r="AJ206" s="2"/>
      <c r="AK206" s="2"/>
      <c r="AL206" s="2"/>
      <c r="AM206" s="2"/>
      <c r="AN206" s="2"/>
      <c r="AO206" s="2"/>
      <c r="AP206" s="2"/>
      <c r="AQ206" s="2"/>
      <c r="AR206" s="2"/>
      <c r="AS206" s="2"/>
      <c r="AT206" s="2"/>
    </row>
    <row r="207" spans="1:46" outlineLevel="1" x14ac:dyDescent="0.2">
      <c r="A207" s="6"/>
      <c r="B207" s="220"/>
      <c r="C207" s="407"/>
      <c r="D207" s="6"/>
      <c r="E207" s="6"/>
      <c r="F207" s="6"/>
      <c r="G207" s="222"/>
      <c r="H207" s="6"/>
      <c r="I207" s="6"/>
      <c r="J207" s="6"/>
      <c r="K207" s="6"/>
      <c r="L207" s="6"/>
      <c r="M207" s="6"/>
      <c r="N207" s="6"/>
      <c r="O207" s="6"/>
      <c r="P207" s="6"/>
      <c r="Q207" s="6"/>
      <c r="R207" s="6"/>
      <c r="S207" s="1"/>
      <c r="T207" s="1"/>
      <c r="U207" s="1"/>
      <c r="V207" s="4"/>
      <c r="W207" s="571"/>
      <c r="X207" s="13"/>
      <c r="Y207" s="13"/>
      <c r="Z207" s="13"/>
      <c r="AA207" s="13"/>
      <c r="AB207" s="1"/>
      <c r="AC207" s="1"/>
      <c r="AD207" s="1"/>
      <c r="AE207" s="1"/>
      <c r="AF207" s="1"/>
      <c r="AG207" s="1"/>
      <c r="AH207" s="1"/>
      <c r="AI207" s="1"/>
      <c r="AJ207" s="1"/>
      <c r="AK207" s="1"/>
      <c r="AL207" s="1"/>
      <c r="AM207" s="1"/>
      <c r="AN207" s="1"/>
      <c r="AO207" s="1"/>
      <c r="AP207" s="1"/>
      <c r="AQ207" s="1"/>
      <c r="AR207" s="1"/>
      <c r="AS207" s="1"/>
      <c r="AT207" s="1"/>
    </row>
    <row r="208" spans="1:46" x14ac:dyDescent="0.2">
      <c r="A208" s="6"/>
      <c r="B208" s="220"/>
      <c r="C208" s="407"/>
      <c r="D208" s="6"/>
      <c r="E208" s="6"/>
      <c r="F208" s="6"/>
      <c r="G208" s="6"/>
      <c r="H208" s="6"/>
      <c r="I208" s="6"/>
      <c r="J208" s="6"/>
      <c r="K208" s="6"/>
      <c r="L208" s="6"/>
      <c r="M208" s="6"/>
      <c r="N208" s="6"/>
      <c r="O208" s="6"/>
      <c r="P208" s="6"/>
      <c r="Q208" s="6"/>
      <c r="R208" s="6"/>
      <c r="S208" s="1"/>
      <c r="T208" s="1"/>
      <c r="U208" s="1"/>
      <c r="V208" s="4"/>
      <c r="W208" s="571"/>
      <c r="X208" s="13"/>
      <c r="Y208" s="13"/>
      <c r="Z208" s="13"/>
      <c r="AA208" s="13"/>
      <c r="AB208" s="1"/>
      <c r="AC208" s="1"/>
      <c r="AD208" s="1"/>
      <c r="AE208" s="1"/>
      <c r="AF208" s="1"/>
      <c r="AG208" s="1"/>
      <c r="AH208" s="1"/>
      <c r="AI208" s="1"/>
      <c r="AJ208" s="1"/>
      <c r="AK208" s="1"/>
      <c r="AL208" s="1"/>
      <c r="AM208" s="1"/>
      <c r="AN208" s="1"/>
      <c r="AO208" s="1"/>
      <c r="AP208" s="1"/>
      <c r="AQ208" s="1"/>
      <c r="AR208" s="1"/>
      <c r="AS208" s="1"/>
      <c r="AT208" s="1"/>
    </row>
    <row r="209" spans="1:46" ht="15" x14ac:dyDescent="0.2">
      <c r="A209" s="172"/>
      <c r="B209" s="172"/>
      <c r="C209" s="405">
        <v>3</v>
      </c>
      <c r="D209" s="221" t="str">
        <f>D160</f>
        <v>** NOT USED **</v>
      </c>
      <c r="E209" s="207"/>
      <c r="F209" s="207"/>
      <c r="G209" s="207"/>
      <c r="H209" s="207"/>
      <c r="I209" s="782" t="str">
        <f>IF(D209&lt;&gt;MsgNotUsed,"Co-payment group " &amp; INDEX(CoPayBandMS,C209),"")</f>
        <v/>
      </c>
      <c r="J209" s="782"/>
      <c r="K209" s="207"/>
      <c r="L209" s="207"/>
      <c r="M209" s="207"/>
      <c r="N209" s="207"/>
      <c r="O209" s="207"/>
      <c r="P209" s="207"/>
      <c r="Q209" s="207"/>
      <c r="R209" s="207"/>
      <c r="S209" s="207"/>
      <c r="T209" s="207"/>
      <c r="U209" s="207"/>
      <c r="V209" s="207"/>
      <c r="W209" s="207"/>
      <c r="X209" s="13"/>
      <c r="Y209" s="13"/>
      <c r="Z209" s="13"/>
      <c r="AA209" s="13"/>
    </row>
    <row r="210" spans="1:46" ht="15.75" outlineLevel="1" x14ac:dyDescent="0.2">
      <c r="A210" s="192"/>
      <c r="B210" s="192"/>
      <c r="C210" s="406"/>
      <c r="D210" s="193"/>
      <c r="E210" s="192"/>
      <c r="F210" s="192"/>
      <c r="G210" s="192"/>
      <c r="H210" s="192"/>
      <c r="I210" s="192"/>
      <c r="J210" s="192"/>
      <c r="K210" s="192"/>
      <c r="L210" s="192"/>
      <c r="M210" s="192"/>
      <c r="N210" s="192"/>
      <c r="O210" s="192"/>
      <c r="P210" s="192"/>
      <c r="Q210" s="192"/>
      <c r="R210" s="192"/>
      <c r="S210" s="3"/>
      <c r="T210" s="3"/>
      <c r="U210" s="3"/>
      <c r="V210" s="3"/>
      <c r="W210" s="3"/>
      <c r="X210" s="13"/>
      <c r="Y210" s="13"/>
      <c r="Z210" s="13"/>
      <c r="AA210" s="13"/>
      <c r="AB210" s="3"/>
      <c r="AC210" s="3"/>
      <c r="AD210" s="3"/>
      <c r="AE210" s="3"/>
      <c r="AF210" s="3"/>
      <c r="AG210" s="3"/>
      <c r="AH210" s="3"/>
      <c r="AI210" s="3"/>
      <c r="AJ210" s="3"/>
      <c r="AK210" s="3"/>
      <c r="AL210" s="3"/>
      <c r="AM210" s="3"/>
      <c r="AN210" s="3"/>
      <c r="AO210" s="3"/>
      <c r="AP210" s="3"/>
      <c r="AQ210" s="3"/>
      <c r="AR210" s="3"/>
      <c r="AS210" s="3"/>
      <c r="AT210" s="3"/>
    </row>
    <row r="211" spans="1:46" ht="14.25" customHeight="1" outlineLevel="1" x14ac:dyDescent="0.2">
      <c r="A211" s="6"/>
      <c r="B211" s="220"/>
      <c r="C211" s="407"/>
      <c r="D211" s="15"/>
      <c r="E211" s="87">
        <f>F211-1</f>
        <v>-1</v>
      </c>
      <c r="F211" s="87">
        <f>FirstYear</f>
        <v>0</v>
      </c>
      <c r="G211" s="87">
        <f>F211+1</f>
        <v>1</v>
      </c>
      <c r="H211" s="87">
        <f>G211+1</f>
        <v>2</v>
      </c>
      <c r="I211" s="87">
        <f>H211+1</f>
        <v>3</v>
      </c>
      <c r="J211" s="87">
        <f>I211+1</f>
        <v>4</v>
      </c>
      <c r="K211" s="87">
        <f>J211+1</f>
        <v>5</v>
      </c>
      <c r="L211" s="6"/>
      <c r="M211" s="195"/>
      <c r="N211" s="6"/>
      <c r="O211" s="6"/>
      <c r="P211" s="195"/>
      <c r="Q211" s="6"/>
      <c r="R211" s="6"/>
      <c r="S211" s="1"/>
      <c r="T211" s="1"/>
      <c r="U211" s="1"/>
      <c r="V211" s="4"/>
      <c r="W211" s="571"/>
      <c r="X211" s="13"/>
      <c r="Y211" s="13"/>
      <c r="Z211" s="13"/>
      <c r="AA211" s="13"/>
      <c r="AB211" s="1"/>
      <c r="AC211" s="1"/>
      <c r="AD211" s="1"/>
      <c r="AE211" s="1"/>
      <c r="AF211" s="1"/>
      <c r="AG211" s="1"/>
      <c r="AH211" s="1"/>
      <c r="AI211" s="1"/>
      <c r="AJ211" s="1"/>
      <c r="AK211" s="1"/>
      <c r="AL211" s="1"/>
      <c r="AM211" s="1"/>
      <c r="AN211" s="1"/>
      <c r="AO211" s="1"/>
      <c r="AP211" s="1"/>
      <c r="AQ211" s="1"/>
      <c r="AR211" s="1"/>
      <c r="AS211" s="1"/>
      <c r="AT211" s="1"/>
    </row>
    <row r="212" spans="1:46" outlineLevel="1" x14ac:dyDescent="0.2">
      <c r="A212" s="6"/>
      <c r="B212" s="220"/>
      <c r="C212" s="407"/>
      <c r="D212" s="8" t="s">
        <v>132</v>
      </c>
      <c r="E212" s="53">
        <f>INDEX(ScriptsMSAdditional,$C209) * INDEX(NamesMSAdditional,$C209,3)</f>
        <v>0</v>
      </c>
      <c r="F212" s="53">
        <f t="shared" ref="F212:K212" si="148">IF(E212="","",E212*(1+E213))</f>
        <v>0</v>
      </c>
      <c r="G212" s="53">
        <f t="shared" si="148"/>
        <v>0</v>
      </c>
      <c r="H212" s="53">
        <f t="shared" si="148"/>
        <v>0</v>
      </c>
      <c r="I212" s="53">
        <f t="shared" si="148"/>
        <v>0</v>
      </c>
      <c r="J212" s="53">
        <f>IF(I212="","",I212*(1+I213))</f>
        <v>0</v>
      </c>
      <c r="K212" s="53">
        <f t="shared" si="148"/>
        <v>0</v>
      </c>
      <c r="L212" s="6"/>
      <c r="M212" s="19" t="s">
        <v>292</v>
      </c>
      <c r="N212" s="6"/>
      <c r="O212" s="195"/>
      <c r="P212" s="6"/>
      <c r="Q212" s="6"/>
      <c r="R212" s="195"/>
      <c r="S212" s="1"/>
      <c r="T212" s="1"/>
      <c r="U212" s="1"/>
      <c r="V212" s="4"/>
      <c r="W212" s="571"/>
      <c r="X212" s="13"/>
      <c r="Y212" s="13"/>
      <c r="Z212" s="13"/>
      <c r="AA212" s="13"/>
      <c r="AB212" s="1"/>
      <c r="AC212" s="1"/>
      <c r="AD212" s="1"/>
      <c r="AE212" s="1"/>
      <c r="AF212" s="1"/>
      <c r="AG212" s="1"/>
      <c r="AH212" s="1"/>
      <c r="AI212" s="1"/>
      <c r="AJ212" s="1"/>
      <c r="AK212" s="1"/>
      <c r="AL212" s="1"/>
      <c r="AM212" s="1"/>
      <c r="AN212" s="1"/>
      <c r="AO212" s="1"/>
      <c r="AP212" s="1"/>
      <c r="AQ212" s="1"/>
      <c r="AR212" s="1"/>
      <c r="AS212" s="1"/>
      <c r="AT212" s="1"/>
    </row>
    <row r="213" spans="1:46" outlineLevel="1" x14ac:dyDescent="0.2">
      <c r="A213" s="6"/>
      <c r="B213" s="220"/>
      <c r="C213" s="407"/>
      <c r="D213" s="21" t="s">
        <v>27</v>
      </c>
      <c r="E213" s="49"/>
      <c r="F213" s="49"/>
      <c r="G213" s="49"/>
      <c r="H213" s="49"/>
      <c r="I213" s="49"/>
      <c r="J213" s="49"/>
      <c r="K213" s="48"/>
      <c r="L213" s="6"/>
      <c r="M213" s="838"/>
      <c r="N213" s="839"/>
      <c r="O213" s="839"/>
      <c r="P213" s="6"/>
      <c r="Q213" s="6"/>
      <c r="R213" s="6"/>
      <c r="S213" s="1"/>
      <c r="T213" s="1"/>
      <c r="U213" s="1"/>
      <c r="V213" s="4"/>
      <c r="W213" s="571"/>
      <c r="X213" s="13"/>
      <c r="Y213" s="13"/>
      <c r="Z213" s="13"/>
      <c r="AA213" s="13"/>
      <c r="AB213" s="1"/>
      <c r="AC213" s="1"/>
      <c r="AD213" s="1"/>
      <c r="AE213" s="1"/>
      <c r="AF213" s="1"/>
      <c r="AG213" s="1"/>
      <c r="AH213" s="1"/>
      <c r="AI213" s="1"/>
      <c r="AJ213" s="1"/>
      <c r="AK213" s="1"/>
      <c r="AL213" s="1"/>
      <c r="AM213" s="1"/>
      <c r="AN213" s="1"/>
      <c r="AO213" s="1"/>
      <c r="AP213" s="1"/>
      <c r="AQ213" s="1"/>
      <c r="AR213" s="1"/>
      <c r="AS213" s="1"/>
      <c r="AT213" s="1"/>
    </row>
    <row r="214" spans="1:46" outlineLevel="1" x14ac:dyDescent="0.2">
      <c r="A214" s="6"/>
      <c r="B214" s="220"/>
      <c r="C214" s="407"/>
      <c r="D214" s="21" t="s">
        <v>34</v>
      </c>
      <c r="E214" s="49"/>
      <c r="F214" s="49"/>
      <c r="G214" s="49"/>
      <c r="H214" s="49"/>
      <c r="I214" s="49"/>
      <c r="J214" s="49"/>
      <c r="K214" s="49"/>
      <c r="L214" s="6"/>
      <c r="M214" s="838"/>
      <c r="N214" s="839"/>
      <c r="O214" s="839"/>
      <c r="P214" s="6"/>
      <c r="Q214" s="6"/>
      <c r="R214" s="6"/>
      <c r="S214" s="1"/>
      <c r="T214" s="1"/>
      <c r="U214" s="1"/>
      <c r="V214" s="4"/>
      <c r="W214" s="571"/>
      <c r="X214" s="13"/>
      <c r="Y214" s="13"/>
      <c r="Z214" s="13"/>
      <c r="AA214" s="13"/>
      <c r="AB214" s="1"/>
      <c r="AC214" s="1"/>
      <c r="AD214" s="1"/>
      <c r="AE214" s="1"/>
      <c r="AF214" s="1"/>
      <c r="AG214" s="1"/>
      <c r="AH214" s="1"/>
      <c r="AI214" s="1"/>
      <c r="AJ214" s="1"/>
      <c r="AK214" s="1"/>
      <c r="AL214" s="1"/>
      <c r="AM214" s="1"/>
      <c r="AN214" s="1"/>
      <c r="AO214" s="1"/>
      <c r="AP214" s="1"/>
      <c r="AQ214" s="1"/>
      <c r="AR214" s="1"/>
      <c r="AS214" s="1"/>
      <c r="AT214" s="1"/>
    </row>
    <row r="215" spans="1:46" outlineLevel="1" x14ac:dyDescent="0.2">
      <c r="A215" s="6"/>
      <c r="B215" s="220"/>
      <c r="C215" s="407"/>
      <c r="D215" s="21" t="s">
        <v>923</v>
      </c>
      <c r="E215" s="49"/>
      <c r="F215" s="49"/>
      <c r="G215" s="49"/>
      <c r="H215" s="49"/>
      <c r="I215" s="49"/>
      <c r="J215" s="49"/>
      <c r="K215" s="49"/>
      <c r="L215" s="6"/>
      <c r="M215" s="838"/>
      <c r="N215" s="839"/>
      <c r="O215" s="839"/>
      <c r="P215" s="6"/>
      <c r="Q215" s="6"/>
      <c r="R215" s="6"/>
      <c r="S215" s="1"/>
      <c r="T215" s="1"/>
      <c r="U215" s="1"/>
      <c r="V215" s="4"/>
      <c r="W215" s="571"/>
      <c r="X215" s="13"/>
      <c r="Y215" s="13"/>
      <c r="Z215" s="13"/>
      <c r="AA215" s="13"/>
      <c r="AB215" s="1"/>
      <c r="AC215" s="1"/>
      <c r="AD215" s="1"/>
      <c r="AE215" s="1"/>
      <c r="AF215" s="1"/>
      <c r="AG215" s="1"/>
      <c r="AH215" s="1"/>
      <c r="AI215" s="1"/>
      <c r="AJ215" s="1"/>
      <c r="AK215" s="1"/>
      <c r="AL215" s="1"/>
      <c r="AM215" s="1"/>
      <c r="AN215" s="1"/>
      <c r="AO215" s="1"/>
      <c r="AP215" s="1"/>
      <c r="AQ215" s="1"/>
      <c r="AR215" s="1"/>
      <c r="AS215" s="1"/>
      <c r="AT215" s="1"/>
    </row>
    <row r="216" spans="1:46" outlineLevel="1" x14ac:dyDescent="0.2">
      <c r="A216" s="197"/>
      <c r="B216" s="264"/>
      <c r="C216" s="408"/>
      <c r="D216" s="23" t="s">
        <v>125</v>
      </c>
      <c r="E216" s="53">
        <f t="shared" ref="E216:K216" si="149">E218-E217</f>
        <v>0</v>
      </c>
      <c r="F216" s="53">
        <f t="shared" si="149"/>
        <v>0</v>
      </c>
      <c r="G216" s="53">
        <f t="shared" si="149"/>
        <v>0</v>
      </c>
      <c r="H216" s="53">
        <f t="shared" si="149"/>
        <v>0</v>
      </c>
      <c r="I216" s="53">
        <f t="shared" si="149"/>
        <v>0</v>
      </c>
      <c r="J216" s="53">
        <f t="shared" si="149"/>
        <v>0</v>
      </c>
      <c r="K216" s="53">
        <f t="shared" si="149"/>
        <v>0</v>
      </c>
      <c r="L216" s="197"/>
      <c r="M216" s="197"/>
      <c r="N216" s="197"/>
      <c r="O216" s="197"/>
      <c r="P216" s="197"/>
      <c r="Q216" s="197"/>
      <c r="R216" s="197"/>
      <c r="S216" s="2"/>
      <c r="T216" s="2"/>
      <c r="U216" s="2"/>
      <c r="V216" s="10"/>
      <c r="W216" s="10"/>
      <c r="X216" s="13"/>
      <c r="Y216" s="13"/>
      <c r="Z216" s="13"/>
      <c r="AA216" s="13"/>
      <c r="AB216" s="2"/>
      <c r="AC216" s="2"/>
      <c r="AD216" s="2"/>
      <c r="AE216" s="2"/>
      <c r="AF216" s="2"/>
      <c r="AG216" s="2"/>
      <c r="AH216" s="2"/>
      <c r="AI216" s="2"/>
      <c r="AJ216" s="2"/>
      <c r="AK216" s="2"/>
      <c r="AL216" s="2"/>
      <c r="AM216" s="2"/>
      <c r="AN216" s="2"/>
      <c r="AO216" s="2"/>
      <c r="AP216" s="2"/>
      <c r="AQ216" s="2"/>
      <c r="AR216" s="2"/>
      <c r="AS216" s="2"/>
      <c r="AT216" s="2"/>
    </row>
    <row r="217" spans="1:46" outlineLevel="1" x14ac:dyDescent="0.2">
      <c r="A217" s="197"/>
      <c r="B217" s="264"/>
      <c r="C217" s="408"/>
      <c r="D217" s="23" t="s">
        <v>126</v>
      </c>
      <c r="E217" s="53">
        <f t="shared" ref="E217:K217" si="150">ROUND(E218*$T$160,0)</f>
        <v>0</v>
      </c>
      <c r="F217" s="53">
        <f t="shared" si="150"/>
        <v>0</v>
      </c>
      <c r="G217" s="53">
        <f t="shared" si="150"/>
        <v>0</v>
      </c>
      <c r="H217" s="53">
        <f t="shared" si="150"/>
        <v>0</v>
      </c>
      <c r="I217" s="53">
        <f t="shared" si="150"/>
        <v>0</v>
      </c>
      <c r="J217" s="53">
        <f t="shared" si="150"/>
        <v>0</v>
      </c>
      <c r="K217" s="53">
        <f t="shared" si="150"/>
        <v>0</v>
      </c>
      <c r="L217" s="197"/>
      <c r="M217" s="197"/>
      <c r="N217" s="197"/>
      <c r="O217" s="197"/>
      <c r="P217" s="197"/>
      <c r="Q217" s="197"/>
      <c r="R217" s="197"/>
      <c r="S217" s="2"/>
      <c r="T217" s="2"/>
      <c r="U217" s="2"/>
      <c r="V217" s="10"/>
      <c r="W217" s="10"/>
      <c r="X217" s="13"/>
      <c r="Y217" s="13"/>
      <c r="Z217" s="13"/>
      <c r="AA217" s="13"/>
      <c r="AB217" s="2"/>
      <c r="AC217" s="2"/>
      <c r="AD217" s="2"/>
      <c r="AE217" s="2"/>
      <c r="AF217" s="2"/>
      <c r="AG217" s="2"/>
      <c r="AH217" s="2"/>
      <c r="AI217" s="2"/>
      <c r="AJ217" s="2"/>
      <c r="AK217" s="2"/>
      <c r="AL217" s="2"/>
      <c r="AM217" s="2"/>
      <c r="AN217" s="2"/>
      <c r="AO217" s="2"/>
      <c r="AP217" s="2"/>
      <c r="AQ217" s="2"/>
      <c r="AR217" s="2"/>
      <c r="AS217" s="2"/>
      <c r="AT217" s="2"/>
    </row>
    <row r="218" spans="1:46" outlineLevel="1" x14ac:dyDescent="0.2">
      <c r="A218" s="197"/>
      <c r="B218" s="264"/>
      <c r="C218" s="408"/>
      <c r="D218" s="117" t="s">
        <v>918</v>
      </c>
      <c r="E218" s="54">
        <f t="shared" ref="E218:K218" si="151">IF(E212="","",E215*E214*E212)</f>
        <v>0</v>
      </c>
      <c r="F218" s="54">
        <f t="shared" si="151"/>
        <v>0</v>
      </c>
      <c r="G218" s="54">
        <f t="shared" si="151"/>
        <v>0</v>
      </c>
      <c r="H218" s="54">
        <f t="shared" si="151"/>
        <v>0</v>
      </c>
      <c r="I218" s="54">
        <f t="shared" si="151"/>
        <v>0</v>
      </c>
      <c r="J218" s="54">
        <f t="shared" si="151"/>
        <v>0</v>
      </c>
      <c r="K218" s="54">
        <f t="shared" si="151"/>
        <v>0</v>
      </c>
      <c r="L218" s="197"/>
      <c r="M218" s="197"/>
      <c r="N218" s="197"/>
      <c r="O218" s="197"/>
      <c r="P218" s="197"/>
      <c r="Q218" s="197"/>
      <c r="R218" s="197"/>
      <c r="S218" s="2"/>
      <c r="T218" s="2"/>
      <c r="U218" s="2"/>
      <c r="V218" s="10"/>
      <c r="W218" s="10"/>
      <c r="X218" s="13"/>
      <c r="Y218" s="13"/>
      <c r="Z218" s="13"/>
      <c r="AA218" s="13"/>
      <c r="AB218" s="2"/>
      <c r="AC218" s="2"/>
      <c r="AD218" s="2"/>
      <c r="AE218" s="2"/>
      <c r="AF218" s="2"/>
      <c r="AG218" s="2"/>
      <c r="AH218" s="2"/>
      <c r="AI218" s="2"/>
      <c r="AJ218" s="2"/>
      <c r="AK218" s="2"/>
      <c r="AL218" s="2"/>
      <c r="AM218" s="2"/>
      <c r="AN218" s="2"/>
      <c r="AO218" s="2"/>
      <c r="AP218" s="2"/>
      <c r="AQ218" s="2"/>
      <c r="AR218" s="2"/>
      <c r="AS218" s="2"/>
      <c r="AT218" s="2"/>
    </row>
    <row r="219" spans="1:46" outlineLevel="1" x14ac:dyDescent="0.2">
      <c r="A219" s="6"/>
      <c r="B219" s="220"/>
      <c r="C219" s="407"/>
      <c r="D219" s="6"/>
      <c r="E219" s="6"/>
      <c r="F219" s="6"/>
      <c r="G219" s="222"/>
      <c r="H219" s="6"/>
      <c r="I219" s="6"/>
      <c r="J219" s="6"/>
      <c r="K219" s="6"/>
      <c r="L219" s="6"/>
      <c r="M219" s="6"/>
      <c r="N219" s="6"/>
      <c r="O219" s="6"/>
      <c r="P219" s="6"/>
      <c r="Q219" s="6"/>
      <c r="R219" s="6"/>
      <c r="S219" s="1"/>
      <c r="T219" s="1"/>
      <c r="U219" s="1"/>
      <c r="V219" s="4"/>
      <c r="W219" s="571"/>
      <c r="X219" s="13"/>
      <c r="Y219" s="13"/>
      <c r="Z219" s="13"/>
      <c r="AA219" s="13"/>
      <c r="AB219" s="1"/>
      <c r="AC219" s="1"/>
      <c r="AD219" s="1"/>
      <c r="AE219" s="1"/>
      <c r="AF219" s="1"/>
      <c r="AG219" s="1"/>
      <c r="AH219" s="1"/>
      <c r="AI219" s="1"/>
      <c r="AJ219" s="1"/>
      <c r="AK219" s="1"/>
      <c r="AL219" s="1"/>
      <c r="AM219" s="1"/>
      <c r="AN219" s="1"/>
      <c r="AO219" s="1"/>
      <c r="AP219" s="1"/>
      <c r="AQ219" s="1"/>
      <c r="AR219" s="1"/>
      <c r="AS219" s="1"/>
      <c r="AT219" s="1"/>
    </row>
    <row r="220" spans="1:46" x14ac:dyDescent="0.2">
      <c r="A220" s="6"/>
      <c r="B220" s="220"/>
      <c r="C220" s="407"/>
      <c r="D220" s="6"/>
      <c r="E220" s="6"/>
      <c r="F220" s="6"/>
      <c r="G220" s="6"/>
      <c r="H220" s="6"/>
      <c r="I220" s="6"/>
      <c r="J220" s="6"/>
      <c r="K220" s="6"/>
      <c r="L220" s="6"/>
      <c r="M220" s="6"/>
      <c r="N220" s="6"/>
      <c r="O220" s="6"/>
      <c r="P220" s="6"/>
      <c r="Q220" s="6"/>
      <c r="R220" s="6"/>
      <c r="S220" s="1"/>
      <c r="T220" s="1"/>
      <c r="U220" s="1"/>
      <c r="V220" s="4"/>
      <c r="W220" s="571"/>
      <c r="X220" s="13"/>
      <c r="Y220" s="13"/>
      <c r="Z220" s="13"/>
      <c r="AA220" s="13"/>
      <c r="AB220" s="1"/>
      <c r="AC220" s="1"/>
      <c r="AD220" s="1"/>
      <c r="AE220" s="1"/>
      <c r="AF220" s="1"/>
      <c r="AG220" s="1"/>
      <c r="AH220" s="1"/>
      <c r="AI220" s="1"/>
      <c r="AJ220" s="1"/>
      <c r="AK220" s="1"/>
      <c r="AL220" s="1"/>
      <c r="AM220" s="1"/>
      <c r="AN220" s="1"/>
      <c r="AO220" s="1"/>
      <c r="AP220" s="1"/>
      <c r="AQ220" s="1"/>
      <c r="AR220" s="1"/>
      <c r="AS220" s="1"/>
      <c r="AT220" s="1"/>
    </row>
    <row r="221" spans="1:46" ht="15" x14ac:dyDescent="0.2">
      <c r="A221" s="172"/>
      <c r="B221" s="172"/>
      <c r="C221" s="405">
        <v>4</v>
      </c>
      <c r="D221" s="221" t="str">
        <f>D161</f>
        <v>** NOT USED **</v>
      </c>
      <c r="E221" s="207"/>
      <c r="F221" s="207"/>
      <c r="G221" s="207"/>
      <c r="H221" s="207"/>
      <c r="I221" s="782" t="str">
        <f>IF(D221&lt;&gt;MsgNotUsed,"Co-payment group " &amp; INDEX(CoPayBandMS,C221),"")</f>
        <v/>
      </c>
      <c r="J221" s="782"/>
      <c r="K221" s="207"/>
      <c r="L221" s="207"/>
      <c r="M221" s="207"/>
      <c r="N221" s="207"/>
      <c r="O221" s="207"/>
      <c r="P221" s="207"/>
      <c r="Q221" s="207"/>
      <c r="R221" s="207"/>
      <c r="S221" s="207"/>
      <c r="T221" s="207"/>
      <c r="U221" s="207"/>
      <c r="V221" s="207"/>
      <c r="W221" s="207"/>
      <c r="X221" s="13"/>
      <c r="Y221" s="13"/>
      <c r="Z221" s="13"/>
      <c r="AA221" s="13"/>
    </row>
    <row r="222" spans="1:46" ht="15.75" outlineLevel="1" x14ac:dyDescent="0.2">
      <c r="A222" s="192"/>
      <c r="B222" s="192"/>
      <c r="C222" s="406"/>
      <c r="D222" s="193"/>
      <c r="E222" s="192"/>
      <c r="F222" s="192"/>
      <c r="G222" s="192"/>
      <c r="H222" s="192"/>
      <c r="I222" s="192"/>
      <c r="J222" s="192"/>
      <c r="K222" s="192"/>
      <c r="L222" s="192"/>
      <c r="M222" s="192"/>
      <c r="N222" s="192"/>
      <c r="O222" s="192"/>
      <c r="P222" s="192"/>
      <c r="Q222" s="192"/>
      <c r="R222" s="192"/>
      <c r="S222" s="192"/>
      <c r="T222" s="192"/>
      <c r="U222" s="192"/>
      <c r="V222" s="192"/>
      <c r="W222" s="192"/>
      <c r="X222" s="13"/>
      <c r="Y222" s="13"/>
      <c r="Z222" s="13"/>
      <c r="AA222" s="13"/>
      <c r="AB222" s="3"/>
      <c r="AC222" s="3"/>
      <c r="AD222" s="3"/>
      <c r="AE222" s="3"/>
      <c r="AF222" s="3"/>
      <c r="AG222" s="3"/>
      <c r="AH222" s="3"/>
      <c r="AI222" s="3"/>
      <c r="AJ222" s="3"/>
      <c r="AK222" s="3"/>
      <c r="AL222" s="3"/>
      <c r="AM222" s="3"/>
      <c r="AN222" s="3"/>
      <c r="AO222" s="3"/>
      <c r="AP222" s="3"/>
      <c r="AQ222" s="3"/>
      <c r="AR222" s="3"/>
      <c r="AS222" s="3"/>
      <c r="AT222" s="3"/>
    </row>
    <row r="223" spans="1:46" ht="14.25" customHeight="1" outlineLevel="1" x14ac:dyDescent="0.2">
      <c r="A223" s="6"/>
      <c r="B223" s="220"/>
      <c r="C223" s="407"/>
      <c r="D223" s="15"/>
      <c r="E223" s="87">
        <f>F223-1</f>
        <v>-1</v>
      </c>
      <c r="F223" s="87">
        <f>FirstYear</f>
        <v>0</v>
      </c>
      <c r="G223" s="87">
        <f>F223+1</f>
        <v>1</v>
      </c>
      <c r="H223" s="87">
        <f>G223+1</f>
        <v>2</v>
      </c>
      <c r="I223" s="87">
        <f>H223+1</f>
        <v>3</v>
      </c>
      <c r="J223" s="87">
        <f>I223+1</f>
        <v>4</v>
      </c>
      <c r="K223" s="87">
        <f>J223+1</f>
        <v>5</v>
      </c>
      <c r="L223" s="6"/>
      <c r="M223" s="195"/>
      <c r="N223" s="6"/>
      <c r="O223" s="6"/>
      <c r="P223" s="195"/>
      <c r="Q223" s="6"/>
      <c r="R223" s="6"/>
      <c r="S223" s="6"/>
      <c r="T223" s="6"/>
      <c r="U223" s="6"/>
      <c r="V223" s="220"/>
      <c r="W223" s="572"/>
      <c r="X223" s="13"/>
      <c r="Y223" s="13"/>
      <c r="Z223" s="13"/>
      <c r="AA223" s="13"/>
      <c r="AB223" s="1"/>
      <c r="AC223" s="1"/>
      <c r="AD223" s="1"/>
      <c r="AE223" s="1"/>
      <c r="AF223" s="1"/>
      <c r="AG223" s="1"/>
      <c r="AH223" s="1"/>
      <c r="AI223" s="1"/>
      <c r="AJ223" s="1"/>
      <c r="AK223" s="1"/>
      <c r="AL223" s="1"/>
      <c r="AM223" s="1"/>
      <c r="AN223" s="1"/>
      <c r="AO223" s="1"/>
      <c r="AP223" s="1"/>
      <c r="AQ223" s="1"/>
      <c r="AR223" s="1"/>
      <c r="AS223" s="1"/>
      <c r="AT223" s="1"/>
    </row>
    <row r="224" spans="1:46" outlineLevel="1" x14ac:dyDescent="0.2">
      <c r="A224" s="6"/>
      <c r="B224" s="220"/>
      <c r="C224" s="407"/>
      <c r="D224" s="8" t="s">
        <v>132</v>
      </c>
      <c r="E224" s="53">
        <f>INDEX(ScriptsMSAdditional,$C221) * INDEX(NamesMSAdditional,$C221,3)</f>
        <v>0</v>
      </c>
      <c r="F224" s="53">
        <f t="shared" ref="F224:K224" si="152">IF(E224="","",E224*(1+E225))</f>
        <v>0</v>
      </c>
      <c r="G224" s="53">
        <f t="shared" si="152"/>
        <v>0</v>
      </c>
      <c r="H224" s="53">
        <f t="shared" si="152"/>
        <v>0</v>
      </c>
      <c r="I224" s="53">
        <f t="shared" si="152"/>
        <v>0</v>
      </c>
      <c r="J224" s="53">
        <f>IF(I224="","",I224*(1+I225))</f>
        <v>0</v>
      </c>
      <c r="K224" s="53">
        <f t="shared" si="152"/>
        <v>0</v>
      </c>
      <c r="L224" s="6"/>
      <c r="M224" s="19" t="s">
        <v>292</v>
      </c>
      <c r="N224" s="6"/>
      <c r="O224" s="195"/>
      <c r="P224" s="6"/>
      <c r="Q224" s="6"/>
      <c r="R224" s="195"/>
      <c r="S224" s="195"/>
      <c r="T224" s="195"/>
      <c r="U224" s="195"/>
      <c r="V224" s="195"/>
      <c r="W224" s="595"/>
      <c r="X224" s="13"/>
      <c r="Y224" s="13"/>
      <c r="Z224" s="13"/>
      <c r="AA224" s="13"/>
      <c r="AB224" s="1"/>
      <c r="AC224" s="1"/>
      <c r="AD224" s="1"/>
      <c r="AE224" s="1"/>
      <c r="AF224" s="1"/>
      <c r="AG224" s="1"/>
      <c r="AH224" s="1"/>
      <c r="AI224" s="1"/>
      <c r="AJ224" s="1"/>
      <c r="AK224" s="1"/>
      <c r="AL224" s="1"/>
      <c r="AM224" s="1"/>
      <c r="AN224" s="1"/>
      <c r="AO224" s="1"/>
      <c r="AP224" s="1"/>
      <c r="AQ224" s="1"/>
      <c r="AR224" s="1"/>
      <c r="AS224" s="1"/>
      <c r="AT224" s="1"/>
    </row>
    <row r="225" spans="1:46" outlineLevel="1" x14ac:dyDescent="0.2">
      <c r="A225" s="6"/>
      <c r="B225" s="220"/>
      <c r="C225" s="407"/>
      <c r="D225" s="21" t="s">
        <v>27</v>
      </c>
      <c r="E225" s="49"/>
      <c r="F225" s="49"/>
      <c r="G225" s="49"/>
      <c r="H225" s="49"/>
      <c r="I225" s="49"/>
      <c r="J225" s="49"/>
      <c r="K225" s="48"/>
      <c r="L225" s="6"/>
      <c r="M225" s="838"/>
      <c r="N225" s="839"/>
      <c r="O225" s="839"/>
      <c r="P225" s="6"/>
      <c r="Q225" s="6"/>
      <c r="R225" s="6"/>
      <c r="S225" s="6"/>
      <c r="T225" s="6"/>
      <c r="U225" s="6"/>
      <c r="V225" s="220"/>
      <c r="W225" s="572"/>
      <c r="X225" s="13"/>
      <c r="Y225" s="13"/>
      <c r="Z225" s="13"/>
      <c r="AA225" s="13"/>
      <c r="AB225" s="1"/>
      <c r="AC225" s="1"/>
      <c r="AD225" s="1"/>
      <c r="AE225" s="1"/>
      <c r="AF225" s="1"/>
      <c r="AG225" s="1"/>
      <c r="AH225" s="1"/>
      <c r="AI225" s="1"/>
      <c r="AJ225" s="1"/>
      <c r="AK225" s="1"/>
      <c r="AL225" s="1"/>
      <c r="AM225" s="1"/>
      <c r="AN225" s="1"/>
      <c r="AO225" s="1"/>
      <c r="AP225" s="1"/>
      <c r="AQ225" s="1"/>
      <c r="AR225" s="1"/>
      <c r="AS225" s="1"/>
      <c r="AT225" s="1"/>
    </row>
    <row r="226" spans="1:46" outlineLevel="1" x14ac:dyDescent="0.2">
      <c r="A226" s="6"/>
      <c r="B226" s="220"/>
      <c r="C226" s="407"/>
      <c r="D226" s="21" t="s">
        <v>34</v>
      </c>
      <c r="E226" s="49"/>
      <c r="F226" s="49"/>
      <c r="G226" s="49"/>
      <c r="H226" s="49"/>
      <c r="I226" s="49"/>
      <c r="J226" s="49"/>
      <c r="K226" s="49"/>
      <c r="L226" s="6"/>
      <c r="M226" s="838"/>
      <c r="N226" s="839"/>
      <c r="O226" s="839"/>
      <c r="P226" s="6"/>
      <c r="Q226" s="6"/>
      <c r="R226" s="6"/>
      <c r="S226" s="6"/>
      <c r="T226" s="6"/>
      <c r="U226" s="6"/>
      <c r="V226" s="220"/>
      <c r="W226" s="572"/>
      <c r="X226" s="13"/>
      <c r="Y226" s="13"/>
      <c r="Z226" s="13"/>
      <c r="AA226" s="13"/>
      <c r="AB226" s="1"/>
      <c r="AC226" s="1"/>
      <c r="AD226" s="1"/>
      <c r="AE226" s="1"/>
      <c r="AF226" s="1"/>
      <c r="AG226" s="1"/>
      <c r="AH226" s="1"/>
      <c r="AI226" s="1"/>
      <c r="AJ226" s="1"/>
      <c r="AK226" s="1"/>
      <c r="AL226" s="1"/>
      <c r="AM226" s="1"/>
      <c r="AN226" s="1"/>
      <c r="AO226" s="1"/>
      <c r="AP226" s="1"/>
      <c r="AQ226" s="1"/>
      <c r="AR226" s="1"/>
      <c r="AS226" s="1"/>
      <c r="AT226" s="1"/>
    </row>
    <row r="227" spans="1:46" outlineLevel="1" x14ac:dyDescent="0.2">
      <c r="A227" s="6"/>
      <c r="B227" s="220"/>
      <c r="C227" s="407"/>
      <c r="D227" s="21" t="s">
        <v>923</v>
      </c>
      <c r="E227" s="49"/>
      <c r="F227" s="49"/>
      <c r="G227" s="49"/>
      <c r="H227" s="49"/>
      <c r="I227" s="49"/>
      <c r="J227" s="49"/>
      <c r="K227" s="49"/>
      <c r="L227" s="6"/>
      <c r="M227" s="838"/>
      <c r="N227" s="839"/>
      <c r="O227" s="839"/>
      <c r="P227" s="6"/>
      <c r="Q227" s="6"/>
      <c r="R227" s="6"/>
      <c r="S227" s="6"/>
      <c r="T227" s="6"/>
      <c r="U227" s="6"/>
      <c r="V227" s="220"/>
      <c r="W227" s="572"/>
      <c r="X227" s="13"/>
      <c r="Y227" s="13"/>
      <c r="Z227" s="13"/>
      <c r="AA227" s="13"/>
      <c r="AB227" s="1"/>
      <c r="AC227" s="1"/>
      <c r="AD227" s="1"/>
      <c r="AE227" s="1"/>
      <c r="AF227" s="1"/>
      <c r="AG227" s="1"/>
      <c r="AH227" s="1"/>
      <c r="AI227" s="1"/>
      <c r="AJ227" s="1"/>
      <c r="AK227" s="1"/>
      <c r="AL227" s="1"/>
      <c r="AM227" s="1"/>
      <c r="AN227" s="1"/>
      <c r="AO227" s="1"/>
      <c r="AP227" s="1"/>
      <c r="AQ227" s="1"/>
      <c r="AR227" s="1"/>
      <c r="AS227" s="1"/>
      <c r="AT227" s="1"/>
    </row>
    <row r="228" spans="1:46" outlineLevel="1" x14ac:dyDescent="0.2">
      <c r="A228" s="197"/>
      <c r="B228" s="264"/>
      <c r="C228" s="408"/>
      <c r="D228" s="23" t="s">
        <v>125</v>
      </c>
      <c r="E228" s="53">
        <f t="shared" ref="E228:K228" si="153">E230-E229</f>
        <v>0</v>
      </c>
      <c r="F228" s="53">
        <f t="shared" si="153"/>
        <v>0</v>
      </c>
      <c r="G228" s="53">
        <f t="shared" si="153"/>
        <v>0</v>
      </c>
      <c r="H228" s="53">
        <f t="shared" si="153"/>
        <v>0</v>
      </c>
      <c r="I228" s="53">
        <f t="shared" si="153"/>
        <v>0</v>
      </c>
      <c r="J228" s="53">
        <f t="shared" si="153"/>
        <v>0</v>
      </c>
      <c r="K228" s="53">
        <f t="shared" si="153"/>
        <v>0</v>
      </c>
      <c r="L228" s="197"/>
      <c r="M228" s="197"/>
      <c r="N228" s="197"/>
      <c r="O228" s="197"/>
      <c r="P228" s="197"/>
      <c r="Q228" s="197"/>
      <c r="R228" s="197"/>
      <c r="S228" s="197"/>
      <c r="T228" s="197"/>
      <c r="U228" s="197"/>
      <c r="V228" s="264"/>
      <c r="W228" s="597"/>
      <c r="X228" s="13"/>
      <c r="Y228" s="13"/>
      <c r="Z228" s="13"/>
      <c r="AA228" s="13"/>
      <c r="AB228" s="2"/>
      <c r="AC228" s="2"/>
      <c r="AD228" s="2"/>
      <c r="AE228" s="2"/>
      <c r="AF228" s="2"/>
      <c r="AG228" s="2"/>
      <c r="AH228" s="2"/>
      <c r="AI228" s="2"/>
      <c r="AJ228" s="2"/>
      <c r="AK228" s="2"/>
      <c r="AL228" s="2"/>
      <c r="AM228" s="2"/>
      <c r="AN228" s="2"/>
      <c r="AO228" s="2"/>
      <c r="AP228" s="2"/>
      <c r="AQ228" s="2"/>
      <c r="AR228" s="2"/>
      <c r="AS228" s="2"/>
      <c r="AT228" s="2"/>
    </row>
    <row r="229" spans="1:46" outlineLevel="1" x14ac:dyDescent="0.2">
      <c r="A229" s="197"/>
      <c r="B229" s="264"/>
      <c r="C229" s="408"/>
      <c r="D229" s="23" t="s">
        <v>126</v>
      </c>
      <c r="E229" s="53">
        <f t="shared" ref="E229:K229" si="154">ROUND(E230*$T$161,0)</f>
        <v>0</v>
      </c>
      <c r="F229" s="53">
        <f t="shared" si="154"/>
        <v>0</v>
      </c>
      <c r="G229" s="53">
        <f t="shared" si="154"/>
        <v>0</v>
      </c>
      <c r="H229" s="53">
        <f t="shared" si="154"/>
        <v>0</v>
      </c>
      <c r="I229" s="53">
        <f t="shared" si="154"/>
        <v>0</v>
      </c>
      <c r="J229" s="53">
        <f t="shared" si="154"/>
        <v>0</v>
      </c>
      <c r="K229" s="53">
        <f t="shared" si="154"/>
        <v>0</v>
      </c>
      <c r="L229" s="197"/>
      <c r="M229" s="197"/>
      <c r="N229" s="197"/>
      <c r="O229" s="197"/>
      <c r="P229" s="197"/>
      <c r="Q229" s="197"/>
      <c r="R229" s="197"/>
      <c r="S229" s="197"/>
      <c r="T229" s="197"/>
      <c r="U229" s="197"/>
      <c r="V229" s="264"/>
      <c r="W229" s="597"/>
      <c r="X229" s="13"/>
      <c r="Y229" s="13"/>
      <c r="Z229" s="13"/>
      <c r="AA229" s="13"/>
      <c r="AB229" s="2"/>
      <c r="AC229" s="2"/>
      <c r="AD229" s="2"/>
      <c r="AE229" s="2"/>
      <c r="AF229" s="2"/>
      <c r="AG229" s="2"/>
      <c r="AH229" s="2"/>
      <c r="AI229" s="2"/>
      <c r="AJ229" s="2"/>
      <c r="AK229" s="2"/>
      <c r="AL229" s="2"/>
      <c r="AM229" s="2"/>
      <c r="AN229" s="2"/>
      <c r="AO229" s="2"/>
      <c r="AP229" s="2"/>
      <c r="AQ229" s="2"/>
      <c r="AR229" s="2"/>
      <c r="AS229" s="2"/>
      <c r="AT229" s="2"/>
    </row>
    <row r="230" spans="1:46" outlineLevel="1" x14ac:dyDescent="0.2">
      <c r="A230" s="197"/>
      <c r="B230" s="264"/>
      <c r="C230" s="408"/>
      <c r="D230" s="117" t="s">
        <v>918</v>
      </c>
      <c r="E230" s="54">
        <f t="shared" ref="E230:K230" si="155">IF(E224="","",E227*E226*E224)</f>
        <v>0</v>
      </c>
      <c r="F230" s="54">
        <f t="shared" si="155"/>
        <v>0</v>
      </c>
      <c r="G230" s="54">
        <f t="shared" si="155"/>
        <v>0</v>
      </c>
      <c r="H230" s="54">
        <f t="shared" si="155"/>
        <v>0</v>
      </c>
      <c r="I230" s="54">
        <f t="shared" si="155"/>
        <v>0</v>
      </c>
      <c r="J230" s="54">
        <f t="shared" si="155"/>
        <v>0</v>
      </c>
      <c r="K230" s="54">
        <f t="shared" si="155"/>
        <v>0</v>
      </c>
      <c r="L230" s="197"/>
      <c r="M230" s="197"/>
      <c r="N230" s="197"/>
      <c r="O230" s="197"/>
      <c r="P230" s="197"/>
      <c r="Q230" s="197"/>
      <c r="R230" s="197"/>
      <c r="S230" s="197"/>
      <c r="T230" s="197"/>
      <c r="U230" s="197"/>
      <c r="V230" s="264"/>
      <c r="W230" s="597"/>
      <c r="X230" s="13"/>
      <c r="Y230" s="13"/>
      <c r="Z230" s="13"/>
      <c r="AA230" s="13"/>
      <c r="AB230" s="2"/>
      <c r="AC230" s="2"/>
      <c r="AD230" s="2"/>
      <c r="AE230" s="2"/>
      <c r="AF230" s="2"/>
      <c r="AG230" s="2"/>
      <c r="AH230" s="2"/>
      <c r="AI230" s="2"/>
      <c r="AJ230" s="2"/>
      <c r="AK230" s="2"/>
      <c r="AL230" s="2"/>
      <c r="AM230" s="2"/>
      <c r="AN230" s="2"/>
      <c r="AO230" s="2"/>
      <c r="AP230" s="2"/>
      <c r="AQ230" s="2"/>
      <c r="AR230" s="2"/>
      <c r="AS230" s="2"/>
      <c r="AT230" s="2"/>
    </row>
    <row r="231" spans="1:46" outlineLevel="1" x14ac:dyDescent="0.2">
      <c r="A231" s="6"/>
      <c r="B231" s="220"/>
      <c r="C231" s="407"/>
      <c r="D231" s="6"/>
      <c r="E231" s="6"/>
      <c r="F231" s="6"/>
      <c r="G231" s="6"/>
      <c r="H231" s="6"/>
      <c r="I231" s="6"/>
      <c r="J231" s="6"/>
      <c r="K231" s="6"/>
      <c r="L231" s="6"/>
      <c r="M231" s="6"/>
      <c r="N231" s="6"/>
      <c r="O231" s="6"/>
      <c r="P231" s="6"/>
      <c r="Q231" s="6"/>
      <c r="R231" s="6"/>
      <c r="S231" s="6"/>
      <c r="T231" s="6"/>
      <c r="U231" s="6"/>
      <c r="V231" s="220"/>
      <c r="W231" s="572"/>
      <c r="X231" s="13"/>
      <c r="Y231" s="13"/>
      <c r="Z231" s="13"/>
      <c r="AA231" s="13"/>
      <c r="AB231" s="1"/>
      <c r="AC231" s="1"/>
      <c r="AD231" s="1"/>
      <c r="AE231" s="1"/>
      <c r="AF231" s="1"/>
      <c r="AG231" s="1"/>
      <c r="AH231" s="1"/>
      <c r="AI231" s="1"/>
      <c r="AJ231" s="1"/>
      <c r="AK231" s="1"/>
      <c r="AL231" s="1"/>
      <c r="AM231" s="1"/>
      <c r="AN231" s="1"/>
      <c r="AO231" s="1"/>
      <c r="AP231" s="1"/>
      <c r="AQ231" s="1"/>
      <c r="AR231" s="1"/>
      <c r="AS231" s="1"/>
      <c r="AT231" s="1"/>
    </row>
    <row r="232" spans="1:46" x14ac:dyDescent="0.2">
      <c r="A232" s="6"/>
      <c r="B232" s="220"/>
      <c r="C232" s="407"/>
      <c r="D232" s="6"/>
      <c r="E232" s="6"/>
      <c r="F232" s="6"/>
      <c r="G232" s="6"/>
      <c r="H232" s="6"/>
      <c r="I232" s="6"/>
      <c r="J232" s="6"/>
      <c r="K232" s="6"/>
      <c r="L232" s="6"/>
      <c r="M232" s="6"/>
      <c r="N232" s="6"/>
      <c r="O232" s="6"/>
      <c r="P232" s="6"/>
      <c r="Q232" s="6"/>
      <c r="R232" s="6"/>
      <c r="S232" s="6"/>
      <c r="T232" s="6"/>
      <c r="U232" s="6"/>
      <c r="V232" s="220"/>
      <c r="W232" s="572"/>
      <c r="X232" s="13"/>
      <c r="Y232" s="13"/>
      <c r="Z232" s="13"/>
      <c r="AA232" s="13"/>
      <c r="AB232" s="1"/>
      <c r="AC232" s="1"/>
      <c r="AD232" s="1"/>
      <c r="AE232" s="1"/>
      <c r="AF232" s="1"/>
      <c r="AG232" s="1"/>
      <c r="AH232" s="1"/>
      <c r="AI232" s="1"/>
      <c r="AJ232" s="1"/>
      <c r="AK232" s="1"/>
      <c r="AL232" s="1"/>
      <c r="AM232" s="1"/>
      <c r="AN232" s="1"/>
      <c r="AO232" s="1"/>
      <c r="AP232" s="1"/>
      <c r="AQ232" s="1"/>
      <c r="AR232" s="1"/>
      <c r="AS232" s="1"/>
      <c r="AT232" s="1"/>
    </row>
    <row r="233" spans="1:46" ht="15" x14ac:dyDescent="0.2">
      <c r="A233" s="172"/>
      <c r="B233" s="172"/>
      <c r="C233" s="405">
        <v>5</v>
      </c>
      <c r="D233" s="221" t="str">
        <f>D162</f>
        <v>** NOT USED **</v>
      </c>
      <c r="E233" s="207"/>
      <c r="F233" s="207"/>
      <c r="G233" s="207"/>
      <c r="H233" s="207"/>
      <c r="I233" s="782" t="str">
        <f>IF(D233&lt;&gt;MsgNotUsed,"Co-payment group " &amp; INDEX(CoPayBandMS,C233),"")</f>
        <v/>
      </c>
      <c r="J233" s="782"/>
      <c r="K233" s="207"/>
      <c r="L233" s="207"/>
      <c r="M233" s="207"/>
      <c r="N233" s="207"/>
      <c r="O233" s="207"/>
      <c r="P233" s="207"/>
      <c r="Q233" s="207"/>
      <c r="R233" s="207"/>
      <c r="S233" s="207"/>
      <c r="T233" s="207"/>
      <c r="U233" s="207"/>
      <c r="V233" s="207"/>
      <c r="W233" s="207"/>
      <c r="X233" s="13"/>
      <c r="Y233" s="13"/>
      <c r="Z233" s="13"/>
      <c r="AA233" s="13"/>
    </row>
    <row r="234" spans="1:46" ht="15.75" outlineLevel="1" x14ac:dyDescent="0.2">
      <c r="A234" s="192"/>
      <c r="B234" s="192"/>
      <c r="C234" s="406"/>
      <c r="D234" s="193"/>
      <c r="E234" s="192"/>
      <c r="F234" s="192"/>
      <c r="G234" s="192"/>
      <c r="H234" s="192"/>
      <c r="I234" s="192"/>
      <c r="J234" s="192"/>
      <c r="K234" s="192"/>
      <c r="L234" s="192"/>
      <c r="M234" s="192"/>
      <c r="N234" s="192"/>
      <c r="O234" s="192"/>
      <c r="P234" s="192"/>
      <c r="Q234" s="192"/>
      <c r="R234" s="192"/>
      <c r="S234" s="192"/>
      <c r="T234" s="192"/>
      <c r="U234" s="192"/>
      <c r="V234" s="192"/>
      <c r="W234" s="192"/>
      <c r="X234" s="13"/>
      <c r="Y234" s="13"/>
      <c r="Z234" s="13"/>
      <c r="AA234" s="13"/>
      <c r="AB234" s="3"/>
      <c r="AC234" s="3"/>
      <c r="AD234" s="3"/>
      <c r="AE234" s="3"/>
      <c r="AF234" s="3"/>
      <c r="AG234" s="3"/>
      <c r="AH234" s="3"/>
      <c r="AI234" s="3"/>
      <c r="AJ234" s="3"/>
      <c r="AK234" s="3"/>
      <c r="AL234" s="3"/>
      <c r="AM234" s="3"/>
      <c r="AN234" s="3"/>
      <c r="AO234" s="3"/>
      <c r="AP234" s="3"/>
      <c r="AQ234" s="3"/>
      <c r="AR234" s="3"/>
      <c r="AS234" s="3"/>
      <c r="AT234" s="3"/>
    </row>
    <row r="235" spans="1:46" ht="14.25" customHeight="1" outlineLevel="1" x14ac:dyDescent="0.2">
      <c r="A235" s="6"/>
      <c r="B235" s="220"/>
      <c r="C235" s="407"/>
      <c r="D235" s="15"/>
      <c r="E235" s="87">
        <f>F235-1</f>
        <v>-1</v>
      </c>
      <c r="F235" s="87">
        <f>FirstYear</f>
        <v>0</v>
      </c>
      <c r="G235" s="87">
        <f>F235+1</f>
        <v>1</v>
      </c>
      <c r="H235" s="87">
        <f>G235+1</f>
        <v>2</v>
      </c>
      <c r="I235" s="87">
        <f>H235+1</f>
        <v>3</v>
      </c>
      <c r="J235" s="87">
        <f>I235+1</f>
        <v>4</v>
      </c>
      <c r="K235" s="87">
        <f>J235+1</f>
        <v>5</v>
      </c>
      <c r="L235" s="6"/>
      <c r="M235" s="195"/>
      <c r="N235" s="6"/>
      <c r="O235" s="6"/>
      <c r="P235" s="195"/>
      <c r="Q235" s="6"/>
      <c r="R235" s="6"/>
      <c r="S235" s="6"/>
      <c r="T235" s="6"/>
      <c r="U235" s="6"/>
      <c r="V235" s="220"/>
      <c r="W235" s="572"/>
      <c r="X235" s="13"/>
      <c r="Y235" s="13"/>
      <c r="Z235" s="13"/>
      <c r="AA235" s="13"/>
      <c r="AB235" s="1"/>
      <c r="AC235" s="1"/>
      <c r="AD235" s="1"/>
      <c r="AE235" s="1"/>
      <c r="AF235" s="1"/>
      <c r="AG235" s="1"/>
      <c r="AH235" s="1"/>
      <c r="AI235" s="1"/>
      <c r="AJ235" s="1"/>
      <c r="AK235" s="1"/>
      <c r="AL235" s="1"/>
      <c r="AM235" s="1"/>
      <c r="AN235" s="1"/>
      <c r="AO235" s="1"/>
      <c r="AP235" s="1"/>
      <c r="AQ235" s="1"/>
      <c r="AR235" s="1"/>
      <c r="AS235" s="1"/>
      <c r="AT235" s="1"/>
    </row>
    <row r="236" spans="1:46" outlineLevel="1" x14ac:dyDescent="0.2">
      <c r="A236" s="6"/>
      <c r="B236" s="220"/>
      <c r="C236" s="407"/>
      <c r="D236" s="8" t="s">
        <v>132</v>
      </c>
      <c r="E236" s="53">
        <f>INDEX(ScriptsMSAdditional,$C233) * INDEX(NamesMSAdditional,$C233,3)</f>
        <v>0</v>
      </c>
      <c r="F236" s="53">
        <f t="shared" ref="F236:K236" si="156">IF(E236="","",E236*(1+E237))</f>
        <v>0</v>
      </c>
      <c r="G236" s="53">
        <f t="shared" si="156"/>
        <v>0</v>
      </c>
      <c r="H236" s="53">
        <f t="shared" si="156"/>
        <v>0</v>
      </c>
      <c r="I236" s="53">
        <f t="shared" si="156"/>
        <v>0</v>
      </c>
      <c r="J236" s="53">
        <f>IF(I236="","",I236*(1+I237))</f>
        <v>0</v>
      </c>
      <c r="K236" s="53">
        <f t="shared" si="156"/>
        <v>0</v>
      </c>
      <c r="L236" s="6"/>
      <c r="M236" s="19" t="s">
        <v>292</v>
      </c>
      <c r="N236" s="6"/>
      <c r="O236" s="195"/>
      <c r="P236" s="6"/>
      <c r="Q236" s="6"/>
      <c r="R236" s="195"/>
      <c r="S236" s="195"/>
      <c r="T236" s="195"/>
      <c r="U236" s="195"/>
      <c r="V236" s="195"/>
      <c r="W236" s="595"/>
      <c r="X236" s="13"/>
      <c r="Y236" s="13"/>
      <c r="Z236" s="13"/>
      <c r="AA236" s="13"/>
      <c r="AB236" s="1"/>
      <c r="AC236" s="1"/>
      <c r="AD236" s="1"/>
      <c r="AE236" s="1"/>
      <c r="AF236" s="1"/>
      <c r="AG236" s="1"/>
      <c r="AH236" s="1"/>
      <c r="AI236" s="1"/>
      <c r="AJ236" s="1"/>
      <c r="AK236" s="1"/>
      <c r="AL236" s="1"/>
      <c r="AM236" s="1"/>
      <c r="AN236" s="1"/>
      <c r="AO236" s="1"/>
      <c r="AP236" s="1"/>
      <c r="AQ236" s="1"/>
      <c r="AR236" s="1"/>
      <c r="AS236" s="1"/>
      <c r="AT236" s="1"/>
    </row>
    <row r="237" spans="1:46" outlineLevel="1" x14ac:dyDescent="0.2">
      <c r="A237" s="6"/>
      <c r="B237" s="220"/>
      <c r="C237" s="407"/>
      <c r="D237" s="21" t="s">
        <v>27</v>
      </c>
      <c r="E237" s="49"/>
      <c r="F237" s="49"/>
      <c r="G237" s="49"/>
      <c r="H237" s="49"/>
      <c r="I237" s="49"/>
      <c r="J237" s="49"/>
      <c r="K237" s="48"/>
      <c r="L237" s="6"/>
      <c r="M237" s="838"/>
      <c r="N237" s="839"/>
      <c r="O237" s="839"/>
      <c r="P237" s="6"/>
      <c r="Q237" s="6"/>
      <c r="R237" s="6"/>
      <c r="S237" s="6"/>
      <c r="T237" s="6"/>
      <c r="U237" s="6"/>
      <c r="V237" s="220"/>
      <c r="W237" s="572"/>
      <c r="X237" s="13"/>
      <c r="Y237" s="13"/>
      <c r="Z237" s="13"/>
      <c r="AA237" s="13"/>
      <c r="AB237" s="1"/>
      <c r="AC237" s="1"/>
      <c r="AD237" s="1"/>
      <c r="AE237" s="1"/>
      <c r="AF237" s="1"/>
      <c r="AG237" s="1"/>
      <c r="AH237" s="1"/>
      <c r="AI237" s="1"/>
      <c r="AJ237" s="1"/>
      <c r="AK237" s="1"/>
      <c r="AL237" s="1"/>
      <c r="AM237" s="1"/>
      <c r="AN237" s="1"/>
      <c r="AO237" s="1"/>
      <c r="AP237" s="1"/>
      <c r="AQ237" s="1"/>
      <c r="AR237" s="1"/>
      <c r="AS237" s="1"/>
      <c r="AT237" s="1"/>
    </row>
    <row r="238" spans="1:46" outlineLevel="1" x14ac:dyDescent="0.2">
      <c r="A238" s="6"/>
      <c r="B238" s="220"/>
      <c r="C238" s="407"/>
      <c r="D238" s="21" t="s">
        <v>34</v>
      </c>
      <c r="E238" s="49"/>
      <c r="F238" s="49"/>
      <c r="G238" s="49"/>
      <c r="H238" s="49"/>
      <c r="I238" s="49"/>
      <c r="J238" s="49"/>
      <c r="K238" s="49"/>
      <c r="L238" s="6"/>
      <c r="M238" s="838"/>
      <c r="N238" s="839"/>
      <c r="O238" s="839"/>
      <c r="P238" s="6"/>
      <c r="Q238" s="6"/>
      <c r="R238" s="6"/>
      <c r="S238" s="6"/>
      <c r="T238" s="6"/>
      <c r="U238" s="6"/>
      <c r="V238" s="220"/>
      <c r="W238" s="572"/>
      <c r="X238" s="13"/>
      <c r="Y238" s="13"/>
      <c r="Z238" s="13"/>
      <c r="AA238" s="13"/>
      <c r="AB238" s="1"/>
      <c r="AC238" s="1"/>
      <c r="AD238" s="1"/>
      <c r="AE238" s="1"/>
      <c r="AF238" s="1"/>
      <c r="AG238" s="1"/>
      <c r="AH238" s="1"/>
      <c r="AI238" s="1"/>
      <c r="AJ238" s="1"/>
      <c r="AK238" s="1"/>
      <c r="AL238" s="1"/>
      <c r="AM238" s="1"/>
      <c r="AN238" s="1"/>
      <c r="AO238" s="1"/>
      <c r="AP238" s="1"/>
      <c r="AQ238" s="1"/>
      <c r="AR238" s="1"/>
      <c r="AS238" s="1"/>
      <c r="AT238" s="1"/>
    </row>
    <row r="239" spans="1:46" outlineLevel="1" x14ac:dyDescent="0.2">
      <c r="A239" s="6"/>
      <c r="B239" s="220"/>
      <c r="C239" s="407"/>
      <c r="D239" s="21" t="s">
        <v>923</v>
      </c>
      <c r="E239" s="49"/>
      <c r="F239" s="49"/>
      <c r="G239" s="49"/>
      <c r="H239" s="49"/>
      <c r="I239" s="49"/>
      <c r="J239" s="49"/>
      <c r="K239" s="49"/>
      <c r="L239" s="6"/>
      <c r="M239" s="838"/>
      <c r="N239" s="839"/>
      <c r="O239" s="839"/>
      <c r="P239" s="6"/>
      <c r="Q239" s="6"/>
      <c r="R239" s="6"/>
      <c r="S239" s="6"/>
      <c r="T239" s="6"/>
      <c r="U239" s="6"/>
      <c r="V239" s="220"/>
      <c r="W239" s="572"/>
      <c r="X239" s="13"/>
      <c r="Y239" s="13"/>
      <c r="Z239" s="13"/>
      <c r="AA239" s="13"/>
      <c r="AB239" s="1"/>
      <c r="AC239" s="1"/>
      <c r="AD239" s="1"/>
      <c r="AE239" s="1"/>
      <c r="AF239" s="1"/>
      <c r="AG239" s="1"/>
      <c r="AH239" s="1"/>
      <c r="AI239" s="1"/>
      <c r="AJ239" s="1"/>
      <c r="AK239" s="1"/>
      <c r="AL239" s="1"/>
      <c r="AM239" s="1"/>
      <c r="AN239" s="1"/>
      <c r="AO239" s="1"/>
      <c r="AP239" s="1"/>
      <c r="AQ239" s="1"/>
      <c r="AR239" s="1"/>
      <c r="AS239" s="1"/>
      <c r="AT239" s="1"/>
    </row>
    <row r="240" spans="1:46" outlineLevel="1" x14ac:dyDescent="0.2">
      <c r="A240" s="197"/>
      <c r="B240" s="264"/>
      <c r="C240" s="408"/>
      <c r="D240" s="23" t="s">
        <v>125</v>
      </c>
      <c r="E240" s="53">
        <f t="shared" ref="E240:K240" si="157">E242-E241</f>
        <v>0</v>
      </c>
      <c r="F240" s="53">
        <f t="shared" si="157"/>
        <v>0</v>
      </c>
      <c r="G240" s="53">
        <f t="shared" si="157"/>
        <v>0</v>
      </c>
      <c r="H240" s="53">
        <f t="shared" si="157"/>
        <v>0</v>
      </c>
      <c r="I240" s="53">
        <f t="shared" si="157"/>
        <v>0</v>
      </c>
      <c r="J240" s="53">
        <f t="shared" si="157"/>
        <v>0</v>
      </c>
      <c r="K240" s="53">
        <f t="shared" si="157"/>
        <v>0</v>
      </c>
      <c r="L240" s="197"/>
      <c r="M240" s="197"/>
      <c r="N240" s="197"/>
      <c r="O240" s="197"/>
      <c r="P240" s="197"/>
      <c r="Q240" s="197"/>
      <c r="R240" s="197"/>
      <c r="S240" s="197"/>
      <c r="T240" s="197"/>
      <c r="U240" s="197"/>
      <c r="V240" s="264"/>
      <c r="W240" s="597"/>
      <c r="X240" s="13"/>
      <c r="Y240" s="13"/>
      <c r="Z240" s="13"/>
      <c r="AA240" s="13"/>
      <c r="AB240" s="2"/>
      <c r="AC240" s="2"/>
      <c r="AD240" s="2"/>
      <c r="AE240" s="2"/>
      <c r="AF240" s="2"/>
      <c r="AG240" s="2"/>
      <c r="AH240" s="2"/>
      <c r="AI240" s="2"/>
      <c r="AJ240" s="2"/>
      <c r="AK240" s="2"/>
      <c r="AL240" s="2"/>
      <c r="AM240" s="2"/>
      <c r="AN240" s="2"/>
      <c r="AO240" s="2"/>
      <c r="AP240" s="2"/>
      <c r="AQ240" s="2"/>
      <c r="AR240" s="2"/>
      <c r="AS240" s="2"/>
      <c r="AT240" s="2"/>
    </row>
    <row r="241" spans="1:46" outlineLevel="1" x14ac:dyDescent="0.2">
      <c r="A241" s="197"/>
      <c r="B241" s="264"/>
      <c r="C241" s="408"/>
      <c r="D241" s="23" t="s">
        <v>126</v>
      </c>
      <c r="E241" s="53">
        <f t="shared" ref="E241:K241" si="158">ROUND(E242*$T$162,0)</f>
        <v>0</v>
      </c>
      <c r="F241" s="53">
        <f t="shared" si="158"/>
        <v>0</v>
      </c>
      <c r="G241" s="53">
        <f t="shared" si="158"/>
        <v>0</v>
      </c>
      <c r="H241" s="53">
        <f t="shared" si="158"/>
        <v>0</v>
      </c>
      <c r="I241" s="53">
        <f t="shared" si="158"/>
        <v>0</v>
      </c>
      <c r="J241" s="53">
        <f t="shared" si="158"/>
        <v>0</v>
      </c>
      <c r="K241" s="53">
        <f t="shared" si="158"/>
        <v>0</v>
      </c>
      <c r="L241" s="197"/>
      <c r="M241" s="197"/>
      <c r="N241" s="197"/>
      <c r="O241" s="197"/>
      <c r="P241" s="197"/>
      <c r="Q241" s="197"/>
      <c r="R241" s="197"/>
      <c r="S241" s="197"/>
      <c r="T241" s="197"/>
      <c r="U241" s="197"/>
      <c r="V241" s="264"/>
      <c r="W241" s="597"/>
      <c r="X241" s="13"/>
      <c r="Y241" s="13"/>
      <c r="Z241" s="13"/>
      <c r="AA241" s="13"/>
      <c r="AB241" s="2"/>
      <c r="AC241" s="2"/>
      <c r="AD241" s="2"/>
      <c r="AE241" s="2"/>
      <c r="AF241" s="2"/>
      <c r="AG241" s="2"/>
      <c r="AH241" s="2"/>
      <c r="AI241" s="2"/>
      <c r="AJ241" s="2"/>
      <c r="AK241" s="2"/>
      <c r="AL241" s="2"/>
      <c r="AM241" s="2"/>
      <c r="AN241" s="2"/>
      <c r="AO241" s="2"/>
      <c r="AP241" s="2"/>
      <c r="AQ241" s="2"/>
      <c r="AR241" s="2"/>
      <c r="AS241" s="2"/>
      <c r="AT241" s="2"/>
    </row>
    <row r="242" spans="1:46" outlineLevel="1" x14ac:dyDescent="0.2">
      <c r="A242" s="197"/>
      <c r="B242" s="264"/>
      <c r="C242" s="408"/>
      <c r="D242" s="117" t="s">
        <v>918</v>
      </c>
      <c r="E242" s="54">
        <f t="shared" ref="E242:K242" si="159">IF(E236="","",E239*E238*E236)</f>
        <v>0</v>
      </c>
      <c r="F242" s="54">
        <f t="shared" si="159"/>
        <v>0</v>
      </c>
      <c r="G242" s="54">
        <f t="shared" si="159"/>
        <v>0</v>
      </c>
      <c r="H242" s="54">
        <f t="shared" si="159"/>
        <v>0</v>
      </c>
      <c r="I242" s="54">
        <f t="shared" si="159"/>
        <v>0</v>
      </c>
      <c r="J242" s="54">
        <f t="shared" si="159"/>
        <v>0</v>
      </c>
      <c r="K242" s="54">
        <f t="shared" si="159"/>
        <v>0</v>
      </c>
      <c r="L242" s="197"/>
      <c r="M242" s="197"/>
      <c r="N242" s="197"/>
      <c r="O242" s="197"/>
      <c r="P242" s="197"/>
      <c r="Q242" s="197"/>
      <c r="R242" s="197"/>
      <c r="S242" s="197"/>
      <c r="T242" s="197"/>
      <c r="U242" s="197"/>
      <c r="V242" s="264"/>
      <c r="W242" s="597"/>
      <c r="X242" s="13"/>
      <c r="Y242" s="13"/>
      <c r="Z242" s="13"/>
      <c r="AA242" s="13"/>
      <c r="AB242" s="2"/>
      <c r="AC242" s="2"/>
      <c r="AD242" s="2"/>
      <c r="AE242" s="2"/>
      <c r="AF242" s="2"/>
      <c r="AG242" s="2"/>
      <c r="AH242" s="2"/>
      <c r="AI242" s="2"/>
      <c r="AJ242" s="2"/>
      <c r="AK242" s="2"/>
      <c r="AL242" s="2"/>
      <c r="AM242" s="2"/>
      <c r="AN242" s="2"/>
      <c r="AO242" s="2"/>
      <c r="AP242" s="2"/>
      <c r="AQ242" s="2"/>
      <c r="AR242" s="2"/>
      <c r="AS242" s="2"/>
      <c r="AT242" s="2"/>
    </row>
    <row r="243" spans="1:46" outlineLevel="1" x14ac:dyDescent="0.2">
      <c r="A243" s="6"/>
      <c r="B243" s="220"/>
      <c r="C243" s="407"/>
      <c r="D243" s="6"/>
      <c r="E243" s="6"/>
      <c r="F243" s="6"/>
      <c r="G243" s="6"/>
      <c r="H243" s="6"/>
      <c r="I243" s="6"/>
      <c r="J243" s="6"/>
      <c r="K243" s="6"/>
      <c r="L243" s="6"/>
      <c r="M243" s="6"/>
      <c r="N243" s="6"/>
      <c r="O243" s="6"/>
      <c r="P243" s="6"/>
      <c r="Q243" s="6"/>
      <c r="R243" s="6"/>
      <c r="S243" s="6"/>
      <c r="T243" s="6"/>
      <c r="U243" s="6"/>
      <c r="V243" s="220"/>
      <c r="W243" s="572"/>
      <c r="X243" s="13"/>
      <c r="Y243" s="13"/>
      <c r="Z243" s="13"/>
      <c r="AA243" s="13"/>
      <c r="AB243" s="1"/>
      <c r="AC243" s="1"/>
      <c r="AD243" s="1"/>
      <c r="AE243" s="1"/>
      <c r="AF243" s="1"/>
      <c r="AG243" s="1"/>
      <c r="AH243" s="1"/>
      <c r="AI243" s="1"/>
      <c r="AJ243" s="1"/>
      <c r="AK243" s="1"/>
      <c r="AL243" s="1"/>
      <c r="AM243" s="1"/>
      <c r="AN243" s="1"/>
      <c r="AO243" s="1"/>
      <c r="AP243" s="1"/>
      <c r="AQ243" s="1"/>
      <c r="AR243" s="1"/>
      <c r="AS243" s="1"/>
      <c r="AT243" s="1"/>
    </row>
    <row r="244" spans="1:46" x14ac:dyDescent="0.2">
      <c r="A244" s="6"/>
      <c r="B244" s="220"/>
      <c r="C244" s="407"/>
      <c r="D244" s="6"/>
      <c r="E244" s="6"/>
      <c r="F244" s="6"/>
      <c r="G244" s="6"/>
      <c r="H244" s="6"/>
      <c r="I244" s="6"/>
      <c r="J244" s="6"/>
      <c r="K244" s="6"/>
      <c r="L244" s="6"/>
      <c r="M244" s="6"/>
      <c r="N244" s="6"/>
      <c r="O244" s="6"/>
      <c r="P244" s="6"/>
      <c r="Q244" s="6"/>
      <c r="R244" s="6"/>
      <c r="S244" s="6"/>
      <c r="T244" s="6"/>
      <c r="U244" s="6"/>
      <c r="V244" s="220"/>
      <c r="W244" s="572"/>
      <c r="X244" s="13"/>
      <c r="Y244" s="13"/>
      <c r="Z244" s="13"/>
      <c r="AA244" s="13"/>
      <c r="AB244" s="1"/>
      <c r="AC244" s="1"/>
      <c r="AD244" s="1"/>
      <c r="AE244" s="1"/>
      <c r="AF244" s="1"/>
      <c r="AG244" s="1"/>
      <c r="AH244" s="1"/>
      <c r="AI244" s="1"/>
      <c r="AJ244" s="1"/>
      <c r="AK244" s="1"/>
      <c r="AL244" s="1"/>
      <c r="AM244" s="1"/>
      <c r="AN244" s="1"/>
      <c r="AO244" s="1"/>
      <c r="AP244" s="1"/>
      <c r="AQ244" s="1"/>
      <c r="AR244" s="1"/>
      <c r="AS244" s="1"/>
      <c r="AT244" s="1"/>
    </row>
    <row r="245" spans="1:46" ht="15" x14ac:dyDescent="0.2">
      <c r="A245" s="172"/>
      <c r="B245" s="172"/>
      <c r="C245" s="405">
        <v>6</v>
      </c>
      <c r="D245" s="221" t="str">
        <f>D163</f>
        <v>** NOT USED **</v>
      </c>
      <c r="E245" s="207"/>
      <c r="F245" s="207"/>
      <c r="G245" s="207"/>
      <c r="H245" s="207"/>
      <c r="I245" s="782" t="str">
        <f>IF(D245&lt;&gt;MsgNotUsed,"Co-payment group " &amp; INDEX(CoPayBandMS,C245),"")</f>
        <v/>
      </c>
      <c r="J245" s="782"/>
      <c r="K245" s="207"/>
      <c r="L245" s="207"/>
      <c r="M245" s="207"/>
      <c r="N245" s="207"/>
      <c r="O245" s="207"/>
      <c r="P245" s="207"/>
      <c r="Q245" s="207"/>
      <c r="R245" s="207"/>
      <c r="S245" s="207"/>
      <c r="T245" s="207"/>
      <c r="U245" s="207"/>
      <c r="V245" s="207"/>
      <c r="W245" s="207"/>
      <c r="X245" s="13"/>
      <c r="Y245" s="13"/>
      <c r="Z245" s="13"/>
      <c r="AA245" s="13"/>
    </row>
    <row r="246" spans="1:46" ht="15.75" outlineLevel="1" x14ac:dyDescent="0.2">
      <c r="A246" s="192"/>
      <c r="B246" s="192"/>
      <c r="C246" s="406"/>
      <c r="D246" s="193"/>
      <c r="E246" s="192"/>
      <c r="F246" s="192"/>
      <c r="G246" s="192"/>
      <c r="H246" s="192"/>
      <c r="I246" s="192"/>
      <c r="J246" s="192"/>
      <c r="K246" s="192"/>
      <c r="L246" s="192"/>
      <c r="M246" s="192"/>
      <c r="N246" s="192"/>
      <c r="O246" s="192"/>
      <c r="P246" s="192"/>
      <c r="Q246" s="192"/>
      <c r="R246" s="192"/>
      <c r="S246" s="192"/>
      <c r="T246" s="192"/>
      <c r="U246" s="192"/>
      <c r="V246" s="192"/>
      <c r="W246" s="192"/>
      <c r="X246" s="13"/>
      <c r="Y246" s="13"/>
      <c r="Z246" s="13"/>
      <c r="AA246" s="13"/>
      <c r="AB246" s="3"/>
      <c r="AC246" s="3"/>
      <c r="AD246" s="3"/>
      <c r="AE246" s="3"/>
      <c r="AF246" s="3"/>
      <c r="AG246" s="3"/>
      <c r="AH246" s="3"/>
      <c r="AI246" s="3"/>
      <c r="AJ246" s="3"/>
      <c r="AK246" s="3"/>
      <c r="AL246" s="3"/>
      <c r="AM246" s="3"/>
      <c r="AN246" s="3"/>
      <c r="AO246" s="3"/>
      <c r="AP246" s="3"/>
      <c r="AQ246" s="3"/>
      <c r="AR246" s="3"/>
      <c r="AS246" s="3"/>
      <c r="AT246" s="3"/>
    </row>
    <row r="247" spans="1:46" ht="14.25" customHeight="1" outlineLevel="1" x14ac:dyDescent="0.2">
      <c r="A247" s="6"/>
      <c r="B247" s="220"/>
      <c r="C247" s="407"/>
      <c r="D247" s="15"/>
      <c r="E247" s="87">
        <f>F247-1</f>
        <v>-1</v>
      </c>
      <c r="F247" s="87">
        <f>FirstYear</f>
        <v>0</v>
      </c>
      <c r="G247" s="87">
        <f>F247+1</f>
        <v>1</v>
      </c>
      <c r="H247" s="87">
        <f>G247+1</f>
        <v>2</v>
      </c>
      <c r="I247" s="87">
        <f>H247+1</f>
        <v>3</v>
      </c>
      <c r="J247" s="87">
        <f>I247+1</f>
        <v>4</v>
      </c>
      <c r="K247" s="87">
        <f>J247+1</f>
        <v>5</v>
      </c>
      <c r="L247" s="6"/>
      <c r="M247" s="195"/>
      <c r="N247" s="6"/>
      <c r="O247" s="6"/>
      <c r="P247" s="195"/>
      <c r="Q247" s="6"/>
      <c r="R247" s="6"/>
      <c r="S247" s="6"/>
      <c r="T247" s="6"/>
      <c r="U247" s="6"/>
      <c r="V247" s="220"/>
      <c r="W247" s="572"/>
      <c r="X247" s="13"/>
      <c r="Y247" s="13"/>
      <c r="Z247" s="13"/>
      <c r="AA247" s="13"/>
      <c r="AB247" s="1"/>
      <c r="AC247" s="1"/>
      <c r="AD247" s="1"/>
      <c r="AE247" s="1"/>
      <c r="AF247" s="1"/>
      <c r="AG247" s="1"/>
      <c r="AH247" s="1"/>
      <c r="AI247" s="1"/>
      <c r="AJ247" s="1"/>
      <c r="AK247" s="1"/>
      <c r="AL247" s="1"/>
      <c r="AM247" s="1"/>
      <c r="AN247" s="1"/>
      <c r="AO247" s="1"/>
      <c r="AP247" s="1"/>
      <c r="AQ247" s="1"/>
      <c r="AR247" s="1"/>
      <c r="AS247" s="1"/>
      <c r="AT247" s="1"/>
    </row>
    <row r="248" spans="1:46" outlineLevel="1" x14ac:dyDescent="0.2">
      <c r="A248" s="6"/>
      <c r="B248" s="220"/>
      <c r="C248" s="407"/>
      <c r="D248" s="8" t="s">
        <v>132</v>
      </c>
      <c r="E248" s="53">
        <f>INDEX(ScriptsMSAdditional,$C245) * INDEX(NamesMSAdditional,$C245,3)</f>
        <v>0</v>
      </c>
      <c r="F248" s="53">
        <f t="shared" ref="F248:K248" si="160">IF(E248="","",E248*(1+E249))</f>
        <v>0</v>
      </c>
      <c r="G248" s="53">
        <f t="shared" si="160"/>
        <v>0</v>
      </c>
      <c r="H248" s="53">
        <f t="shared" si="160"/>
        <v>0</v>
      </c>
      <c r="I248" s="53">
        <f t="shared" si="160"/>
        <v>0</v>
      </c>
      <c r="J248" s="53">
        <f>IF(I248="","",I248*(1+I249))</f>
        <v>0</v>
      </c>
      <c r="K248" s="53">
        <f t="shared" si="160"/>
        <v>0</v>
      </c>
      <c r="L248" s="6"/>
      <c r="M248" s="19" t="s">
        <v>292</v>
      </c>
      <c r="N248" s="6"/>
      <c r="O248" s="195"/>
      <c r="P248" s="6"/>
      <c r="Q248" s="6"/>
      <c r="R248" s="195"/>
      <c r="S248" s="195"/>
      <c r="T248" s="195"/>
      <c r="U248" s="195"/>
      <c r="V248" s="195"/>
      <c r="W248" s="595"/>
      <c r="X248" s="13"/>
      <c r="Y248" s="13"/>
      <c r="Z248" s="13"/>
      <c r="AA248" s="13"/>
      <c r="AB248" s="1"/>
      <c r="AC248" s="1"/>
      <c r="AD248" s="1"/>
      <c r="AE248" s="1"/>
      <c r="AF248" s="1"/>
      <c r="AG248" s="1"/>
      <c r="AH248" s="1"/>
      <c r="AI248" s="1"/>
      <c r="AJ248" s="1"/>
      <c r="AK248" s="1"/>
      <c r="AL248" s="1"/>
      <c r="AM248" s="1"/>
      <c r="AN248" s="1"/>
      <c r="AO248" s="1"/>
      <c r="AP248" s="1"/>
      <c r="AQ248" s="1"/>
      <c r="AR248" s="1"/>
      <c r="AS248" s="1"/>
      <c r="AT248" s="1"/>
    </row>
    <row r="249" spans="1:46" outlineLevel="1" x14ac:dyDescent="0.2">
      <c r="A249" s="6"/>
      <c r="B249" s="220"/>
      <c r="C249" s="407"/>
      <c r="D249" s="21" t="s">
        <v>27</v>
      </c>
      <c r="E249" s="49"/>
      <c r="F249" s="49"/>
      <c r="G249" s="49"/>
      <c r="H249" s="49"/>
      <c r="I249" s="49"/>
      <c r="J249" s="49"/>
      <c r="K249" s="48"/>
      <c r="L249" s="6"/>
      <c r="M249" s="838"/>
      <c r="N249" s="839"/>
      <c r="O249" s="839"/>
      <c r="P249" s="6"/>
      <c r="Q249" s="6"/>
      <c r="R249" s="6"/>
      <c r="S249" s="6"/>
      <c r="T249" s="6"/>
      <c r="U249" s="6"/>
      <c r="V249" s="220"/>
      <c r="W249" s="572"/>
      <c r="X249" s="13"/>
      <c r="Y249" s="13"/>
      <c r="Z249" s="13"/>
      <c r="AA249" s="13"/>
      <c r="AB249" s="1"/>
      <c r="AC249" s="1"/>
      <c r="AD249" s="1"/>
      <c r="AE249" s="1"/>
      <c r="AF249" s="1"/>
      <c r="AG249" s="1"/>
      <c r="AH249" s="1"/>
      <c r="AI249" s="1"/>
      <c r="AJ249" s="1"/>
      <c r="AK249" s="1"/>
      <c r="AL249" s="1"/>
      <c r="AM249" s="1"/>
      <c r="AN249" s="1"/>
      <c r="AO249" s="1"/>
      <c r="AP249" s="1"/>
      <c r="AQ249" s="1"/>
      <c r="AR249" s="1"/>
      <c r="AS249" s="1"/>
      <c r="AT249" s="1"/>
    </row>
    <row r="250" spans="1:46" outlineLevel="1" x14ac:dyDescent="0.2">
      <c r="A250" s="6"/>
      <c r="B250" s="220"/>
      <c r="C250" s="407"/>
      <c r="D250" s="21" t="s">
        <v>34</v>
      </c>
      <c r="E250" s="49"/>
      <c r="F250" s="49"/>
      <c r="G250" s="49"/>
      <c r="H250" s="49"/>
      <c r="I250" s="49"/>
      <c r="J250" s="49"/>
      <c r="K250" s="49"/>
      <c r="L250" s="6"/>
      <c r="M250" s="838"/>
      <c r="N250" s="839"/>
      <c r="O250" s="839"/>
      <c r="P250" s="6"/>
      <c r="Q250" s="6"/>
      <c r="R250" s="6"/>
      <c r="S250" s="6"/>
      <c r="T250" s="6"/>
      <c r="U250" s="6"/>
      <c r="V250" s="220"/>
      <c r="W250" s="572"/>
      <c r="X250" s="13"/>
      <c r="Y250" s="13"/>
      <c r="Z250" s="13"/>
      <c r="AA250" s="13"/>
      <c r="AB250" s="1"/>
      <c r="AC250" s="1"/>
      <c r="AD250" s="1"/>
      <c r="AE250" s="1"/>
      <c r="AF250" s="1"/>
      <c r="AG250" s="1"/>
      <c r="AH250" s="1"/>
      <c r="AI250" s="1"/>
      <c r="AJ250" s="1"/>
      <c r="AK250" s="1"/>
      <c r="AL250" s="1"/>
      <c r="AM250" s="1"/>
      <c r="AN250" s="1"/>
      <c r="AO250" s="1"/>
      <c r="AP250" s="1"/>
      <c r="AQ250" s="1"/>
      <c r="AR250" s="1"/>
      <c r="AS250" s="1"/>
      <c r="AT250" s="1"/>
    </row>
    <row r="251" spans="1:46" outlineLevel="1" x14ac:dyDescent="0.2">
      <c r="A251" s="6"/>
      <c r="B251" s="220"/>
      <c r="C251" s="407"/>
      <c r="D251" s="21" t="s">
        <v>923</v>
      </c>
      <c r="E251" s="49"/>
      <c r="F251" s="49"/>
      <c r="G251" s="49"/>
      <c r="H251" s="49"/>
      <c r="I251" s="49"/>
      <c r="J251" s="49"/>
      <c r="K251" s="49"/>
      <c r="L251" s="6"/>
      <c r="M251" s="838"/>
      <c r="N251" s="839"/>
      <c r="O251" s="839"/>
      <c r="P251" s="6"/>
      <c r="Q251" s="6"/>
      <c r="R251" s="6"/>
      <c r="S251" s="6"/>
      <c r="T251" s="6"/>
      <c r="U251" s="6"/>
      <c r="V251" s="220"/>
      <c r="W251" s="572"/>
      <c r="X251" s="13"/>
      <c r="Y251" s="13"/>
      <c r="Z251" s="13"/>
      <c r="AA251" s="13"/>
      <c r="AB251" s="1"/>
      <c r="AC251" s="1"/>
      <c r="AD251" s="1"/>
      <c r="AE251" s="1"/>
      <c r="AF251" s="1"/>
      <c r="AG251" s="1"/>
      <c r="AH251" s="1"/>
      <c r="AI251" s="1"/>
      <c r="AJ251" s="1"/>
      <c r="AK251" s="1"/>
      <c r="AL251" s="1"/>
      <c r="AM251" s="1"/>
      <c r="AN251" s="1"/>
      <c r="AO251" s="1"/>
      <c r="AP251" s="1"/>
      <c r="AQ251" s="1"/>
      <c r="AR251" s="1"/>
      <c r="AS251" s="1"/>
      <c r="AT251" s="1"/>
    </row>
    <row r="252" spans="1:46" outlineLevel="1" x14ac:dyDescent="0.2">
      <c r="A252" s="197"/>
      <c r="B252" s="264"/>
      <c r="C252" s="408"/>
      <c r="D252" s="23" t="s">
        <v>125</v>
      </c>
      <c r="E252" s="53">
        <f t="shared" ref="E252:K252" si="161">E254-E253</f>
        <v>0</v>
      </c>
      <c r="F252" s="53">
        <f t="shared" si="161"/>
        <v>0</v>
      </c>
      <c r="G252" s="53">
        <f t="shared" si="161"/>
        <v>0</v>
      </c>
      <c r="H252" s="53">
        <f t="shared" si="161"/>
        <v>0</v>
      </c>
      <c r="I252" s="53">
        <f t="shared" si="161"/>
        <v>0</v>
      </c>
      <c r="J252" s="53">
        <f t="shared" si="161"/>
        <v>0</v>
      </c>
      <c r="K252" s="53">
        <f t="shared" si="161"/>
        <v>0</v>
      </c>
      <c r="L252" s="197"/>
      <c r="M252" s="197"/>
      <c r="N252" s="197"/>
      <c r="O252" s="197"/>
      <c r="P252" s="197"/>
      <c r="Q252" s="197"/>
      <c r="R252" s="197"/>
      <c r="S252" s="197"/>
      <c r="T252" s="197"/>
      <c r="U252" s="197"/>
      <c r="V252" s="264"/>
      <c r="W252" s="597"/>
      <c r="X252" s="13"/>
      <c r="Y252" s="13"/>
      <c r="Z252" s="13"/>
      <c r="AA252" s="13"/>
      <c r="AB252" s="2"/>
      <c r="AC252" s="2"/>
      <c r="AD252" s="2"/>
      <c r="AE252" s="2"/>
      <c r="AF252" s="2"/>
      <c r="AG252" s="2"/>
      <c r="AH252" s="2"/>
      <c r="AI252" s="2"/>
      <c r="AJ252" s="2"/>
      <c r="AK252" s="2"/>
      <c r="AL252" s="2"/>
      <c r="AM252" s="2"/>
      <c r="AN252" s="2"/>
      <c r="AO252" s="2"/>
      <c r="AP252" s="2"/>
      <c r="AQ252" s="2"/>
      <c r="AR252" s="2"/>
      <c r="AS252" s="2"/>
      <c r="AT252" s="2"/>
    </row>
    <row r="253" spans="1:46" outlineLevel="1" x14ac:dyDescent="0.2">
      <c r="A253" s="197"/>
      <c r="B253" s="264"/>
      <c r="C253" s="408"/>
      <c r="D253" s="23" t="s">
        <v>126</v>
      </c>
      <c r="E253" s="53">
        <f t="shared" ref="E253:K253" si="162">ROUND(E254*$T$163,0)</f>
        <v>0</v>
      </c>
      <c r="F253" s="53">
        <f t="shared" si="162"/>
        <v>0</v>
      </c>
      <c r="G253" s="53">
        <f t="shared" si="162"/>
        <v>0</v>
      </c>
      <c r="H253" s="53">
        <f t="shared" si="162"/>
        <v>0</v>
      </c>
      <c r="I253" s="53">
        <f t="shared" si="162"/>
        <v>0</v>
      </c>
      <c r="J253" s="53">
        <f t="shared" si="162"/>
        <v>0</v>
      </c>
      <c r="K253" s="53">
        <f t="shared" si="162"/>
        <v>0</v>
      </c>
      <c r="L253" s="197"/>
      <c r="M253" s="197"/>
      <c r="N253" s="197"/>
      <c r="O253" s="197"/>
      <c r="P253" s="197"/>
      <c r="Q253" s="197"/>
      <c r="R253" s="197"/>
      <c r="S253" s="197"/>
      <c r="T253" s="197"/>
      <c r="U253" s="197"/>
      <c r="V253" s="264"/>
      <c r="W253" s="597"/>
      <c r="X253" s="13"/>
      <c r="Y253" s="13"/>
      <c r="Z253" s="13"/>
      <c r="AA253" s="13"/>
      <c r="AB253" s="2"/>
      <c r="AC253" s="2"/>
      <c r="AD253" s="2"/>
      <c r="AE253" s="2"/>
      <c r="AF253" s="2"/>
      <c r="AG253" s="2"/>
      <c r="AH253" s="2"/>
      <c r="AI253" s="2"/>
      <c r="AJ253" s="2"/>
      <c r="AK253" s="2"/>
      <c r="AL253" s="2"/>
      <c r="AM253" s="2"/>
      <c r="AN253" s="2"/>
      <c r="AO253" s="2"/>
      <c r="AP253" s="2"/>
      <c r="AQ253" s="2"/>
      <c r="AR253" s="2"/>
      <c r="AS253" s="2"/>
      <c r="AT253" s="2"/>
    </row>
    <row r="254" spans="1:46" outlineLevel="1" x14ac:dyDescent="0.2">
      <c r="A254" s="197"/>
      <c r="B254" s="264"/>
      <c r="C254" s="408"/>
      <c r="D254" s="117" t="s">
        <v>918</v>
      </c>
      <c r="E254" s="54">
        <f t="shared" ref="E254:K254" si="163">IF(E248="","",E251*E250*E248)</f>
        <v>0</v>
      </c>
      <c r="F254" s="54">
        <f t="shared" si="163"/>
        <v>0</v>
      </c>
      <c r="G254" s="54">
        <f t="shared" si="163"/>
        <v>0</v>
      </c>
      <c r="H254" s="54">
        <f t="shared" si="163"/>
        <v>0</v>
      </c>
      <c r="I254" s="54">
        <f t="shared" si="163"/>
        <v>0</v>
      </c>
      <c r="J254" s="54">
        <f t="shared" si="163"/>
        <v>0</v>
      </c>
      <c r="K254" s="54">
        <f t="shared" si="163"/>
        <v>0</v>
      </c>
      <c r="L254" s="197"/>
      <c r="M254" s="197"/>
      <c r="N254" s="197"/>
      <c r="O254" s="197"/>
      <c r="P254" s="197"/>
      <c r="Q254" s="197"/>
      <c r="R254" s="197"/>
      <c r="S254" s="197"/>
      <c r="T254" s="197"/>
      <c r="U254" s="197"/>
      <c r="V254" s="264"/>
      <c r="W254" s="597"/>
      <c r="X254" s="13"/>
      <c r="Y254" s="13"/>
      <c r="Z254" s="13"/>
      <c r="AA254" s="13"/>
      <c r="AB254" s="2"/>
      <c r="AC254" s="2"/>
      <c r="AD254" s="2"/>
      <c r="AE254" s="2"/>
      <c r="AF254" s="2"/>
      <c r="AG254" s="2"/>
      <c r="AH254" s="2"/>
      <c r="AI254" s="2"/>
      <c r="AJ254" s="2"/>
      <c r="AK254" s="2"/>
      <c r="AL254" s="2"/>
      <c r="AM254" s="2"/>
      <c r="AN254" s="2"/>
      <c r="AO254" s="2"/>
      <c r="AP254" s="2"/>
      <c r="AQ254" s="2"/>
      <c r="AR254" s="2"/>
      <c r="AS254" s="2"/>
      <c r="AT254" s="2"/>
    </row>
    <row r="255" spans="1:46" outlineLevel="1" x14ac:dyDescent="0.2">
      <c r="A255" s="6"/>
      <c r="B255" s="220"/>
      <c r="C255" s="407"/>
      <c r="D255" s="6"/>
      <c r="E255" s="6"/>
      <c r="F255" s="6"/>
      <c r="G255" s="222"/>
      <c r="H255" s="6"/>
      <c r="I255" s="6"/>
      <c r="J255" s="6"/>
      <c r="K255" s="6"/>
      <c r="L255" s="6"/>
      <c r="M255" s="6"/>
      <c r="N255" s="6"/>
      <c r="O255" s="6"/>
      <c r="P255" s="6"/>
      <c r="Q255" s="6"/>
      <c r="R255" s="6"/>
      <c r="S255" s="6"/>
      <c r="T255" s="6"/>
      <c r="U255" s="6"/>
      <c r="V255" s="220"/>
      <c r="W255" s="572"/>
      <c r="X255" s="13"/>
      <c r="Y255" s="13"/>
      <c r="Z255" s="13"/>
      <c r="AA255" s="13"/>
      <c r="AB255" s="1"/>
      <c r="AC255" s="1"/>
      <c r="AD255" s="1"/>
      <c r="AE255" s="1"/>
      <c r="AF255" s="1"/>
      <c r="AG255" s="1"/>
      <c r="AH255" s="1"/>
      <c r="AI255" s="1"/>
      <c r="AJ255" s="1"/>
      <c r="AK255" s="1"/>
      <c r="AL255" s="1"/>
      <c r="AM255" s="1"/>
      <c r="AN255" s="1"/>
      <c r="AO255" s="1"/>
      <c r="AP255" s="1"/>
      <c r="AQ255" s="1"/>
      <c r="AR255" s="1"/>
      <c r="AS255" s="1"/>
      <c r="AT255" s="1"/>
    </row>
    <row r="256" spans="1:46" x14ac:dyDescent="0.2">
      <c r="A256" s="6"/>
      <c r="B256" s="220"/>
      <c r="C256" s="407"/>
      <c r="D256" s="6"/>
      <c r="E256" s="6"/>
      <c r="F256" s="6"/>
      <c r="G256" s="6"/>
      <c r="H256" s="6"/>
      <c r="I256" s="6"/>
      <c r="J256" s="6"/>
      <c r="K256" s="6"/>
      <c r="L256" s="6"/>
      <c r="M256" s="6"/>
      <c r="N256" s="6"/>
      <c r="O256" s="6"/>
      <c r="P256" s="6"/>
      <c r="Q256" s="6"/>
      <c r="R256" s="6"/>
      <c r="S256" s="6"/>
      <c r="T256" s="6"/>
      <c r="U256" s="6"/>
      <c r="V256" s="220"/>
      <c r="W256" s="572"/>
      <c r="X256" s="13"/>
      <c r="Y256" s="13"/>
      <c r="Z256" s="13"/>
      <c r="AA256" s="13"/>
      <c r="AB256" s="1"/>
      <c r="AC256" s="1"/>
      <c r="AD256" s="1"/>
      <c r="AE256" s="1"/>
      <c r="AF256" s="1"/>
      <c r="AG256" s="1"/>
      <c r="AH256" s="1"/>
      <c r="AI256" s="1"/>
      <c r="AJ256" s="1"/>
      <c r="AK256" s="1"/>
      <c r="AL256" s="1"/>
      <c r="AM256" s="1"/>
      <c r="AN256" s="1"/>
      <c r="AO256" s="1"/>
      <c r="AP256" s="1"/>
      <c r="AQ256" s="1"/>
      <c r="AR256" s="1"/>
      <c r="AS256" s="1"/>
      <c r="AT256" s="1"/>
    </row>
    <row r="257" spans="1:46" ht="15" x14ac:dyDescent="0.2">
      <c r="A257" s="172"/>
      <c r="B257" s="172"/>
      <c r="C257" s="405">
        <v>7</v>
      </c>
      <c r="D257" s="221" t="str">
        <f>D164</f>
        <v>** NOT USED **</v>
      </c>
      <c r="E257" s="207"/>
      <c r="F257" s="207"/>
      <c r="G257" s="207"/>
      <c r="H257" s="207"/>
      <c r="I257" s="782" t="str">
        <f>IF(D257&lt;&gt;MsgNotUsed,"Co-payment group " &amp; INDEX(CoPayBandMS,C257),"")</f>
        <v/>
      </c>
      <c r="J257" s="782"/>
      <c r="K257" s="207"/>
      <c r="L257" s="207"/>
      <c r="M257" s="207"/>
      <c r="N257" s="207"/>
      <c r="O257" s="207"/>
      <c r="P257" s="207"/>
      <c r="Q257" s="207"/>
      <c r="R257" s="207"/>
      <c r="S257" s="207"/>
      <c r="T257" s="207"/>
      <c r="U257" s="207"/>
      <c r="V257" s="207"/>
      <c r="W257" s="207"/>
      <c r="X257" s="13"/>
      <c r="Y257" s="13"/>
      <c r="Z257" s="13"/>
      <c r="AA257" s="13"/>
    </row>
    <row r="258" spans="1:46" ht="15.75" outlineLevel="1" x14ac:dyDescent="0.2">
      <c r="A258" s="192"/>
      <c r="B258" s="192"/>
      <c r="C258" s="406"/>
      <c r="D258" s="193"/>
      <c r="E258" s="192"/>
      <c r="F258" s="192"/>
      <c r="G258" s="192"/>
      <c r="H258" s="192"/>
      <c r="I258" s="192"/>
      <c r="J258" s="192"/>
      <c r="K258" s="192"/>
      <c r="L258" s="192"/>
      <c r="M258" s="192"/>
      <c r="N258" s="192"/>
      <c r="O258" s="192"/>
      <c r="P258" s="192"/>
      <c r="Q258" s="192"/>
      <c r="R258" s="192"/>
      <c r="S258" s="192"/>
      <c r="T258" s="192"/>
      <c r="U258" s="192"/>
      <c r="V258" s="192"/>
      <c r="W258" s="192"/>
      <c r="X258" s="13"/>
      <c r="Y258" s="13"/>
      <c r="Z258" s="13"/>
      <c r="AA258" s="13"/>
      <c r="AB258" s="3"/>
      <c r="AC258" s="3"/>
      <c r="AD258" s="3"/>
      <c r="AE258" s="3"/>
      <c r="AF258" s="3"/>
      <c r="AG258" s="3"/>
      <c r="AH258" s="3"/>
      <c r="AI258" s="3"/>
      <c r="AJ258" s="3"/>
      <c r="AK258" s="3"/>
      <c r="AL258" s="3"/>
      <c r="AM258" s="3"/>
      <c r="AN258" s="3"/>
      <c r="AO258" s="3"/>
      <c r="AP258" s="3"/>
      <c r="AQ258" s="3"/>
      <c r="AR258" s="3"/>
      <c r="AS258" s="3"/>
      <c r="AT258" s="3"/>
    </row>
    <row r="259" spans="1:46" ht="14.25" customHeight="1" outlineLevel="1" x14ac:dyDescent="0.2">
      <c r="A259" s="6"/>
      <c r="B259" s="220"/>
      <c r="C259" s="407"/>
      <c r="D259" s="15"/>
      <c r="E259" s="87">
        <f>F259-1</f>
        <v>-1</v>
      </c>
      <c r="F259" s="87">
        <f>FirstYear</f>
        <v>0</v>
      </c>
      <c r="G259" s="87">
        <f>F259+1</f>
        <v>1</v>
      </c>
      <c r="H259" s="87">
        <f>G259+1</f>
        <v>2</v>
      </c>
      <c r="I259" s="87">
        <f>H259+1</f>
        <v>3</v>
      </c>
      <c r="J259" s="87">
        <f>I259+1</f>
        <v>4</v>
      </c>
      <c r="K259" s="87">
        <f>J259+1</f>
        <v>5</v>
      </c>
      <c r="L259" s="6"/>
      <c r="M259" s="195"/>
      <c r="N259" s="6"/>
      <c r="O259" s="6"/>
      <c r="P259" s="195"/>
      <c r="Q259" s="6"/>
      <c r="R259" s="6"/>
      <c r="S259" s="6"/>
      <c r="T259" s="6"/>
      <c r="U259" s="6"/>
      <c r="V259" s="220"/>
      <c r="W259" s="572"/>
      <c r="X259" s="13"/>
      <c r="Y259" s="13"/>
      <c r="Z259" s="13"/>
      <c r="AA259" s="13"/>
      <c r="AB259" s="1"/>
      <c r="AC259" s="1"/>
      <c r="AD259" s="1"/>
      <c r="AE259" s="1"/>
      <c r="AF259" s="1"/>
      <c r="AG259" s="1"/>
      <c r="AH259" s="1"/>
      <c r="AI259" s="1"/>
      <c r="AJ259" s="1"/>
      <c r="AK259" s="1"/>
      <c r="AL259" s="1"/>
      <c r="AM259" s="1"/>
      <c r="AN259" s="1"/>
      <c r="AO259" s="1"/>
      <c r="AP259" s="1"/>
      <c r="AQ259" s="1"/>
      <c r="AR259" s="1"/>
      <c r="AS259" s="1"/>
      <c r="AT259" s="1"/>
    </row>
    <row r="260" spans="1:46" outlineLevel="1" x14ac:dyDescent="0.2">
      <c r="A260" s="6"/>
      <c r="B260" s="220"/>
      <c r="C260" s="407"/>
      <c r="D260" s="8" t="s">
        <v>132</v>
      </c>
      <c r="E260" s="53">
        <f>INDEX(ScriptsMSAdditional,$C257) * INDEX(NamesMSAdditional,$C257,3)</f>
        <v>0</v>
      </c>
      <c r="F260" s="53">
        <f t="shared" ref="F260:K260" si="164">IF(E260="","",E260*(1+E261))</f>
        <v>0</v>
      </c>
      <c r="G260" s="53">
        <f t="shared" si="164"/>
        <v>0</v>
      </c>
      <c r="H260" s="53">
        <f t="shared" si="164"/>
        <v>0</v>
      </c>
      <c r="I260" s="53">
        <f t="shared" si="164"/>
        <v>0</v>
      </c>
      <c r="J260" s="53">
        <f>IF(I260="","",I260*(1+I261))</f>
        <v>0</v>
      </c>
      <c r="K260" s="53">
        <f t="shared" si="164"/>
        <v>0</v>
      </c>
      <c r="L260" s="6"/>
      <c r="M260" s="19" t="s">
        <v>292</v>
      </c>
      <c r="N260" s="6"/>
      <c r="O260" s="195"/>
      <c r="P260" s="6"/>
      <c r="Q260" s="6"/>
      <c r="R260" s="195"/>
      <c r="S260" s="195"/>
      <c r="T260" s="195"/>
      <c r="U260" s="195"/>
      <c r="V260" s="195"/>
      <c r="W260" s="595"/>
      <c r="X260" s="13"/>
      <c r="Y260" s="13"/>
      <c r="Z260" s="13"/>
      <c r="AA260" s="13"/>
      <c r="AB260" s="1"/>
      <c r="AC260" s="1"/>
      <c r="AD260" s="1"/>
      <c r="AE260" s="1"/>
      <c r="AF260" s="1"/>
      <c r="AG260" s="1"/>
      <c r="AH260" s="1"/>
      <c r="AI260" s="1"/>
      <c r="AJ260" s="1"/>
      <c r="AK260" s="1"/>
      <c r="AL260" s="1"/>
      <c r="AM260" s="1"/>
      <c r="AN260" s="1"/>
      <c r="AO260" s="1"/>
      <c r="AP260" s="1"/>
      <c r="AQ260" s="1"/>
      <c r="AR260" s="1"/>
      <c r="AS260" s="1"/>
      <c r="AT260" s="1"/>
    </row>
    <row r="261" spans="1:46" outlineLevel="1" x14ac:dyDescent="0.2">
      <c r="A261" s="6"/>
      <c r="B261" s="220"/>
      <c r="C261" s="407"/>
      <c r="D261" s="21" t="s">
        <v>27</v>
      </c>
      <c r="E261" s="49"/>
      <c r="F261" s="49"/>
      <c r="G261" s="49"/>
      <c r="H261" s="49"/>
      <c r="I261" s="49"/>
      <c r="J261" s="49"/>
      <c r="K261" s="48"/>
      <c r="L261" s="6"/>
      <c r="M261" s="838"/>
      <c r="N261" s="839"/>
      <c r="O261" s="839"/>
      <c r="P261" s="6"/>
      <c r="Q261" s="6"/>
      <c r="R261" s="6"/>
      <c r="S261" s="6"/>
      <c r="T261" s="6"/>
      <c r="U261" s="6"/>
      <c r="V261" s="220"/>
      <c r="W261" s="572"/>
      <c r="X261" s="13"/>
      <c r="Y261" s="13"/>
      <c r="Z261" s="13"/>
      <c r="AA261" s="13"/>
      <c r="AB261" s="1"/>
      <c r="AC261" s="1"/>
      <c r="AD261" s="1"/>
      <c r="AE261" s="1"/>
      <c r="AF261" s="1"/>
      <c r="AG261" s="1"/>
      <c r="AH261" s="1"/>
      <c r="AI261" s="1"/>
      <c r="AJ261" s="1"/>
      <c r="AK261" s="1"/>
      <c r="AL261" s="1"/>
      <c r="AM261" s="1"/>
      <c r="AN261" s="1"/>
      <c r="AO261" s="1"/>
      <c r="AP261" s="1"/>
      <c r="AQ261" s="1"/>
      <c r="AR261" s="1"/>
      <c r="AS261" s="1"/>
      <c r="AT261" s="1"/>
    </row>
    <row r="262" spans="1:46" outlineLevel="1" x14ac:dyDescent="0.2">
      <c r="A262" s="6"/>
      <c r="B262" s="220"/>
      <c r="C262" s="407"/>
      <c r="D262" s="21" t="s">
        <v>34</v>
      </c>
      <c r="E262" s="49"/>
      <c r="F262" s="49"/>
      <c r="G262" s="49"/>
      <c r="H262" s="49"/>
      <c r="I262" s="49"/>
      <c r="J262" s="49"/>
      <c r="K262" s="49"/>
      <c r="L262" s="6"/>
      <c r="M262" s="838"/>
      <c r="N262" s="839"/>
      <c r="O262" s="839"/>
      <c r="P262" s="6"/>
      <c r="Q262" s="6"/>
      <c r="R262" s="6"/>
      <c r="S262" s="6"/>
      <c r="T262" s="6"/>
      <c r="U262" s="6"/>
      <c r="V262" s="220"/>
      <c r="W262" s="572"/>
      <c r="X262" s="13"/>
      <c r="Y262" s="13"/>
      <c r="Z262" s="13"/>
      <c r="AA262" s="13"/>
      <c r="AB262" s="1"/>
      <c r="AC262" s="1"/>
      <c r="AD262" s="1"/>
      <c r="AE262" s="1"/>
      <c r="AF262" s="1"/>
      <c r="AG262" s="1"/>
      <c r="AH262" s="1"/>
      <c r="AI262" s="1"/>
      <c r="AJ262" s="1"/>
      <c r="AK262" s="1"/>
      <c r="AL262" s="1"/>
      <c r="AM262" s="1"/>
      <c r="AN262" s="1"/>
      <c r="AO262" s="1"/>
      <c r="AP262" s="1"/>
      <c r="AQ262" s="1"/>
      <c r="AR262" s="1"/>
      <c r="AS262" s="1"/>
      <c r="AT262" s="1"/>
    </row>
    <row r="263" spans="1:46" outlineLevel="1" x14ac:dyDescent="0.2">
      <c r="A263" s="6"/>
      <c r="B263" s="220"/>
      <c r="C263" s="407"/>
      <c r="D263" s="21" t="s">
        <v>923</v>
      </c>
      <c r="E263" s="49"/>
      <c r="F263" s="49"/>
      <c r="G263" s="49"/>
      <c r="H263" s="49"/>
      <c r="I263" s="49"/>
      <c r="J263" s="49"/>
      <c r="K263" s="49"/>
      <c r="L263" s="6"/>
      <c r="M263" s="838"/>
      <c r="N263" s="839"/>
      <c r="O263" s="839"/>
      <c r="P263" s="6"/>
      <c r="Q263" s="6"/>
      <c r="R263" s="6"/>
      <c r="S263" s="6"/>
      <c r="T263" s="6"/>
      <c r="U263" s="6"/>
      <c r="V263" s="220"/>
      <c r="W263" s="572"/>
      <c r="X263" s="13"/>
      <c r="Y263" s="13"/>
      <c r="Z263" s="13"/>
      <c r="AA263" s="13"/>
      <c r="AB263" s="1"/>
      <c r="AC263" s="1"/>
      <c r="AD263" s="1"/>
      <c r="AE263" s="1"/>
      <c r="AF263" s="1"/>
      <c r="AG263" s="1"/>
      <c r="AH263" s="1"/>
      <c r="AI263" s="1"/>
      <c r="AJ263" s="1"/>
      <c r="AK263" s="1"/>
      <c r="AL263" s="1"/>
      <c r="AM263" s="1"/>
      <c r="AN263" s="1"/>
      <c r="AO263" s="1"/>
      <c r="AP263" s="1"/>
      <c r="AQ263" s="1"/>
      <c r="AR263" s="1"/>
      <c r="AS263" s="1"/>
      <c r="AT263" s="1"/>
    </row>
    <row r="264" spans="1:46" outlineLevel="1" x14ac:dyDescent="0.2">
      <c r="A264" s="197"/>
      <c r="B264" s="264"/>
      <c r="C264" s="408"/>
      <c r="D264" s="23" t="s">
        <v>125</v>
      </c>
      <c r="E264" s="53">
        <f t="shared" ref="E264:K264" si="165">E266-E265</f>
        <v>0</v>
      </c>
      <c r="F264" s="53">
        <f t="shared" si="165"/>
        <v>0</v>
      </c>
      <c r="G264" s="53">
        <f t="shared" si="165"/>
        <v>0</v>
      </c>
      <c r="H264" s="53">
        <f t="shared" si="165"/>
        <v>0</v>
      </c>
      <c r="I264" s="53">
        <f t="shared" si="165"/>
        <v>0</v>
      </c>
      <c r="J264" s="53">
        <f t="shared" si="165"/>
        <v>0</v>
      </c>
      <c r="K264" s="53">
        <f t="shared" si="165"/>
        <v>0</v>
      </c>
      <c r="L264" s="197"/>
      <c r="M264" s="197"/>
      <c r="N264" s="197"/>
      <c r="O264" s="197"/>
      <c r="P264" s="197"/>
      <c r="Q264" s="197"/>
      <c r="R264" s="197"/>
      <c r="S264" s="197"/>
      <c r="T264" s="197"/>
      <c r="U264" s="197"/>
      <c r="V264" s="264"/>
      <c r="W264" s="597"/>
      <c r="X264" s="13"/>
      <c r="Y264" s="13"/>
      <c r="Z264" s="13"/>
      <c r="AA264" s="13"/>
      <c r="AB264" s="2"/>
      <c r="AC264" s="2"/>
      <c r="AD264" s="2"/>
      <c r="AE264" s="2"/>
      <c r="AF264" s="2"/>
      <c r="AG264" s="2"/>
      <c r="AH264" s="2"/>
      <c r="AI264" s="2"/>
      <c r="AJ264" s="2"/>
      <c r="AK264" s="2"/>
      <c r="AL264" s="2"/>
      <c r="AM264" s="2"/>
      <c r="AN264" s="2"/>
      <c r="AO264" s="2"/>
      <c r="AP264" s="2"/>
      <c r="AQ264" s="2"/>
      <c r="AR264" s="2"/>
      <c r="AS264" s="2"/>
      <c r="AT264" s="2"/>
    </row>
    <row r="265" spans="1:46" outlineLevel="1" x14ac:dyDescent="0.2">
      <c r="A265" s="197"/>
      <c r="B265" s="264"/>
      <c r="C265" s="408"/>
      <c r="D265" s="23" t="s">
        <v>126</v>
      </c>
      <c r="E265" s="53">
        <f t="shared" ref="E265:K265" si="166">ROUND(E266*$T$164,0)</f>
        <v>0</v>
      </c>
      <c r="F265" s="53">
        <f t="shared" si="166"/>
        <v>0</v>
      </c>
      <c r="G265" s="53">
        <f t="shared" si="166"/>
        <v>0</v>
      </c>
      <c r="H265" s="53">
        <f t="shared" si="166"/>
        <v>0</v>
      </c>
      <c r="I265" s="53">
        <f t="shared" si="166"/>
        <v>0</v>
      </c>
      <c r="J265" s="53">
        <f t="shared" si="166"/>
        <v>0</v>
      </c>
      <c r="K265" s="53">
        <f t="shared" si="166"/>
        <v>0</v>
      </c>
      <c r="L265" s="197"/>
      <c r="M265" s="197"/>
      <c r="N265" s="197"/>
      <c r="O265" s="197"/>
      <c r="P265" s="197"/>
      <c r="Q265" s="197"/>
      <c r="R265" s="197"/>
      <c r="S265" s="197"/>
      <c r="T265" s="197"/>
      <c r="U265" s="197"/>
      <c r="V265" s="264"/>
      <c r="W265" s="597"/>
      <c r="X265" s="13"/>
      <c r="Y265" s="13"/>
      <c r="Z265" s="13"/>
      <c r="AA265" s="13"/>
      <c r="AB265" s="2"/>
      <c r="AC265" s="2"/>
      <c r="AD265" s="2"/>
      <c r="AE265" s="2"/>
      <c r="AF265" s="2"/>
      <c r="AG265" s="2"/>
      <c r="AH265" s="2"/>
      <c r="AI265" s="2"/>
      <c r="AJ265" s="2"/>
      <c r="AK265" s="2"/>
      <c r="AL265" s="2"/>
      <c r="AM265" s="2"/>
      <c r="AN265" s="2"/>
      <c r="AO265" s="2"/>
      <c r="AP265" s="2"/>
      <c r="AQ265" s="2"/>
      <c r="AR265" s="2"/>
      <c r="AS265" s="2"/>
      <c r="AT265" s="2"/>
    </row>
    <row r="266" spans="1:46" outlineLevel="1" x14ac:dyDescent="0.2">
      <c r="A266" s="197"/>
      <c r="B266" s="264"/>
      <c r="C266" s="408"/>
      <c r="D266" s="117" t="s">
        <v>918</v>
      </c>
      <c r="E266" s="54">
        <f t="shared" ref="E266:K266" si="167">IF(E260="","",E263*E262*E260)</f>
        <v>0</v>
      </c>
      <c r="F266" s="54">
        <f t="shared" si="167"/>
        <v>0</v>
      </c>
      <c r="G266" s="54">
        <f t="shared" si="167"/>
        <v>0</v>
      </c>
      <c r="H266" s="54">
        <f t="shared" si="167"/>
        <v>0</v>
      </c>
      <c r="I266" s="54">
        <f t="shared" si="167"/>
        <v>0</v>
      </c>
      <c r="J266" s="54">
        <f t="shared" si="167"/>
        <v>0</v>
      </c>
      <c r="K266" s="54">
        <f t="shared" si="167"/>
        <v>0</v>
      </c>
      <c r="L266" s="197"/>
      <c r="M266" s="197"/>
      <c r="N266" s="197"/>
      <c r="O266" s="197"/>
      <c r="P266" s="197"/>
      <c r="Q266" s="197"/>
      <c r="R266" s="197"/>
      <c r="S266" s="197"/>
      <c r="T266" s="197"/>
      <c r="U266" s="197"/>
      <c r="V266" s="264"/>
      <c r="W266" s="597"/>
      <c r="X266" s="13"/>
      <c r="Y266" s="13"/>
      <c r="Z266" s="13"/>
      <c r="AA266" s="13"/>
      <c r="AB266" s="2"/>
      <c r="AC266" s="2"/>
      <c r="AD266" s="2"/>
      <c r="AE266" s="2"/>
      <c r="AF266" s="2"/>
      <c r="AG266" s="2"/>
      <c r="AH266" s="2"/>
      <c r="AI266" s="2"/>
      <c r="AJ266" s="2"/>
      <c r="AK266" s="2"/>
      <c r="AL266" s="2"/>
      <c r="AM266" s="2"/>
      <c r="AN266" s="2"/>
      <c r="AO266" s="2"/>
      <c r="AP266" s="2"/>
      <c r="AQ266" s="2"/>
      <c r="AR266" s="2"/>
      <c r="AS266" s="2"/>
      <c r="AT266" s="2"/>
    </row>
    <row r="267" spans="1:46" outlineLevel="1" x14ac:dyDescent="0.2">
      <c r="A267" s="6"/>
      <c r="B267" s="220"/>
      <c r="C267" s="407"/>
      <c r="D267" s="6"/>
      <c r="E267" s="6"/>
      <c r="F267" s="6"/>
      <c r="G267" s="6"/>
      <c r="H267" s="6"/>
      <c r="I267" s="6"/>
      <c r="J267" s="6"/>
      <c r="K267" s="6"/>
      <c r="L267" s="6"/>
      <c r="M267" s="6"/>
      <c r="N267" s="6"/>
      <c r="O267" s="6"/>
      <c r="P267" s="6"/>
      <c r="Q267" s="6"/>
      <c r="R267" s="6"/>
      <c r="S267" s="6"/>
      <c r="T267" s="6"/>
      <c r="U267" s="6"/>
      <c r="V267" s="220"/>
      <c r="W267" s="572"/>
      <c r="X267" s="13"/>
      <c r="Y267" s="13"/>
      <c r="Z267" s="13"/>
      <c r="AA267" s="13"/>
      <c r="AB267" s="1"/>
      <c r="AC267" s="1"/>
      <c r="AD267" s="1"/>
      <c r="AE267" s="1"/>
      <c r="AF267" s="1"/>
      <c r="AG267" s="1"/>
      <c r="AH267" s="1"/>
      <c r="AI267" s="1"/>
      <c r="AJ267" s="1"/>
      <c r="AK267" s="1"/>
      <c r="AL267" s="1"/>
      <c r="AM267" s="1"/>
      <c r="AN267" s="1"/>
      <c r="AO267" s="1"/>
      <c r="AP267" s="1"/>
      <c r="AQ267" s="1"/>
      <c r="AR267" s="1"/>
      <c r="AS267" s="1"/>
      <c r="AT267" s="1"/>
    </row>
    <row r="268" spans="1:46" x14ac:dyDescent="0.2">
      <c r="A268" s="6"/>
      <c r="B268" s="220"/>
      <c r="C268" s="407"/>
      <c r="D268" s="6"/>
      <c r="E268" s="6"/>
      <c r="F268" s="6"/>
      <c r="G268" s="6"/>
      <c r="H268" s="6"/>
      <c r="I268" s="6"/>
      <c r="J268" s="6"/>
      <c r="K268" s="6"/>
      <c r="L268" s="6"/>
      <c r="M268" s="6"/>
      <c r="N268" s="6"/>
      <c r="O268" s="6"/>
      <c r="P268" s="6"/>
      <c r="Q268" s="6"/>
      <c r="R268" s="6"/>
      <c r="S268" s="6"/>
      <c r="T268" s="6"/>
      <c r="U268" s="6"/>
      <c r="V268" s="220"/>
      <c r="W268" s="572"/>
      <c r="X268" s="13"/>
      <c r="Y268" s="13"/>
      <c r="Z268" s="13"/>
      <c r="AA268" s="13"/>
      <c r="AB268" s="1"/>
      <c r="AC268" s="1"/>
      <c r="AD268" s="1"/>
      <c r="AE268" s="1"/>
      <c r="AF268" s="1"/>
      <c r="AG268" s="1"/>
      <c r="AH268" s="1"/>
      <c r="AI268" s="1"/>
      <c r="AJ268" s="1"/>
      <c r="AK268" s="1"/>
      <c r="AL268" s="1"/>
      <c r="AM268" s="1"/>
      <c r="AN268" s="1"/>
      <c r="AO268" s="1"/>
      <c r="AP268" s="1"/>
      <c r="AQ268" s="1"/>
      <c r="AR268" s="1"/>
      <c r="AS268" s="1"/>
      <c r="AT268" s="1"/>
    </row>
    <row r="269" spans="1:46" ht="15" x14ac:dyDescent="0.2">
      <c r="A269" s="172"/>
      <c r="B269" s="172"/>
      <c r="C269" s="405">
        <v>8</v>
      </c>
      <c r="D269" s="221" t="str">
        <f>D165</f>
        <v>** NOT USED **</v>
      </c>
      <c r="E269" s="207"/>
      <c r="F269" s="207"/>
      <c r="G269" s="207"/>
      <c r="H269" s="207"/>
      <c r="I269" s="782" t="str">
        <f>IF(D269&lt;&gt;MsgNotUsed,"Co-payment group " &amp; INDEX(CoPayBandMS,C269),"")</f>
        <v/>
      </c>
      <c r="J269" s="782"/>
      <c r="K269" s="207"/>
      <c r="L269" s="207"/>
      <c r="M269" s="207"/>
      <c r="N269" s="207"/>
      <c r="O269" s="207"/>
      <c r="P269" s="207"/>
      <c r="Q269" s="207"/>
      <c r="R269" s="207"/>
      <c r="S269" s="207"/>
      <c r="T269" s="207"/>
      <c r="U269" s="207"/>
      <c r="V269" s="207"/>
      <c r="W269" s="207"/>
      <c r="X269" s="13"/>
      <c r="Y269" s="13"/>
      <c r="Z269" s="13"/>
      <c r="AA269" s="13"/>
    </row>
    <row r="270" spans="1:46" ht="15.75" outlineLevel="1" x14ac:dyDescent="0.2">
      <c r="A270" s="192"/>
      <c r="B270" s="192"/>
      <c r="C270" s="406"/>
      <c r="D270" s="193"/>
      <c r="E270" s="192"/>
      <c r="F270" s="192"/>
      <c r="G270" s="192"/>
      <c r="H270" s="192"/>
      <c r="I270" s="192"/>
      <c r="J270" s="192"/>
      <c r="K270" s="192"/>
      <c r="L270" s="192"/>
      <c r="M270" s="192"/>
      <c r="N270" s="192"/>
      <c r="O270" s="192"/>
      <c r="P270" s="192"/>
      <c r="Q270" s="192"/>
      <c r="R270" s="192"/>
      <c r="S270" s="192"/>
      <c r="T270" s="192"/>
      <c r="U270" s="192"/>
      <c r="V270" s="192"/>
      <c r="W270" s="192"/>
      <c r="X270" s="13"/>
      <c r="Y270" s="13"/>
      <c r="Z270" s="13"/>
      <c r="AA270" s="13"/>
      <c r="AB270" s="3"/>
      <c r="AC270" s="3"/>
      <c r="AD270" s="3"/>
      <c r="AE270" s="3"/>
      <c r="AF270" s="3"/>
      <c r="AG270" s="3"/>
      <c r="AH270" s="3"/>
      <c r="AI270" s="3"/>
      <c r="AJ270" s="3"/>
      <c r="AK270" s="3"/>
      <c r="AL270" s="3"/>
      <c r="AM270" s="3"/>
      <c r="AN270" s="3"/>
      <c r="AO270" s="3"/>
      <c r="AP270" s="3"/>
      <c r="AQ270" s="3"/>
      <c r="AR270" s="3"/>
      <c r="AS270" s="3"/>
      <c r="AT270" s="3"/>
    </row>
    <row r="271" spans="1:46" ht="14.25" customHeight="1" outlineLevel="1" x14ac:dyDescent="0.2">
      <c r="A271" s="6"/>
      <c r="B271" s="220"/>
      <c r="C271" s="407"/>
      <c r="D271" s="15"/>
      <c r="E271" s="87">
        <f>F271-1</f>
        <v>-1</v>
      </c>
      <c r="F271" s="87">
        <f>FirstYear</f>
        <v>0</v>
      </c>
      <c r="G271" s="87">
        <f>F271+1</f>
        <v>1</v>
      </c>
      <c r="H271" s="87">
        <f>G271+1</f>
        <v>2</v>
      </c>
      <c r="I271" s="87">
        <f>H271+1</f>
        <v>3</v>
      </c>
      <c r="J271" s="87">
        <f>I271+1</f>
        <v>4</v>
      </c>
      <c r="K271" s="87">
        <f>J271+1</f>
        <v>5</v>
      </c>
      <c r="L271" s="6"/>
      <c r="M271" s="195"/>
      <c r="N271" s="6"/>
      <c r="O271" s="6"/>
      <c r="P271" s="195"/>
      <c r="Q271" s="6"/>
      <c r="R271" s="6"/>
      <c r="S271" s="6"/>
      <c r="T271" s="6"/>
      <c r="U271" s="6"/>
      <c r="V271" s="220"/>
      <c r="W271" s="572"/>
      <c r="X271" s="13"/>
      <c r="Y271" s="13"/>
      <c r="Z271" s="13"/>
      <c r="AA271" s="13"/>
      <c r="AB271" s="1"/>
      <c r="AC271" s="1"/>
      <c r="AD271" s="1"/>
      <c r="AE271" s="1"/>
      <c r="AF271" s="1"/>
      <c r="AG271" s="1"/>
      <c r="AH271" s="1"/>
      <c r="AI271" s="1"/>
      <c r="AJ271" s="1"/>
      <c r="AK271" s="1"/>
      <c r="AL271" s="1"/>
      <c r="AM271" s="1"/>
      <c r="AN271" s="1"/>
      <c r="AO271" s="1"/>
      <c r="AP271" s="1"/>
      <c r="AQ271" s="1"/>
      <c r="AR271" s="1"/>
      <c r="AS271" s="1"/>
      <c r="AT271" s="1"/>
    </row>
    <row r="272" spans="1:46" outlineLevel="1" x14ac:dyDescent="0.2">
      <c r="A272" s="6"/>
      <c r="B272" s="220"/>
      <c r="C272" s="407"/>
      <c r="D272" s="8" t="s">
        <v>132</v>
      </c>
      <c r="E272" s="53">
        <f>INDEX(ScriptsMSAdditional,$C269) * INDEX(NamesMSAdditional,$C269,3)</f>
        <v>0</v>
      </c>
      <c r="F272" s="53">
        <f t="shared" ref="F272:K272" si="168">IF(E272="","",E272*(1+E273))</f>
        <v>0</v>
      </c>
      <c r="G272" s="53">
        <f t="shared" si="168"/>
        <v>0</v>
      </c>
      <c r="H272" s="53">
        <f t="shared" si="168"/>
        <v>0</v>
      </c>
      <c r="I272" s="53">
        <f t="shared" si="168"/>
        <v>0</v>
      </c>
      <c r="J272" s="53">
        <f>IF(I272="","",I272*(1+I273))</f>
        <v>0</v>
      </c>
      <c r="K272" s="53">
        <f t="shared" si="168"/>
        <v>0</v>
      </c>
      <c r="L272" s="6"/>
      <c r="M272" s="19" t="s">
        <v>292</v>
      </c>
      <c r="N272" s="6"/>
      <c r="O272" s="195"/>
      <c r="P272" s="6"/>
      <c r="Q272" s="6"/>
      <c r="R272" s="195"/>
      <c r="S272" s="195"/>
      <c r="T272" s="195"/>
      <c r="U272" s="195"/>
      <c r="V272" s="195"/>
      <c r="W272" s="595"/>
      <c r="X272" s="13"/>
      <c r="Y272" s="13"/>
      <c r="Z272" s="13"/>
      <c r="AA272" s="13"/>
      <c r="AB272" s="1"/>
      <c r="AC272" s="1"/>
      <c r="AD272" s="1"/>
      <c r="AE272" s="1"/>
      <c r="AF272" s="1"/>
      <c r="AG272" s="1"/>
      <c r="AH272" s="1"/>
      <c r="AI272" s="1"/>
      <c r="AJ272" s="1"/>
      <c r="AK272" s="1"/>
      <c r="AL272" s="1"/>
      <c r="AM272" s="1"/>
      <c r="AN272" s="1"/>
      <c r="AO272" s="1"/>
      <c r="AP272" s="1"/>
      <c r="AQ272" s="1"/>
      <c r="AR272" s="1"/>
      <c r="AS272" s="1"/>
      <c r="AT272" s="1"/>
    </row>
    <row r="273" spans="1:46" outlineLevel="1" x14ac:dyDescent="0.2">
      <c r="A273" s="6"/>
      <c r="B273" s="220"/>
      <c r="C273" s="407"/>
      <c r="D273" s="21" t="s">
        <v>27</v>
      </c>
      <c r="E273" s="49"/>
      <c r="F273" s="49"/>
      <c r="G273" s="49"/>
      <c r="H273" s="49"/>
      <c r="I273" s="49"/>
      <c r="J273" s="49"/>
      <c r="K273" s="48"/>
      <c r="L273" s="6"/>
      <c r="M273" s="838"/>
      <c r="N273" s="839"/>
      <c r="O273" s="839"/>
      <c r="P273" s="6"/>
      <c r="Q273" s="6"/>
      <c r="R273" s="6"/>
      <c r="S273" s="6"/>
      <c r="T273" s="6"/>
      <c r="U273" s="6"/>
      <c r="V273" s="220"/>
      <c r="W273" s="572"/>
      <c r="X273" s="13"/>
      <c r="Y273" s="13"/>
      <c r="Z273" s="13"/>
      <c r="AA273" s="13"/>
      <c r="AB273" s="1"/>
      <c r="AC273" s="1"/>
      <c r="AD273" s="1"/>
      <c r="AE273" s="1"/>
      <c r="AF273" s="1"/>
      <c r="AG273" s="1"/>
      <c r="AH273" s="1"/>
      <c r="AI273" s="1"/>
      <c r="AJ273" s="1"/>
      <c r="AK273" s="1"/>
      <c r="AL273" s="1"/>
      <c r="AM273" s="1"/>
      <c r="AN273" s="1"/>
      <c r="AO273" s="1"/>
      <c r="AP273" s="1"/>
      <c r="AQ273" s="1"/>
      <c r="AR273" s="1"/>
      <c r="AS273" s="1"/>
      <c r="AT273" s="1"/>
    </row>
    <row r="274" spans="1:46" outlineLevel="1" x14ac:dyDescent="0.2">
      <c r="A274" s="6"/>
      <c r="B274" s="220"/>
      <c r="C274" s="407"/>
      <c r="D274" s="21" t="s">
        <v>34</v>
      </c>
      <c r="E274" s="49"/>
      <c r="F274" s="49"/>
      <c r="G274" s="49"/>
      <c r="H274" s="49"/>
      <c r="I274" s="49"/>
      <c r="J274" s="49"/>
      <c r="K274" s="49"/>
      <c r="L274" s="6"/>
      <c r="M274" s="838"/>
      <c r="N274" s="839"/>
      <c r="O274" s="839"/>
      <c r="P274" s="6"/>
      <c r="Q274" s="6"/>
      <c r="R274" s="6"/>
      <c r="S274" s="6"/>
      <c r="T274" s="6"/>
      <c r="U274" s="6"/>
      <c r="V274" s="220"/>
      <c r="W274" s="572"/>
      <c r="X274" s="13"/>
      <c r="Y274" s="13"/>
      <c r="Z274" s="13"/>
      <c r="AA274" s="13"/>
      <c r="AB274" s="1"/>
      <c r="AC274" s="1"/>
      <c r="AD274" s="1"/>
      <c r="AE274" s="1"/>
      <c r="AF274" s="1"/>
      <c r="AG274" s="1"/>
      <c r="AH274" s="1"/>
      <c r="AI274" s="1"/>
      <c r="AJ274" s="1"/>
      <c r="AK274" s="1"/>
      <c r="AL274" s="1"/>
      <c r="AM274" s="1"/>
      <c r="AN274" s="1"/>
      <c r="AO274" s="1"/>
      <c r="AP274" s="1"/>
      <c r="AQ274" s="1"/>
      <c r="AR274" s="1"/>
      <c r="AS274" s="1"/>
      <c r="AT274" s="1"/>
    </row>
    <row r="275" spans="1:46" outlineLevel="1" x14ac:dyDescent="0.2">
      <c r="A275" s="6"/>
      <c r="B275" s="220"/>
      <c r="C275" s="407"/>
      <c r="D275" s="21" t="s">
        <v>923</v>
      </c>
      <c r="E275" s="49"/>
      <c r="F275" s="49"/>
      <c r="G275" s="49"/>
      <c r="H275" s="49"/>
      <c r="I275" s="49"/>
      <c r="J275" s="49"/>
      <c r="K275" s="49"/>
      <c r="L275" s="6"/>
      <c r="M275" s="838"/>
      <c r="N275" s="839"/>
      <c r="O275" s="839"/>
      <c r="P275" s="6"/>
      <c r="Q275" s="6"/>
      <c r="R275" s="6"/>
      <c r="S275" s="6"/>
      <c r="T275" s="6"/>
      <c r="U275" s="6"/>
      <c r="V275" s="220"/>
      <c r="W275" s="572"/>
      <c r="X275" s="13"/>
      <c r="Y275" s="13"/>
      <c r="Z275" s="13"/>
      <c r="AA275" s="13"/>
      <c r="AB275" s="1"/>
      <c r="AC275" s="1"/>
      <c r="AD275" s="1"/>
      <c r="AE275" s="1"/>
      <c r="AF275" s="1"/>
      <c r="AG275" s="1"/>
      <c r="AH275" s="1"/>
      <c r="AI275" s="1"/>
      <c r="AJ275" s="1"/>
      <c r="AK275" s="1"/>
      <c r="AL275" s="1"/>
      <c r="AM275" s="1"/>
      <c r="AN275" s="1"/>
      <c r="AO275" s="1"/>
      <c r="AP275" s="1"/>
      <c r="AQ275" s="1"/>
      <c r="AR275" s="1"/>
      <c r="AS275" s="1"/>
      <c r="AT275" s="1"/>
    </row>
    <row r="276" spans="1:46" outlineLevel="1" x14ac:dyDescent="0.2">
      <c r="A276" s="197"/>
      <c r="B276" s="264"/>
      <c r="C276" s="408"/>
      <c r="D276" s="23" t="s">
        <v>125</v>
      </c>
      <c r="E276" s="53">
        <f t="shared" ref="E276:K276" si="169">E278-E277</f>
        <v>0</v>
      </c>
      <c r="F276" s="53">
        <f t="shared" si="169"/>
        <v>0</v>
      </c>
      <c r="G276" s="53">
        <f t="shared" si="169"/>
        <v>0</v>
      </c>
      <c r="H276" s="53">
        <f t="shared" si="169"/>
        <v>0</v>
      </c>
      <c r="I276" s="53">
        <f t="shared" si="169"/>
        <v>0</v>
      </c>
      <c r="J276" s="53">
        <f t="shared" si="169"/>
        <v>0</v>
      </c>
      <c r="K276" s="53">
        <f t="shared" si="169"/>
        <v>0</v>
      </c>
      <c r="L276" s="197"/>
      <c r="M276" s="197"/>
      <c r="N276" s="197"/>
      <c r="O276" s="197"/>
      <c r="P276" s="197"/>
      <c r="Q276" s="197"/>
      <c r="R276" s="197"/>
      <c r="S276" s="197"/>
      <c r="T276" s="197"/>
      <c r="U276" s="197"/>
      <c r="V276" s="264"/>
      <c r="W276" s="597"/>
      <c r="X276" s="13"/>
      <c r="Y276" s="13"/>
      <c r="Z276" s="13"/>
      <c r="AA276" s="13"/>
      <c r="AB276" s="2"/>
      <c r="AC276" s="2"/>
      <c r="AD276" s="2"/>
      <c r="AE276" s="2"/>
      <c r="AF276" s="2"/>
      <c r="AG276" s="2"/>
      <c r="AH276" s="2"/>
      <c r="AI276" s="2"/>
      <c r="AJ276" s="2"/>
      <c r="AK276" s="2"/>
      <c r="AL276" s="2"/>
      <c r="AM276" s="2"/>
      <c r="AN276" s="2"/>
      <c r="AO276" s="2"/>
      <c r="AP276" s="2"/>
      <c r="AQ276" s="2"/>
      <c r="AR276" s="2"/>
      <c r="AS276" s="2"/>
      <c r="AT276" s="2"/>
    </row>
    <row r="277" spans="1:46" outlineLevel="1" x14ac:dyDescent="0.2">
      <c r="A277" s="197"/>
      <c r="B277" s="264"/>
      <c r="C277" s="408"/>
      <c r="D277" s="23" t="s">
        <v>126</v>
      </c>
      <c r="E277" s="53">
        <f t="shared" ref="E277:K277" si="170">ROUND(E278*$T$165,0)</f>
        <v>0</v>
      </c>
      <c r="F277" s="53">
        <f t="shared" si="170"/>
        <v>0</v>
      </c>
      <c r="G277" s="53">
        <f t="shared" si="170"/>
        <v>0</v>
      </c>
      <c r="H277" s="53">
        <f t="shared" si="170"/>
        <v>0</v>
      </c>
      <c r="I277" s="53">
        <f t="shared" si="170"/>
        <v>0</v>
      </c>
      <c r="J277" s="53">
        <f t="shared" si="170"/>
        <v>0</v>
      </c>
      <c r="K277" s="53">
        <f t="shared" si="170"/>
        <v>0</v>
      </c>
      <c r="L277" s="197"/>
      <c r="M277" s="197"/>
      <c r="N277" s="197"/>
      <c r="O277" s="197"/>
      <c r="P277" s="197"/>
      <c r="Q277" s="197"/>
      <c r="R277" s="197"/>
      <c r="S277" s="197"/>
      <c r="T277" s="197"/>
      <c r="U277" s="197"/>
      <c r="V277" s="264"/>
      <c r="W277" s="597"/>
      <c r="X277" s="13"/>
      <c r="Y277" s="13"/>
      <c r="Z277" s="13"/>
      <c r="AA277" s="13"/>
      <c r="AB277" s="2"/>
      <c r="AC277" s="2"/>
      <c r="AD277" s="2"/>
      <c r="AE277" s="2"/>
      <c r="AF277" s="2"/>
      <c r="AG277" s="2"/>
      <c r="AH277" s="2"/>
      <c r="AI277" s="2"/>
      <c r="AJ277" s="2"/>
      <c r="AK277" s="2"/>
      <c r="AL277" s="2"/>
      <c r="AM277" s="2"/>
      <c r="AN277" s="2"/>
      <c r="AO277" s="2"/>
      <c r="AP277" s="2"/>
      <c r="AQ277" s="2"/>
      <c r="AR277" s="2"/>
      <c r="AS277" s="2"/>
      <c r="AT277" s="2"/>
    </row>
    <row r="278" spans="1:46" outlineLevel="1" x14ac:dyDescent="0.2">
      <c r="A278" s="197"/>
      <c r="B278" s="264"/>
      <c r="C278" s="408"/>
      <c r="D278" s="117" t="s">
        <v>918</v>
      </c>
      <c r="E278" s="54">
        <f t="shared" ref="E278:K278" si="171">IF(E272="","",E275*E274*E272)</f>
        <v>0</v>
      </c>
      <c r="F278" s="54">
        <f t="shared" si="171"/>
        <v>0</v>
      </c>
      <c r="G278" s="54">
        <f t="shared" si="171"/>
        <v>0</v>
      </c>
      <c r="H278" s="54">
        <f t="shared" si="171"/>
        <v>0</v>
      </c>
      <c r="I278" s="54">
        <f t="shared" si="171"/>
        <v>0</v>
      </c>
      <c r="J278" s="54">
        <f t="shared" si="171"/>
        <v>0</v>
      </c>
      <c r="K278" s="54">
        <f t="shared" si="171"/>
        <v>0</v>
      </c>
      <c r="L278" s="197"/>
      <c r="M278" s="197"/>
      <c r="N278" s="197"/>
      <c r="O278" s="197"/>
      <c r="P278" s="197"/>
      <c r="Q278" s="197"/>
      <c r="R278" s="197"/>
      <c r="S278" s="197"/>
      <c r="T278" s="197"/>
      <c r="U278" s="197"/>
      <c r="V278" s="264"/>
      <c r="W278" s="597"/>
      <c r="X278" s="13"/>
      <c r="Y278" s="13"/>
      <c r="Z278" s="13"/>
      <c r="AA278" s="13"/>
      <c r="AB278" s="2"/>
      <c r="AC278" s="2"/>
      <c r="AD278" s="2"/>
      <c r="AE278" s="2"/>
      <c r="AF278" s="2"/>
      <c r="AG278" s="2"/>
      <c r="AH278" s="2"/>
      <c r="AI278" s="2"/>
      <c r="AJ278" s="2"/>
      <c r="AK278" s="2"/>
      <c r="AL278" s="2"/>
      <c r="AM278" s="2"/>
      <c r="AN278" s="2"/>
      <c r="AO278" s="2"/>
      <c r="AP278" s="2"/>
      <c r="AQ278" s="2"/>
      <c r="AR278" s="2"/>
      <c r="AS278" s="2"/>
      <c r="AT278" s="2"/>
    </row>
    <row r="279" spans="1:46" outlineLevel="1" x14ac:dyDescent="0.2">
      <c r="A279" s="6"/>
      <c r="B279" s="220"/>
      <c r="C279" s="407"/>
      <c r="D279" s="6"/>
      <c r="E279" s="6"/>
      <c r="F279" s="6"/>
      <c r="G279" s="6"/>
      <c r="H279" s="6"/>
      <c r="I279" s="6"/>
      <c r="J279" s="6"/>
      <c r="K279" s="6"/>
      <c r="L279" s="6"/>
      <c r="M279" s="6"/>
      <c r="N279" s="6"/>
      <c r="O279" s="6"/>
      <c r="P279" s="6"/>
      <c r="Q279" s="6"/>
      <c r="R279" s="6"/>
      <c r="S279" s="6"/>
      <c r="T279" s="6"/>
      <c r="U279" s="6"/>
      <c r="V279" s="220"/>
      <c r="W279" s="572"/>
      <c r="X279" s="13"/>
      <c r="Y279" s="13"/>
      <c r="Z279" s="13"/>
      <c r="AA279" s="13"/>
      <c r="AB279" s="1"/>
      <c r="AC279" s="1"/>
      <c r="AD279" s="1"/>
      <c r="AE279" s="1"/>
      <c r="AF279" s="1"/>
      <c r="AG279" s="1"/>
      <c r="AH279" s="1"/>
      <c r="AI279" s="1"/>
      <c r="AJ279" s="1"/>
      <c r="AK279" s="1"/>
      <c r="AL279" s="1"/>
      <c r="AM279" s="1"/>
      <c r="AN279" s="1"/>
      <c r="AO279" s="1"/>
      <c r="AP279" s="1"/>
      <c r="AQ279" s="1"/>
      <c r="AR279" s="1"/>
      <c r="AS279" s="1"/>
      <c r="AT279" s="1"/>
    </row>
    <row r="280" spans="1:46" x14ac:dyDescent="0.2">
      <c r="A280" s="6"/>
      <c r="B280" s="220"/>
      <c r="C280" s="407"/>
      <c r="D280" s="6"/>
      <c r="E280" s="6"/>
      <c r="F280" s="6"/>
      <c r="G280" s="6"/>
      <c r="H280" s="6"/>
      <c r="I280" s="6"/>
      <c r="J280" s="6"/>
      <c r="K280" s="6"/>
      <c r="L280" s="6"/>
      <c r="M280" s="6"/>
      <c r="N280" s="6"/>
      <c r="O280" s="6"/>
      <c r="P280" s="6"/>
      <c r="Q280" s="6"/>
      <c r="R280" s="6"/>
      <c r="S280" s="6"/>
      <c r="T280" s="6"/>
      <c r="U280" s="6"/>
      <c r="V280" s="220"/>
      <c r="W280" s="572"/>
      <c r="X280" s="13"/>
      <c r="Y280" s="13"/>
      <c r="Z280" s="13"/>
      <c r="AA280" s="13"/>
      <c r="AB280" s="1"/>
      <c r="AC280" s="1"/>
      <c r="AD280" s="1"/>
      <c r="AE280" s="1"/>
      <c r="AF280" s="1"/>
      <c r="AG280" s="1"/>
      <c r="AH280" s="1"/>
      <c r="AI280" s="1"/>
      <c r="AJ280" s="1"/>
      <c r="AK280" s="1"/>
      <c r="AL280" s="1"/>
      <c r="AM280" s="1"/>
      <c r="AN280" s="1"/>
      <c r="AO280" s="1"/>
      <c r="AP280" s="1"/>
      <c r="AQ280" s="1"/>
      <c r="AR280" s="1"/>
      <c r="AS280" s="1"/>
      <c r="AT280" s="1"/>
    </row>
    <row r="281" spans="1:46" ht="15" x14ac:dyDescent="0.2">
      <c r="A281" s="172"/>
      <c r="B281" s="172"/>
      <c r="C281" s="405">
        <v>9</v>
      </c>
      <c r="D281" s="221" t="str">
        <f>D166</f>
        <v>** NOT USED **</v>
      </c>
      <c r="E281" s="207"/>
      <c r="F281" s="207"/>
      <c r="G281" s="207"/>
      <c r="H281" s="207"/>
      <c r="I281" s="782" t="str">
        <f>IF(D281&lt;&gt;MsgNotUsed,"Co-payment group " &amp; INDEX(CoPayBandMS,C281),"")</f>
        <v/>
      </c>
      <c r="J281" s="782"/>
      <c r="K281" s="207"/>
      <c r="L281" s="207"/>
      <c r="M281" s="207"/>
      <c r="N281" s="207"/>
      <c r="O281" s="207"/>
      <c r="P281" s="207"/>
      <c r="Q281" s="207"/>
      <c r="R281" s="207"/>
      <c r="S281" s="207"/>
      <c r="T281" s="207"/>
      <c r="U281" s="207"/>
      <c r="V281" s="207"/>
      <c r="W281" s="207"/>
      <c r="X281" s="13"/>
      <c r="Y281" s="13"/>
      <c r="Z281" s="13"/>
      <c r="AA281" s="13"/>
    </row>
    <row r="282" spans="1:46" ht="15.75" outlineLevel="1" x14ac:dyDescent="0.2">
      <c r="A282" s="192"/>
      <c r="B282" s="192"/>
      <c r="C282" s="406"/>
      <c r="D282" s="193"/>
      <c r="E282" s="192"/>
      <c r="F282" s="192"/>
      <c r="G282" s="192"/>
      <c r="H282" s="192"/>
      <c r="I282" s="192"/>
      <c r="J282" s="192"/>
      <c r="K282" s="192"/>
      <c r="L282" s="192"/>
      <c r="M282" s="192"/>
      <c r="N282" s="192"/>
      <c r="O282" s="192"/>
      <c r="P282" s="192"/>
      <c r="Q282" s="192"/>
      <c r="R282" s="192"/>
      <c r="S282" s="192"/>
      <c r="T282" s="192"/>
      <c r="U282" s="192"/>
      <c r="V282" s="192"/>
      <c r="W282" s="192"/>
      <c r="X282" s="13"/>
      <c r="Y282" s="13"/>
      <c r="Z282" s="13"/>
      <c r="AA282" s="13"/>
      <c r="AB282" s="3"/>
      <c r="AC282" s="3"/>
      <c r="AD282" s="3"/>
      <c r="AE282" s="3"/>
      <c r="AF282" s="3"/>
      <c r="AG282" s="3"/>
      <c r="AH282" s="3"/>
      <c r="AI282" s="3"/>
      <c r="AJ282" s="3"/>
      <c r="AK282" s="3"/>
      <c r="AL282" s="3"/>
      <c r="AM282" s="3"/>
      <c r="AN282" s="3"/>
      <c r="AO282" s="3"/>
      <c r="AP282" s="3"/>
      <c r="AQ282" s="3"/>
      <c r="AR282" s="3"/>
      <c r="AS282" s="3"/>
      <c r="AT282" s="3"/>
    </row>
    <row r="283" spans="1:46" ht="14.25" customHeight="1" outlineLevel="1" x14ac:dyDescent="0.2">
      <c r="A283" s="6"/>
      <c r="B283" s="220"/>
      <c r="C283" s="407"/>
      <c r="D283" s="15"/>
      <c r="E283" s="87">
        <f>F283-1</f>
        <v>-1</v>
      </c>
      <c r="F283" s="87">
        <f>FirstYear</f>
        <v>0</v>
      </c>
      <c r="G283" s="87">
        <f>F283+1</f>
        <v>1</v>
      </c>
      <c r="H283" s="87">
        <f>G283+1</f>
        <v>2</v>
      </c>
      <c r="I283" s="87">
        <f>H283+1</f>
        <v>3</v>
      </c>
      <c r="J283" s="87">
        <f>I283+1</f>
        <v>4</v>
      </c>
      <c r="K283" s="87">
        <f>J283+1</f>
        <v>5</v>
      </c>
      <c r="L283" s="6"/>
      <c r="M283" s="195"/>
      <c r="N283" s="6"/>
      <c r="O283" s="6"/>
      <c r="P283" s="195"/>
      <c r="Q283" s="6"/>
      <c r="R283" s="6"/>
      <c r="S283" s="6"/>
      <c r="T283" s="6"/>
      <c r="U283" s="6"/>
      <c r="V283" s="220"/>
      <c r="W283" s="572"/>
      <c r="X283" s="13"/>
      <c r="Y283" s="13"/>
      <c r="Z283" s="13"/>
      <c r="AA283" s="13"/>
      <c r="AB283" s="1"/>
      <c r="AC283" s="1"/>
      <c r="AD283" s="1"/>
      <c r="AE283" s="1"/>
      <c r="AF283" s="1"/>
      <c r="AG283" s="1"/>
      <c r="AH283" s="1"/>
      <c r="AI283" s="1"/>
      <c r="AJ283" s="1"/>
      <c r="AK283" s="1"/>
      <c r="AL283" s="1"/>
      <c r="AM283" s="1"/>
      <c r="AN283" s="1"/>
      <c r="AO283" s="1"/>
      <c r="AP283" s="1"/>
      <c r="AQ283" s="1"/>
      <c r="AR283" s="1"/>
      <c r="AS283" s="1"/>
      <c r="AT283" s="1"/>
    </row>
    <row r="284" spans="1:46" outlineLevel="1" x14ac:dyDescent="0.2">
      <c r="A284" s="6"/>
      <c r="B284" s="220"/>
      <c r="C284" s="407"/>
      <c r="D284" s="8" t="s">
        <v>132</v>
      </c>
      <c r="E284" s="53">
        <f>INDEX(ScriptsMSAdditional,$C281) * INDEX(NamesMSAdditional,$C281,3)</f>
        <v>0</v>
      </c>
      <c r="F284" s="53">
        <f t="shared" ref="F284:K284" si="172">IF(E284="","",E284*(1+E285))</f>
        <v>0</v>
      </c>
      <c r="G284" s="53">
        <f t="shared" si="172"/>
        <v>0</v>
      </c>
      <c r="H284" s="53">
        <f t="shared" si="172"/>
        <v>0</v>
      </c>
      <c r="I284" s="53">
        <f t="shared" si="172"/>
        <v>0</v>
      </c>
      <c r="J284" s="53">
        <f>IF(I284="","",I284*(1+I285))</f>
        <v>0</v>
      </c>
      <c r="K284" s="53">
        <f t="shared" si="172"/>
        <v>0</v>
      </c>
      <c r="L284" s="6"/>
      <c r="M284" s="19" t="s">
        <v>292</v>
      </c>
      <c r="N284" s="6"/>
      <c r="O284" s="195"/>
      <c r="P284" s="6"/>
      <c r="Q284" s="6"/>
      <c r="R284" s="195"/>
      <c r="S284" s="195"/>
      <c r="T284" s="195"/>
      <c r="U284" s="195"/>
      <c r="V284" s="195"/>
      <c r="W284" s="595"/>
      <c r="X284" s="13"/>
      <c r="Y284" s="13"/>
      <c r="Z284" s="13"/>
      <c r="AA284" s="13"/>
      <c r="AB284" s="1"/>
      <c r="AC284" s="1"/>
      <c r="AD284" s="1"/>
      <c r="AE284" s="1"/>
      <c r="AF284" s="1"/>
      <c r="AG284" s="1"/>
      <c r="AH284" s="1"/>
      <c r="AI284" s="1"/>
      <c r="AJ284" s="1"/>
      <c r="AK284" s="1"/>
      <c r="AL284" s="1"/>
      <c r="AM284" s="1"/>
      <c r="AN284" s="1"/>
      <c r="AO284" s="1"/>
      <c r="AP284" s="1"/>
      <c r="AQ284" s="1"/>
      <c r="AR284" s="1"/>
      <c r="AS284" s="1"/>
      <c r="AT284" s="1"/>
    </row>
    <row r="285" spans="1:46" outlineLevel="1" x14ac:dyDescent="0.2">
      <c r="A285" s="6"/>
      <c r="B285" s="220"/>
      <c r="C285" s="407"/>
      <c r="D285" s="21" t="s">
        <v>27</v>
      </c>
      <c r="E285" s="49"/>
      <c r="F285" s="49"/>
      <c r="G285" s="49"/>
      <c r="H285" s="49"/>
      <c r="I285" s="49"/>
      <c r="J285" s="49"/>
      <c r="K285" s="48"/>
      <c r="L285" s="6"/>
      <c r="M285" s="838"/>
      <c r="N285" s="839"/>
      <c r="O285" s="839"/>
      <c r="P285" s="6"/>
      <c r="Q285" s="6"/>
      <c r="R285" s="6"/>
      <c r="S285" s="6"/>
      <c r="T285" s="6"/>
      <c r="U285" s="6"/>
      <c r="V285" s="220"/>
      <c r="W285" s="572"/>
      <c r="X285" s="13"/>
      <c r="Y285" s="13"/>
      <c r="Z285" s="13"/>
      <c r="AA285" s="13"/>
      <c r="AB285" s="1"/>
      <c r="AC285" s="1"/>
      <c r="AD285" s="1"/>
      <c r="AE285" s="1"/>
      <c r="AF285" s="1"/>
      <c r="AG285" s="1"/>
      <c r="AH285" s="1"/>
      <c r="AI285" s="1"/>
      <c r="AJ285" s="1"/>
      <c r="AK285" s="1"/>
      <c r="AL285" s="1"/>
      <c r="AM285" s="1"/>
      <c r="AN285" s="1"/>
      <c r="AO285" s="1"/>
      <c r="AP285" s="1"/>
      <c r="AQ285" s="1"/>
      <c r="AR285" s="1"/>
      <c r="AS285" s="1"/>
      <c r="AT285" s="1"/>
    </row>
    <row r="286" spans="1:46" outlineLevel="1" x14ac:dyDescent="0.2">
      <c r="A286" s="6"/>
      <c r="B286" s="220"/>
      <c r="C286" s="407"/>
      <c r="D286" s="21" t="s">
        <v>34</v>
      </c>
      <c r="E286" s="49"/>
      <c r="F286" s="49"/>
      <c r="G286" s="49"/>
      <c r="H286" s="49"/>
      <c r="I286" s="49"/>
      <c r="J286" s="49"/>
      <c r="K286" s="49"/>
      <c r="L286" s="6"/>
      <c r="M286" s="838"/>
      <c r="N286" s="839"/>
      <c r="O286" s="839"/>
      <c r="P286" s="6"/>
      <c r="Q286" s="6"/>
      <c r="R286" s="6"/>
      <c r="S286" s="6"/>
      <c r="T286" s="6"/>
      <c r="U286" s="6"/>
      <c r="V286" s="220"/>
      <c r="W286" s="572"/>
      <c r="X286" s="13"/>
      <c r="Y286" s="13"/>
      <c r="Z286" s="13"/>
      <c r="AA286" s="13"/>
      <c r="AB286" s="1"/>
      <c r="AC286" s="1"/>
      <c r="AD286" s="1"/>
      <c r="AE286" s="1"/>
      <c r="AF286" s="1"/>
      <c r="AG286" s="1"/>
      <c r="AH286" s="1"/>
      <c r="AI286" s="1"/>
      <c r="AJ286" s="1"/>
      <c r="AK286" s="1"/>
      <c r="AL286" s="1"/>
      <c r="AM286" s="1"/>
      <c r="AN286" s="1"/>
      <c r="AO286" s="1"/>
      <c r="AP286" s="1"/>
      <c r="AQ286" s="1"/>
      <c r="AR286" s="1"/>
      <c r="AS286" s="1"/>
      <c r="AT286" s="1"/>
    </row>
    <row r="287" spans="1:46" outlineLevel="1" x14ac:dyDescent="0.2">
      <c r="A287" s="6"/>
      <c r="B287" s="220"/>
      <c r="C287" s="407"/>
      <c r="D287" s="21" t="s">
        <v>923</v>
      </c>
      <c r="E287" s="49"/>
      <c r="F287" s="49"/>
      <c r="G287" s="49"/>
      <c r="H287" s="49"/>
      <c r="I287" s="49"/>
      <c r="J287" s="49"/>
      <c r="K287" s="49"/>
      <c r="L287" s="6"/>
      <c r="M287" s="838"/>
      <c r="N287" s="839"/>
      <c r="O287" s="839"/>
      <c r="P287" s="6"/>
      <c r="Q287" s="6"/>
      <c r="R287" s="6"/>
      <c r="S287" s="6"/>
      <c r="T287" s="6"/>
      <c r="U287" s="6"/>
      <c r="V287" s="220"/>
      <c r="W287" s="572"/>
      <c r="X287" s="13"/>
      <c r="Y287" s="13"/>
      <c r="Z287" s="13"/>
      <c r="AA287" s="13"/>
      <c r="AB287" s="1"/>
      <c r="AC287" s="1"/>
      <c r="AD287" s="1"/>
      <c r="AE287" s="1"/>
      <c r="AF287" s="1"/>
      <c r="AG287" s="1"/>
      <c r="AH287" s="1"/>
      <c r="AI287" s="1"/>
      <c r="AJ287" s="1"/>
      <c r="AK287" s="1"/>
      <c r="AL287" s="1"/>
      <c r="AM287" s="1"/>
      <c r="AN287" s="1"/>
      <c r="AO287" s="1"/>
      <c r="AP287" s="1"/>
      <c r="AQ287" s="1"/>
      <c r="AR287" s="1"/>
      <c r="AS287" s="1"/>
      <c r="AT287" s="1"/>
    </row>
    <row r="288" spans="1:46" outlineLevel="1" x14ac:dyDescent="0.2">
      <c r="A288" s="197"/>
      <c r="B288" s="264"/>
      <c r="C288" s="408"/>
      <c r="D288" s="23" t="s">
        <v>125</v>
      </c>
      <c r="E288" s="53">
        <f t="shared" ref="E288:K288" si="173">E290-E289</f>
        <v>0</v>
      </c>
      <c r="F288" s="53">
        <f t="shared" si="173"/>
        <v>0</v>
      </c>
      <c r="G288" s="53">
        <f t="shared" si="173"/>
        <v>0</v>
      </c>
      <c r="H288" s="53">
        <f t="shared" si="173"/>
        <v>0</v>
      </c>
      <c r="I288" s="53">
        <f t="shared" si="173"/>
        <v>0</v>
      </c>
      <c r="J288" s="53">
        <f t="shared" si="173"/>
        <v>0</v>
      </c>
      <c r="K288" s="53">
        <f t="shared" si="173"/>
        <v>0</v>
      </c>
      <c r="L288" s="197"/>
      <c r="M288" s="197"/>
      <c r="N288" s="197"/>
      <c r="O288" s="197"/>
      <c r="P288" s="197"/>
      <c r="Q288" s="197"/>
      <c r="R288" s="197"/>
      <c r="S288" s="197"/>
      <c r="T288" s="197"/>
      <c r="U288" s="197"/>
      <c r="V288" s="264"/>
      <c r="W288" s="597"/>
      <c r="X288" s="13"/>
      <c r="Y288" s="13"/>
      <c r="Z288" s="13"/>
      <c r="AA288" s="13"/>
      <c r="AB288" s="2"/>
      <c r="AC288" s="2"/>
      <c r="AD288" s="2"/>
      <c r="AE288" s="2"/>
      <c r="AF288" s="2"/>
      <c r="AG288" s="2"/>
      <c r="AH288" s="2"/>
      <c r="AI288" s="2"/>
      <c r="AJ288" s="2"/>
      <c r="AK288" s="2"/>
      <c r="AL288" s="2"/>
      <c r="AM288" s="2"/>
      <c r="AN288" s="2"/>
      <c r="AO288" s="2"/>
      <c r="AP288" s="2"/>
      <c r="AQ288" s="2"/>
      <c r="AR288" s="2"/>
      <c r="AS288" s="2"/>
      <c r="AT288" s="2"/>
    </row>
    <row r="289" spans="1:46" outlineLevel="1" x14ac:dyDescent="0.2">
      <c r="A289" s="197"/>
      <c r="B289" s="264"/>
      <c r="C289" s="408"/>
      <c r="D289" s="23" t="s">
        <v>126</v>
      </c>
      <c r="E289" s="53">
        <f t="shared" ref="E289:K289" si="174">ROUND(E290*$T$166,0)</f>
        <v>0</v>
      </c>
      <c r="F289" s="53">
        <f t="shared" si="174"/>
        <v>0</v>
      </c>
      <c r="G289" s="53">
        <f t="shared" si="174"/>
        <v>0</v>
      </c>
      <c r="H289" s="53">
        <f t="shared" si="174"/>
        <v>0</v>
      </c>
      <c r="I289" s="53">
        <f t="shared" si="174"/>
        <v>0</v>
      </c>
      <c r="J289" s="53">
        <f t="shared" si="174"/>
        <v>0</v>
      </c>
      <c r="K289" s="53">
        <f t="shared" si="174"/>
        <v>0</v>
      </c>
      <c r="L289" s="197"/>
      <c r="M289" s="197"/>
      <c r="N289" s="197"/>
      <c r="O289" s="197"/>
      <c r="P289" s="197"/>
      <c r="Q289" s="197"/>
      <c r="R289" s="197"/>
      <c r="S289" s="197"/>
      <c r="T289" s="197"/>
      <c r="U289" s="197"/>
      <c r="V289" s="264"/>
      <c r="W289" s="597"/>
      <c r="X289" s="13"/>
      <c r="Y289" s="13"/>
      <c r="Z289" s="13"/>
      <c r="AA289" s="13"/>
      <c r="AB289" s="2"/>
      <c r="AC289" s="2"/>
      <c r="AD289" s="2"/>
      <c r="AE289" s="2"/>
      <c r="AF289" s="2"/>
      <c r="AG289" s="2"/>
      <c r="AH289" s="2"/>
      <c r="AI289" s="2"/>
      <c r="AJ289" s="2"/>
      <c r="AK289" s="2"/>
      <c r="AL289" s="2"/>
      <c r="AM289" s="2"/>
      <c r="AN289" s="2"/>
      <c r="AO289" s="2"/>
      <c r="AP289" s="2"/>
      <c r="AQ289" s="2"/>
      <c r="AR289" s="2"/>
      <c r="AS289" s="2"/>
      <c r="AT289" s="2"/>
    </row>
    <row r="290" spans="1:46" outlineLevel="1" x14ac:dyDescent="0.2">
      <c r="A290" s="197"/>
      <c r="B290" s="264"/>
      <c r="C290" s="408"/>
      <c r="D290" s="117" t="s">
        <v>918</v>
      </c>
      <c r="E290" s="54">
        <f t="shared" ref="E290:K290" si="175">IF(E284="","",E287*E286*E284)</f>
        <v>0</v>
      </c>
      <c r="F290" s="54">
        <f t="shared" si="175"/>
        <v>0</v>
      </c>
      <c r="G290" s="54">
        <f t="shared" si="175"/>
        <v>0</v>
      </c>
      <c r="H290" s="54">
        <f t="shared" si="175"/>
        <v>0</v>
      </c>
      <c r="I290" s="54">
        <f t="shared" si="175"/>
        <v>0</v>
      </c>
      <c r="J290" s="54">
        <f t="shared" si="175"/>
        <v>0</v>
      </c>
      <c r="K290" s="54">
        <f t="shared" si="175"/>
        <v>0</v>
      </c>
      <c r="L290" s="197"/>
      <c r="M290" s="197"/>
      <c r="N290" s="197"/>
      <c r="O290" s="197"/>
      <c r="P290" s="197"/>
      <c r="Q290" s="197"/>
      <c r="R290" s="197"/>
      <c r="S290" s="197"/>
      <c r="T290" s="197"/>
      <c r="U290" s="197"/>
      <c r="V290" s="264"/>
      <c r="W290" s="597"/>
      <c r="X290" s="13"/>
      <c r="Y290" s="13"/>
      <c r="Z290" s="13"/>
      <c r="AA290" s="13"/>
      <c r="AB290" s="2"/>
      <c r="AC290" s="2"/>
      <c r="AD290" s="2"/>
      <c r="AE290" s="2"/>
      <c r="AF290" s="2"/>
      <c r="AG290" s="2"/>
      <c r="AH290" s="2"/>
      <c r="AI290" s="2"/>
      <c r="AJ290" s="2"/>
      <c r="AK290" s="2"/>
      <c r="AL290" s="2"/>
      <c r="AM290" s="2"/>
      <c r="AN290" s="2"/>
      <c r="AO290" s="2"/>
      <c r="AP290" s="2"/>
      <c r="AQ290" s="2"/>
      <c r="AR290" s="2"/>
      <c r="AS290" s="2"/>
      <c r="AT290" s="2"/>
    </row>
    <row r="291" spans="1:46" outlineLevel="1" x14ac:dyDescent="0.2">
      <c r="A291" s="6"/>
      <c r="B291" s="220"/>
      <c r="C291" s="407"/>
      <c r="D291" s="6"/>
      <c r="E291" s="6"/>
      <c r="F291" s="6"/>
      <c r="G291" s="6"/>
      <c r="H291" s="6"/>
      <c r="I291" s="6"/>
      <c r="J291" s="6"/>
      <c r="K291" s="6"/>
      <c r="L291" s="6"/>
      <c r="M291" s="6"/>
      <c r="N291" s="6"/>
      <c r="O291" s="6"/>
      <c r="P291" s="6"/>
      <c r="Q291" s="6"/>
      <c r="R291" s="6"/>
      <c r="S291" s="6"/>
      <c r="T291" s="6"/>
      <c r="U291" s="6"/>
      <c r="V291" s="220"/>
      <c r="W291" s="572"/>
      <c r="X291" s="13"/>
      <c r="Y291" s="13"/>
      <c r="Z291" s="13"/>
      <c r="AA291" s="13"/>
      <c r="AB291" s="1"/>
      <c r="AC291" s="1"/>
      <c r="AD291" s="1"/>
      <c r="AE291" s="1"/>
      <c r="AF291" s="1"/>
      <c r="AG291" s="1"/>
      <c r="AH291" s="1"/>
      <c r="AI291" s="1"/>
      <c r="AJ291" s="1"/>
      <c r="AK291" s="1"/>
      <c r="AL291" s="1"/>
      <c r="AM291" s="1"/>
      <c r="AN291" s="1"/>
      <c r="AO291" s="1"/>
      <c r="AP291" s="1"/>
      <c r="AQ291" s="1"/>
      <c r="AR291" s="1"/>
      <c r="AS291" s="1"/>
      <c r="AT291" s="1"/>
    </row>
    <row r="292" spans="1:46" x14ac:dyDescent="0.2">
      <c r="A292" s="6"/>
      <c r="B292" s="220"/>
      <c r="C292" s="407"/>
      <c r="D292" s="6"/>
      <c r="E292" s="6"/>
      <c r="F292" s="6"/>
      <c r="G292" s="6"/>
      <c r="H292" s="6"/>
      <c r="I292" s="6"/>
      <c r="J292" s="6"/>
      <c r="K292" s="6"/>
      <c r="L292" s="6"/>
      <c r="M292" s="6"/>
      <c r="N292" s="6"/>
      <c r="O292" s="6"/>
      <c r="P292" s="6"/>
      <c r="Q292" s="6"/>
      <c r="R292" s="6"/>
      <c r="S292" s="6"/>
      <c r="T292" s="6"/>
      <c r="U292" s="6"/>
      <c r="V292" s="220"/>
      <c r="W292" s="572"/>
      <c r="X292" s="13"/>
      <c r="Y292" s="13"/>
      <c r="Z292" s="13"/>
      <c r="AA292" s="13"/>
      <c r="AB292" s="1"/>
      <c r="AC292" s="1"/>
      <c r="AD292" s="1"/>
      <c r="AE292" s="1"/>
      <c r="AF292" s="1"/>
      <c r="AG292" s="1"/>
      <c r="AH292" s="1"/>
      <c r="AI292" s="1"/>
      <c r="AJ292" s="1"/>
      <c r="AK292" s="1"/>
      <c r="AL292" s="1"/>
      <c r="AM292" s="1"/>
      <c r="AN292" s="1"/>
      <c r="AO292" s="1"/>
      <c r="AP292" s="1"/>
      <c r="AQ292" s="1"/>
      <c r="AR292" s="1"/>
      <c r="AS292" s="1"/>
      <c r="AT292" s="1"/>
    </row>
    <row r="293" spans="1:46" ht="15" x14ac:dyDescent="0.2">
      <c r="A293" s="172"/>
      <c r="B293" s="172"/>
      <c r="C293" s="405">
        <v>10</v>
      </c>
      <c r="D293" s="221" t="str">
        <f>D167</f>
        <v>** NOT USED **</v>
      </c>
      <c r="E293" s="207"/>
      <c r="F293" s="207"/>
      <c r="G293" s="207"/>
      <c r="H293" s="207"/>
      <c r="I293" s="782" t="str">
        <f>IF(D293&lt;&gt;MsgNotUsed,"Co-payment group " &amp; INDEX(CoPayBandMS,C293),"")</f>
        <v/>
      </c>
      <c r="J293" s="782"/>
      <c r="K293" s="207"/>
      <c r="L293" s="207"/>
      <c r="M293" s="207"/>
      <c r="N293" s="207"/>
      <c r="O293" s="207"/>
      <c r="P293" s="207"/>
      <c r="Q293" s="207"/>
      <c r="R293" s="207"/>
      <c r="S293" s="207"/>
      <c r="T293" s="207"/>
      <c r="U293" s="207"/>
      <c r="V293" s="207"/>
      <c r="W293" s="207"/>
      <c r="X293" s="13"/>
      <c r="Y293" s="13"/>
      <c r="Z293" s="13"/>
      <c r="AA293" s="13"/>
    </row>
    <row r="294" spans="1:46" ht="15.75" outlineLevel="1" x14ac:dyDescent="0.2">
      <c r="A294" s="192"/>
      <c r="B294" s="192"/>
      <c r="C294" s="192"/>
      <c r="D294" s="193"/>
      <c r="E294" s="192"/>
      <c r="F294" s="192"/>
      <c r="G294" s="192"/>
      <c r="H294" s="192"/>
      <c r="I294" s="192"/>
      <c r="J294" s="192"/>
      <c r="K294" s="192"/>
      <c r="L294" s="192"/>
      <c r="M294" s="192"/>
      <c r="N294" s="192"/>
      <c r="O294" s="192"/>
      <c r="P294" s="192"/>
      <c r="Q294" s="192"/>
      <c r="R294" s="192"/>
      <c r="S294" s="192"/>
      <c r="T294" s="192"/>
      <c r="U294" s="192"/>
      <c r="V294" s="192"/>
      <c r="W294" s="192"/>
      <c r="X294" s="13"/>
      <c r="Y294" s="13"/>
      <c r="Z294" s="13"/>
      <c r="AA294" s="13"/>
      <c r="AB294" s="3"/>
      <c r="AC294" s="3"/>
      <c r="AD294" s="3"/>
      <c r="AE294" s="3"/>
      <c r="AF294" s="3"/>
      <c r="AG294" s="3"/>
      <c r="AH294" s="3"/>
      <c r="AI294" s="3"/>
      <c r="AJ294" s="3"/>
      <c r="AK294" s="3"/>
      <c r="AL294" s="3"/>
      <c r="AM294" s="3"/>
      <c r="AN294" s="3"/>
      <c r="AO294" s="3"/>
      <c r="AP294" s="3"/>
      <c r="AQ294" s="3"/>
      <c r="AR294" s="3"/>
      <c r="AS294" s="3"/>
      <c r="AT294" s="3"/>
    </row>
    <row r="295" spans="1:46" ht="14.25" customHeight="1" outlineLevel="1" x14ac:dyDescent="0.2">
      <c r="A295" s="6"/>
      <c r="B295" s="220"/>
      <c r="C295" s="6"/>
      <c r="D295" s="15"/>
      <c r="E295" s="87">
        <f>F295-1</f>
        <v>-1</v>
      </c>
      <c r="F295" s="87">
        <f>FirstYear</f>
        <v>0</v>
      </c>
      <c r="G295" s="87">
        <f>F295+1</f>
        <v>1</v>
      </c>
      <c r="H295" s="87">
        <f>G295+1</f>
        <v>2</v>
      </c>
      <c r="I295" s="87">
        <f>H295+1</f>
        <v>3</v>
      </c>
      <c r="J295" s="87">
        <f>I295+1</f>
        <v>4</v>
      </c>
      <c r="K295" s="87">
        <f>J295+1</f>
        <v>5</v>
      </c>
      <c r="L295" s="6"/>
      <c r="M295" s="195"/>
      <c r="N295" s="6"/>
      <c r="O295" s="6"/>
      <c r="P295" s="195"/>
      <c r="Q295" s="6"/>
      <c r="R295" s="6"/>
      <c r="S295" s="6"/>
      <c r="T295" s="6"/>
      <c r="U295" s="6"/>
      <c r="V295" s="220"/>
      <c r="W295" s="572"/>
      <c r="X295" s="13"/>
      <c r="Y295" s="13"/>
      <c r="Z295" s="13"/>
      <c r="AA295" s="13"/>
      <c r="AB295" s="1"/>
      <c r="AC295" s="1"/>
      <c r="AD295" s="1"/>
      <c r="AE295" s="1"/>
      <c r="AF295" s="1"/>
      <c r="AG295" s="1"/>
      <c r="AH295" s="1"/>
      <c r="AI295" s="1"/>
      <c r="AJ295" s="1"/>
      <c r="AK295" s="1"/>
      <c r="AL295" s="1"/>
      <c r="AM295" s="1"/>
      <c r="AN295" s="1"/>
      <c r="AO295" s="1"/>
      <c r="AP295" s="1"/>
      <c r="AQ295" s="1"/>
      <c r="AR295" s="1"/>
      <c r="AS295" s="1"/>
      <c r="AT295" s="1"/>
    </row>
    <row r="296" spans="1:46" outlineLevel="1" x14ac:dyDescent="0.2">
      <c r="A296" s="6"/>
      <c r="B296" s="220"/>
      <c r="C296" s="6"/>
      <c r="D296" s="8" t="s">
        <v>132</v>
      </c>
      <c r="E296" s="53">
        <f>INDEX(ScriptsMSAdditional,$C293) * INDEX(NamesMSAdditional,$C293,3)</f>
        <v>0</v>
      </c>
      <c r="F296" s="53">
        <f t="shared" ref="F296:K296" si="176">IF(E296="","",E296*(1+E297))</f>
        <v>0</v>
      </c>
      <c r="G296" s="53">
        <f t="shared" si="176"/>
        <v>0</v>
      </c>
      <c r="H296" s="53">
        <f t="shared" si="176"/>
        <v>0</v>
      </c>
      <c r="I296" s="53">
        <f t="shared" si="176"/>
        <v>0</v>
      </c>
      <c r="J296" s="53">
        <f>IF(I296="","",I296*(1+I297))</f>
        <v>0</v>
      </c>
      <c r="K296" s="53">
        <f t="shared" si="176"/>
        <v>0</v>
      </c>
      <c r="L296" s="6"/>
      <c r="M296" s="19" t="s">
        <v>292</v>
      </c>
      <c r="N296" s="6"/>
      <c r="O296" s="195"/>
      <c r="P296" s="6"/>
      <c r="Q296" s="6"/>
      <c r="R296" s="195"/>
      <c r="S296" s="195"/>
      <c r="T296" s="195"/>
      <c r="U296" s="195"/>
      <c r="V296" s="195"/>
      <c r="W296" s="595"/>
      <c r="X296" s="13"/>
      <c r="Y296" s="13"/>
      <c r="Z296" s="13"/>
      <c r="AA296" s="13"/>
      <c r="AB296" s="1"/>
      <c r="AC296" s="1"/>
      <c r="AD296" s="1"/>
      <c r="AE296" s="1"/>
      <c r="AF296" s="1"/>
      <c r="AG296" s="1"/>
      <c r="AH296" s="1"/>
      <c r="AI296" s="1"/>
      <c r="AJ296" s="1"/>
      <c r="AK296" s="1"/>
      <c r="AL296" s="1"/>
      <c r="AM296" s="1"/>
      <c r="AN296" s="1"/>
      <c r="AO296" s="1"/>
      <c r="AP296" s="1"/>
      <c r="AQ296" s="1"/>
      <c r="AR296" s="1"/>
      <c r="AS296" s="1"/>
      <c r="AT296" s="1"/>
    </row>
    <row r="297" spans="1:46" outlineLevel="1" x14ac:dyDescent="0.2">
      <c r="A297" s="6"/>
      <c r="B297" s="220"/>
      <c r="C297" s="6"/>
      <c r="D297" s="21" t="s">
        <v>27</v>
      </c>
      <c r="E297" s="49"/>
      <c r="F297" s="49"/>
      <c r="G297" s="49"/>
      <c r="H297" s="49"/>
      <c r="I297" s="49"/>
      <c r="J297" s="49"/>
      <c r="K297" s="48"/>
      <c r="L297" s="6"/>
      <c r="M297" s="838"/>
      <c r="N297" s="839"/>
      <c r="O297" s="839"/>
      <c r="P297" s="6"/>
      <c r="Q297" s="6"/>
      <c r="R297" s="6"/>
      <c r="S297" s="6"/>
      <c r="T297" s="6"/>
      <c r="U297" s="6"/>
      <c r="V297" s="220"/>
      <c r="W297" s="572"/>
      <c r="X297" s="13"/>
      <c r="Y297" s="13"/>
      <c r="Z297" s="13"/>
      <c r="AA297" s="13"/>
      <c r="AB297" s="1"/>
      <c r="AC297" s="1"/>
      <c r="AD297" s="1"/>
      <c r="AE297" s="1"/>
      <c r="AF297" s="1"/>
      <c r="AG297" s="1"/>
      <c r="AH297" s="1"/>
      <c r="AI297" s="1"/>
      <c r="AJ297" s="1"/>
      <c r="AK297" s="1"/>
      <c r="AL297" s="1"/>
      <c r="AM297" s="1"/>
      <c r="AN297" s="1"/>
      <c r="AO297" s="1"/>
      <c r="AP297" s="1"/>
      <c r="AQ297" s="1"/>
      <c r="AR297" s="1"/>
      <c r="AS297" s="1"/>
      <c r="AT297" s="1"/>
    </row>
    <row r="298" spans="1:46" outlineLevel="1" x14ac:dyDescent="0.2">
      <c r="A298" s="6"/>
      <c r="B298" s="220"/>
      <c r="C298" s="6"/>
      <c r="D298" s="21" t="s">
        <v>34</v>
      </c>
      <c r="E298" s="49"/>
      <c r="F298" s="49"/>
      <c r="G298" s="49"/>
      <c r="H298" s="49"/>
      <c r="I298" s="49"/>
      <c r="J298" s="49"/>
      <c r="K298" s="49"/>
      <c r="L298" s="6"/>
      <c r="M298" s="838"/>
      <c r="N298" s="839"/>
      <c r="O298" s="839"/>
      <c r="P298" s="6"/>
      <c r="Q298" s="6"/>
      <c r="R298" s="6"/>
      <c r="S298" s="6"/>
      <c r="T298" s="6"/>
      <c r="U298" s="6"/>
      <c r="V298" s="220"/>
      <c r="W298" s="572"/>
      <c r="X298" s="13"/>
      <c r="Y298" s="13"/>
      <c r="Z298" s="13"/>
      <c r="AA298" s="13"/>
      <c r="AB298" s="1"/>
      <c r="AC298" s="1"/>
      <c r="AD298" s="1"/>
      <c r="AE298" s="1"/>
      <c r="AF298" s="1"/>
      <c r="AG298" s="1"/>
      <c r="AH298" s="1"/>
      <c r="AI298" s="1"/>
      <c r="AJ298" s="1"/>
      <c r="AK298" s="1"/>
      <c r="AL298" s="1"/>
      <c r="AM298" s="1"/>
      <c r="AN298" s="1"/>
      <c r="AO298" s="1"/>
      <c r="AP298" s="1"/>
      <c r="AQ298" s="1"/>
      <c r="AR298" s="1"/>
      <c r="AS298" s="1"/>
      <c r="AT298" s="1"/>
    </row>
    <row r="299" spans="1:46" outlineLevel="1" x14ac:dyDescent="0.2">
      <c r="A299" s="6"/>
      <c r="B299" s="220"/>
      <c r="C299" s="6"/>
      <c r="D299" s="21" t="s">
        <v>923</v>
      </c>
      <c r="E299" s="49"/>
      <c r="F299" s="49"/>
      <c r="G299" s="49"/>
      <c r="H299" s="49"/>
      <c r="I299" s="49"/>
      <c r="J299" s="49"/>
      <c r="K299" s="49"/>
      <c r="L299" s="6"/>
      <c r="M299" s="838"/>
      <c r="N299" s="839"/>
      <c r="O299" s="839"/>
      <c r="P299" s="6"/>
      <c r="Q299" s="6"/>
      <c r="R299" s="6"/>
      <c r="S299" s="6"/>
      <c r="T299" s="6"/>
      <c r="U299" s="6"/>
      <c r="V299" s="220"/>
      <c r="W299" s="572"/>
      <c r="X299" s="13"/>
      <c r="Y299" s="13"/>
      <c r="Z299" s="13"/>
      <c r="AA299" s="13"/>
      <c r="AB299" s="1"/>
      <c r="AC299" s="1"/>
      <c r="AD299" s="1"/>
      <c r="AE299" s="1"/>
      <c r="AF299" s="1"/>
      <c r="AG299" s="1"/>
      <c r="AH299" s="1"/>
      <c r="AI299" s="1"/>
      <c r="AJ299" s="1"/>
      <c r="AK299" s="1"/>
      <c r="AL299" s="1"/>
      <c r="AM299" s="1"/>
      <c r="AN299" s="1"/>
      <c r="AO299" s="1"/>
      <c r="AP299" s="1"/>
      <c r="AQ299" s="1"/>
      <c r="AR299" s="1"/>
      <c r="AS299" s="1"/>
      <c r="AT299" s="1"/>
    </row>
    <row r="300" spans="1:46" outlineLevel="1" x14ac:dyDescent="0.2">
      <c r="A300" s="197"/>
      <c r="B300" s="264"/>
      <c r="C300" s="197"/>
      <c r="D300" s="23" t="s">
        <v>125</v>
      </c>
      <c r="E300" s="53">
        <f t="shared" ref="E300:K300" si="177">E302-E301</f>
        <v>0</v>
      </c>
      <c r="F300" s="53">
        <f t="shared" si="177"/>
        <v>0</v>
      </c>
      <c r="G300" s="53">
        <f t="shared" si="177"/>
        <v>0</v>
      </c>
      <c r="H300" s="53">
        <f t="shared" si="177"/>
        <v>0</v>
      </c>
      <c r="I300" s="53">
        <f t="shared" si="177"/>
        <v>0</v>
      </c>
      <c r="J300" s="53">
        <f t="shared" si="177"/>
        <v>0</v>
      </c>
      <c r="K300" s="53">
        <f t="shared" si="177"/>
        <v>0</v>
      </c>
      <c r="L300" s="197"/>
      <c r="M300" s="197"/>
      <c r="N300" s="197"/>
      <c r="O300" s="197"/>
      <c r="P300" s="197"/>
      <c r="Q300" s="197"/>
      <c r="R300" s="197"/>
      <c r="S300" s="197"/>
      <c r="T300" s="197"/>
      <c r="U300" s="197"/>
      <c r="V300" s="264"/>
      <c r="W300" s="597"/>
      <c r="X300" s="13"/>
      <c r="Y300" s="13"/>
      <c r="Z300" s="13"/>
      <c r="AA300" s="13"/>
      <c r="AB300" s="2"/>
      <c r="AC300" s="2"/>
      <c r="AD300" s="2"/>
      <c r="AE300" s="2"/>
      <c r="AF300" s="2"/>
      <c r="AG300" s="2"/>
      <c r="AH300" s="2"/>
      <c r="AI300" s="2"/>
      <c r="AJ300" s="2"/>
      <c r="AK300" s="2"/>
      <c r="AL300" s="2"/>
      <c r="AM300" s="2"/>
      <c r="AN300" s="2"/>
      <c r="AO300" s="2"/>
      <c r="AP300" s="2"/>
      <c r="AQ300" s="2"/>
      <c r="AR300" s="2"/>
      <c r="AS300" s="2"/>
      <c r="AT300" s="2"/>
    </row>
    <row r="301" spans="1:46" outlineLevel="1" x14ac:dyDescent="0.2">
      <c r="A301" s="197"/>
      <c r="B301" s="264"/>
      <c r="C301" s="197"/>
      <c r="D301" s="23" t="s">
        <v>126</v>
      </c>
      <c r="E301" s="53">
        <f t="shared" ref="E301:K301" si="178">ROUND(E302*$T$167,0)</f>
        <v>0</v>
      </c>
      <c r="F301" s="53">
        <f t="shared" si="178"/>
        <v>0</v>
      </c>
      <c r="G301" s="53">
        <f t="shared" si="178"/>
        <v>0</v>
      </c>
      <c r="H301" s="53">
        <f t="shared" si="178"/>
        <v>0</v>
      </c>
      <c r="I301" s="53">
        <f t="shared" si="178"/>
        <v>0</v>
      </c>
      <c r="J301" s="53">
        <f t="shared" si="178"/>
        <v>0</v>
      </c>
      <c r="K301" s="53">
        <f t="shared" si="178"/>
        <v>0</v>
      </c>
      <c r="L301" s="197"/>
      <c r="M301" s="197"/>
      <c r="N301" s="197"/>
      <c r="O301" s="197"/>
      <c r="P301" s="197"/>
      <c r="Q301" s="197"/>
      <c r="R301" s="197"/>
      <c r="S301" s="197"/>
      <c r="T301" s="197"/>
      <c r="U301" s="197"/>
      <c r="V301" s="264"/>
      <c r="W301" s="597"/>
      <c r="X301" s="13"/>
      <c r="Y301" s="13"/>
      <c r="Z301" s="13"/>
      <c r="AA301" s="13"/>
      <c r="AB301" s="2"/>
      <c r="AC301" s="2"/>
      <c r="AD301" s="2"/>
      <c r="AE301" s="2"/>
      <c r="AF301" s="2"/>
      <c r="AG301" s="2"/>
      <c r="AH301" s="2"/>
      <c r="AI301" s="2"/>
      <c r="AJ301" s="2"/>
      <c r="AK301" s="2"/>
      <c r="AL301" s="2"/>
      <c r="AM301" s="2"/>
      <c r="AN301" s="2"/>
      <c r="AO301" s="2"/>
      <c r="AP301" s="2"/>
      <c r="AQ301" s="2"/>
      <c r="AR301" s="2"/>
      <c r="AS301" s="2"/>
      <c r="AT301" s="2"/>
    </row>
    <row r="302" spans="1:46" outlineLevel="1" x14ac:dyDescent="0.2">
      <c r="A302" s="197"/>
      <c r="B302" s="264"/>
      <c r="C302" s="197"/>
      <c r="D302" s="117" t="s">
        <v>918</v>
      </c>
      <c r="E302" s="54">
        <f t="shared" ref="E302:K302" si="179">IF(E296="","",E299*E298*E296)</f>
        <v>0</v>
      </c>
      <c r="F302" s="54">
        <f t="shared" si="179"/>
        <v>0</v>
      </c>
      <c r="G302" s="54">
        <f t="shared" si="179"/>
        <v>0</v>
      </c>
      <c r="H302" s="54">
        <f t="shared" si="179"/>
        <v>0</v>
      </c>
      <c r="I302" s="54">
        <f t="shared" si="179"/>
        <v>0</v>
      </c>
      <c r="J302" s="54">
        <f t="shared" si="179"/>
        <v>0</v>
      </c>
      <c r="K302" s="54">
        <f t="shared" si="179"/>
        <v>0</v>
      </c>
      <c r="L302" s="197"/>
      <c r="M302" s="197"/>
      <c r="N302" s="197"/>
      <c r="O302" s="197"/>
      <c r="P302" s="197"/>
      <c r="Q302" s="197"/>
      <c r="R302" s="197"/>
      <c r="S302" s="197"/>
      <c r="T302" s="197"/>
      <c r="U302" s="197"/>
      <c r="V302" s="264"/>
      <c r="W302" s="597"/>
      <c r="X302" s="13"/>
      <c r="Y302" s="13"/>
      <c r="Z302" s="13"/>
      <c r="AA302" s="13"/>
      <c r="AB302" s="2"/>
      <c r="AC302" s="2"/>
      <c r="AD302" s="2"/>
      <c r="AE302" s="2"/>
      <c r="AF302" s="2"/>
      <c r="AG302" s="2"/>
      <c r="AH302" s="2"/>
      <c r="AI302" s="2"/>
      <c r="AJ302" s="2"/>
      <c r="AK302" s="2"/>
      <c r="AL302" s="2"/>
      <c r="AM302" s="2"/>
      <c r="AN302" s="2"/>
      <c r="AO302" s="2"/>
      <c r="AP302" s="2"/>
      <c r="AQ302" s="2"/>
      <c r="AR302" s="2"/>
      <c r="AS302" s="2"/>
      <c r="AT302" s="2"/>
    </row>
    <row r="303" spans="1:46" outlineLevel="1" x14ac:dyDescent="0.2">
      <c r="A303" s="6"/>
      <c r="B303" s="220"/>
      <c r="C303" s="6"/>
      <c r="D303" s="6"/>
      <c r="E303" s="6"/>
      <c r="F303" s="6"/>
      <c r="G303" s="6"/>
      <c r="H303" s="6"/>
      <c r="I303" s="6"/>
      <c r="J303" s="6"/>
      <c r="K303" s="6"/>
      <c r="L303" s="6"/>
      <c r="M303" s="6"/>
      <c r="N303" s="6"/>
      <c r="O303" s="6"/>
      <c r="P303" s="6"/>
      <c r="Q303" s="6"/>
      <c r="R303" s="6"/>
      <c r="S303" s="6"/>
      <c r="T303" s="6"/>
      <c r="U303" s="6"/>
      <c r="V303" s="220"/>
      <c r="W303" s="572"/>
      <c r="X303" s="13"/>
      <c r="Y303" s="13"/>
      <c r="Z303" s="13"/>
      <c r="AA303" s="13"/>
      <c r="AB303" s="1"/>
      <c r="AC303" s="1"/>
      <c r="AD303" s="1"/>
      <c r="AE303" s="1"/>
      <c r="AF303" s="1"/>
      <c r="AG303" s="1"/>
      <c r="AH303" s="1"/>
      <c r="AI303" s="1"/>
      <c r="AJ303" s="1"/>
      <c r="AK303" s="1"/>
      <c r="AL303" s="1"/>
      <c r="AM303" s="1"/>
      <c r="AN303" s="1"/>
      <c r="AO303" s="1"/>
      <c r="AP303" s="1"/>
      <c r="AQ303" s="1"/>
      <c r="AR303" s="1"/>
      <c r="AS303" s="1"/>
      <c r="AT303" s="1"/>
    </row>
    <row r="304" spans="1:46" x14ac:dyDescent="0.2">
      <c r="A304" s="6"/>
      <c r="B304" s="220"/>
      <c r="C304" s="6"/>
      <c r="D304" s="6"/>
      <c r="E304" s="6"/>
      <c r="F304" s="6"/>
      <c r="G304" s="6"/>
      <c r="H304" s="6"/>
      <c r="I304" s="6"/>
      <c r="J304" s="6"/>
      <c r="K304" s="6"/>
      <c r="L304" s="6"/>
      <c r="M304" s="6"/>
      <c r="N304" s="6"/>
      <c r="O304" s="6"/>
      <c r="P304" s="6"/>
      <c r="Q304" s="6"/>
      <c r="R304" s="6"/>
      <c r="S304" s="6"/>
      <c r="T304" s="6"/>
      <c r="U304" s="6"/>
      <c r="V304" s="220"/>
      <c r="W304" s="572"/>
      <c r="X304" s="13"/>
      <c r="Y304" s="13"/>
      <c r="Z304" s="13"/>
      <c r="AA304" s="13"/>
      <c r="AB304" s="1"/>
      <c r="AC304" s="1"/>
      <c r="AD304" s="1"/>
      <c r="AE304" s="1"/>
      <c r="AF304" s="1"/>
      <c r="AG304" s="1"/>
      <c r="AH304" s="1"/>
      <c r="AI304" s="1"/>
      <c r="AJ304" s="1"/>
      <c r="AK304" s="1"/>
      <c r="AL304" s="1"/>
      <c r="AM304" s="1"/>
      <c r="AN304" s="1"/>
      <c r="AO304" s="1"/>
      <c r="AP304" s="1"/>
      <c r="AQ304" s="1"/>
      <c r="AR304" s="1"/>
      <c r="AS304" s="1"/>
      <c r="AT304" s="1"/>
    </row>
    <row r="305" spans="1:46" ht="15" x14ac:dyDescent="0.2">
      <c r="A305" s="172"/>
      <c r="B305" s="172"/>
      <c r="C305" s="405">
        <v>11</v>
      </c>
      <c r="D305" s="221" t="str">
        <f>D168</f>
        <v>** NOT USED **</v>
      </c>
      <c r="E305" s="207"/>
      <c r="F305" s="207"/>
      <c r="G305" s="207"/>
      <c r="H305" s="207"/>
      <c r="I305" s="782" t="str">
        <f>IF(D305&lt;&gt;MsgNotUsed,"Co-payment group " &amp; INDEX(CoPayBandMS,C305),"")</f>
        <v/>
      </c>
      <c r="J305" s="782"/>
      <c r="K305" s="207"/>
      <c r="L305" s="207"/>
      <c r="M305" s="207"/>
      <c r="N305" s="207"/>
      <c r="O305" s="207"/>
      <c r="P305" s="207"/>
      <c r="Q305" s="207"/>
      <c r="R305" s="207"/>
      <c r="S305" s="207"/>
      <c r="T305" s="207"/>
      <c r="U305" s="207"/>
      <c r="V305" s="207"/>
      <c r="W305" s="207"/>
      <c r="X305" s="13"/>
      <c r="Y305" s="13"/>
      <c r="Z305" s="13"/>
      <c r="AA305" s="13"/>
      <c r="AB305" s="453"/>
      <c r="AC305" s="453"/>
      <c r="AD305" s="453"/>
      <c r="AE305" s="453"/>
      <c r="AF305" s="453"/>
      <c r="AG305" s="453"/>
      <c r="AH305" s="453"/>
      <c r="AI305" s="453"/>
      <c r="AJ305" s="453"/>
      <c r="AK305" s="453"/>
      <c r="AL305" s="453"/>
      <c r="AM305" s="453"/>
      <c r="AN305" s="453"/>
      <c r="AO305" s="453"/>
      <c r="AP305" s="453"/>
      <c r="AQ305" s="453"/>
      <c r="AR305" s="453"/>
      <c r="AS305" s="453"/>
      <c r="AT305" s="453"/>
    </row>
    <row r="306" spans="1:46" ht="15.75" outlineLevel="1" x14ac:dyDescent="0.2">
      <c r="A306" s="192"/>
      <c r="B306" s="192"/>
      <c r="C306" s="192"/>
      <c r="D306" s="193"/>
      <c r="E306" s="192"/>
      <c r="F306" s="192"/>
      <c r="G306" s="192"/>
      <c r="H306" s="192"/>
      <c r="I306" s="192"/>
      <c r="J306" s="192"/>
      <c r="K306" s="192"/>
      <c r="L306" s="192"/>
      <c r="M306" s="192"/>
      <c r="N306" s="192"/>
      <c r="O306" s="192"/>
      <c r="P306" s="192"/>
      <c r="Q306" s="192"/>
      <c r="R306" s="192"/>
      <c r="S306" s="192"/>
      <c r="T306" s="192"/>
      <c r="U306" s="192"/>
      <c r="V306" s="192"/>
      <c r="W306" s="192"/>
      <c r="X306" s="13"/>
      <c r="Y306" s="13"/>
      <c r="Z306" s="13"/>
      <c r="AA306" s="13"/>
      <c r="AB306" s="3"/>
      <c r="AC306" s="3"/>
      <c r="AD306" s="3"/>
      <c r="AE306" s="3"/>
      <c r="AF306" s="3"/>
      <c r="AG306" s="3"/>
      <c r="AH306" s="3"/>
      <c r="AI306" s="3"/>
      <c r="AJ306" s="3"/>
      <c r="AK306" s="3"/>
      <c r="AL306" s="3"/>
      <c r="AM306" s="3"/>
      <c r="AN306" s="3"/>
      <c r="AO306" s="3"/>
      <c r="AP306" s="3"/>
      <c r="AQ306" s="3"/>
      <c r="AR306" s="3"/>
      <c r="AS306" s="3"/>
      <c r="AT306" s="3"/>
    </row>
    <row r="307" spans="1:46" ht="14.25" customHeight="1" outlineLevel="1" x14ac:dyDescent="0.2">
      <c r="A307" s="220"/>
      <c r="B307" s="220"/>
      <c r="C307" s="220"/>
      <c r="D307" s="15"/>
      <c r="E307" s="87">
        <f>F307-1</f>
        <v>-1</v>
      </c>
      <c r="F307" s="87">
        <f>FirstYear</f>
        <v>0</v>
      </c>
      <c r="G307" s="87">
        <f>F307+1</f>
        <v>1</v>
      </c>
      <c r="H307" s="87">
        <f>G307+1</f>
        <v>2</v>
      </c>
      <c r="I307" s="87">
        <f>H307+1</f>
        <v>3</v>
      </c>
      <c r="J307" s="87">
        <f>I307+1</f>
        <v>4</v>
      </c>
      <c r="K307" s="87">
        <f>J307+1</f>
        <v>5</v>
      </c>
      <c r="L307" s="220"/>
      <c r="M307" s="195"/>
      <c r="N307" s="220"/>
      <c r="O307" s="220"/>
      <c r="P307" s="195"/>
      <c r="Q307" s="220"/>
      <c r="R307" s="220"/>
      <c r="S307" s="220"/>
      <c r="T307" s="220"/>
      <c r="U307" s="220"/>
      <c r="V307" s="220"/>
      <c r="W307" s="572"/>
      <c r="X307" s="13"/>
      <c r="Y307" s="13"/>
      <c r="Z307" s="13"/>
      <c r="AA307" s="13"/>
      <c r="AB307" s="4"/>
      <c r="AC307" s="4"/>
      <c r="AD307" s="4"/>
      <c r="AE307" s="4"/>
      <c r="AF307" s="4"/>
      <c r="AG307" s="4"/>
      <c r="AH307" s="4"/>
      <c r="AI307" s="4"/>
      <c r="AJ307" s="4"/>
      <c r="AK307" s="4"/>
      <c r="AL307" s="4"/>
      <c r="AM307" s="4"/>
      <c r="AN307" s="4"/>
      <c r="AO307" s="4"/>
      <c r="AP307" s="4"/>
      <c r="AQ307" s="4"/>
      <c r="AR307" s="4"/>
      <c r="AS307" s="4"/>
      <c r="AT307" s="4"/>
    </row>
    <row r="308" spans="1:46" outlineLevel="1" x14ac:dyDescent="0.2">
      <c r="A308" s="220"/>
      <c r="B308" s="220"/>
      <c r="C308" s="220"/>
      <c r="D308" s="8" t="s">
        <v>132</v>
      </c>
      <c r="E308" s="53">
        <f>INDEX(ScriptsMSAdditional,$C305) * INDEX(NamesMSAdditional,$C305,3)</f>
        <v>0</v>
      </c>
      <c r="F308" s="53">
        <f t="shared" ref="F308" si="180">IF(E308="","",E308*(1+E309))</f>
        <v>0</v>
      </c>
      <c r="G308" s="53">
        <f t="shared" ref="G308" si="181">IF(F308="","",F308*(1+F309))</f>
        <v>0</v>
      </c>
      <c r="H308" s="53">
        <f t="shared" ref="H308" si="182">IF(G308="","",G308*(1+G309))</f>
        <v>0</v>
      </c>
      <c r="I308" s="53">
        <f t="shared" ref="I308" si="183">IF(H308="","",H308*(1+H309))</f>
        <v>0</v>
      </c>
      <c r="J308" s="53">
        <f>IF(I308="","",I308*(1+I309))</f>
        <v>0</v>
      </c>
      <c r="K308" s="53">
        <f t="shared" ref="K308" si="184">IF(J308="","",J308*(1+J309))</f>
        <v>0</v>
      </c>
      <c r="L308" s="220"/>
      <c r="M308" s="19" t="s">
        <v>292</v>
      </c>
      <c r="N308" s="220"/>
      <c r="O308" s="195"/>
      <c r="P308" s="220"/>
      <c r="Q308" s="220"/>
      <c r="R308" s="195"/>
      <c r="S308" s="195"/>
      <c r="T308" s="195"/>
      <c r="U308" s="195"/>
      <c r="V308" s="195"/>
      <c r="W308" s="595"/>
      <c r="X308" s="13"/>
      <c r="Y308" s="13"/>
      <c r="Z308" s="13"/>
      <c r="AA308" s="13"/>
      <c r="AB308" s="4"/>
      <c r="AC308" s="4"/>
      <c r="AD308" s="4"/>
      <c r="AE308" s="4"/>
      <c r="AF308" s="4"/>
      <c r="AG308" s="4"/>
      <c r="AH308" s="4"/>
      <c r="AI308" s="4"/>
      <c r="AJ308" s="4"/>
      <c r="AK308" s="4"/>
      <c r="AL308" s="4"/>
      <c r="AM308" s="4"/>
      <c r="AN308" s="4"/>
      <c r="AO308" s="4"/>
      <c r="AP308" s="4"/>
      <c r="AQ308" s="4"/>
      <c r="AR308" s="4"/>
      <c r="AS308" s="4"/>
      <c r="AT308" s="4"/>
    </row>
    <row r="309" spans="1:46" outlineLevel="1" x14ac:dyDescent="0.2">
      <c r="A309" s="220"/>
      <c r="B309" s="220"/>
      <c r="C309" s="220"/>
      <c r="D309" s="21" t="s">
        <v>27</v>
      </c>
      <c r="E309" s="49"/>
      <c r="F309" s="49"/>
      <c r="G309" s="49"/>
      <c r="H309" s="49"/>
      <c r="I309" s="49"/>
      <c r="J309" s="49"/>
      <c r="K309" s="48"/>
      <c r="L309" s="220"/>
      <c r="M309" s="838"/>
      <c r="N309" s="839"/>
      <c r="O309" s="839"/>
      <c r="P309" s="220"/>
      <c r="Q309" s="220"/>
      <c r="R309" s="220"/>
      <c r="S309" s="220"/>
      <c r="T309" s="220"/>
      <c r="U309" s="220"/>
      <c r="V309" s="220"/>
      <c r="W309" s="572"/>
      <c r="X309" s="13"/>
      <c r="Y309" s="13"/>
      <c r="Z309" s="13"/>
      <c r="AA309" s="13"/>
      <c r="AB309" s="4"/>
      <c r="AC309" s="4"/>
      <c r="AD309" s="4"/>
      <c r="AE309" s="4"/>
      <c r="AF309" s="4"/>
      <c r="AG309" s="4"/>
      <c r="AH309" s="4"/>
      <c r="AI309" s="4"/>
      <c r="AJ309" s="4"/>
      <c r="AK309" s="4"/>
      <c r="AL309" s="4"/>
      <c r="AM309" s="4"/>
      <c r="AN309" s="4"/>
      <c r="AO309" s="4"/>
      <c r="AP309" s="4"/>
      <c r="AQ309" s="4"/>
      <c r="AR309" s="4"/>
      <c r="AS309" s="4"/>
      <c r="AT309" s="4"/>
    </row>
    <row r="310" spans="1:46" outlineLevel="1" x14ac:dyDescent="0.2">
      <c r="A310" s="220"/>
      <c r="B310" s="220"/>
      <c r="C310" s="220"/>
      <c r="D310" s="21" t="s">
        <v>34</v>
      </c>
      <c r="E310" s="49"/>
      <c r="F310" s="49"/>
      <c r="G310" s="49"/>
      <c r="H310" s="49"/>
      <c r="I310" s="49"/>
      <c r="J310" s="49"/>
      <c r="K310" s="49"/>
      <c r="L310" s="220"/>
      <c r="M310" s="838"/>
      <c r="N310" s="839"/>
      <c r="O310" s="839"/>
      <c r="P310" s="220"/>
      <c r="Q310" s="220"/>
      <c r="R310" s="220"/>
      <c r="S310" s="220"/>
      <c r="T310" s="220"/>
      <c r="U310" s="220"/>
      <c r="V310" s="220"/>
      <c r="W310" s="572"/>
      <c r="X310" s="13"/>
      <c r="Y310" s="13"/>
      <c r="Z310" s="13"/>
      <c r="AA310" s="13"/>
      <c r="AB310" s="4"/>
      <c r="AC310" s="4"/>
      <c r="AD310" s="4"/>
      <c r="AE310" s="4"/>
      <c r="AF310" s="4"/>
      <c r="AG310" s="4"/>
      <c r="AH310" s="4"/>
      <c r="AI310" s="4"/>
      <c r="AJ310" s="4"/>
      <c r="AK310" s="4"/>
      <c r="AL310" s="4"/>
      <c r="AM310" s="4"/>
      <c r="AN310" s="4"/>
      <c r="AO310" s="4"/>
      <c r="AP310" s="4"/>
      <c r="AQ310" s="4"/>
      <c r="AR310" s="4"/>
      <c r="AS310" s="4"/>
      <c r="AT310" s="4"/>
    </row>
    <row r="311" spans="1:46" outlineLevel="1" x14ac:dyDescent="0.2">
      <c r="A311" s="220"/>
      <c r="B311" s="220"/>
      <c r="C311" s="220"/>
      <c r="D311" s="21" t="s">
        <v>923</v>
      </c>
      <c r="E311" s="49"/>
      <c r="F311" s="49"/>
      <c r="G311" s="49"/>
      <c r="H311" s="49"/>
      <c r="I311" s="49"/>
      <c r="J311" s="49"/>
      <c r="K311" s="49"/>
      <c r="L311" s="220"/>
      <c r="M311" s="838"/>
      <c r="N311" s="839"/>
      <c r="O311" s="839"/>
      <c r="P311" s="220"/>
      <c r="Q311" s="220"/>
      <c r="R311" s="220"/>
      <c r="S311" s="220"/>
      <c r="T311" s="220"/>
      <c r="U311" s="220"/>
      <c r="V311" s="220"/>
      <c r="W311" s="572"/>
      <c r="X311" s="13"/>
      <c r="Y311" s="13"/>
      <c r="Z311" s="13"/>
      <c r="AA311" s="13"/>
      <c r="AB311" s="4"/>
      <c r="AC311" s="4"/>
      <c r="AD311" s="4"/>
      <c r="AE311" s="4"/>
      <c r="AF311" s="4"/>
      <c r="AG311" s="4"/>
      <c r="AH311" s="4"/>
      <c r="AI311" s="4"/>
      <c r="AJ311" s="4"/>
      <c r="AK311" s="4"/>
      <c r="AL311" s="4"/>
      <c r="AM311" s="4"/>
      <c r="AN311" s="4"/>
      <c r="AO311" s="4"/>
      <c r="AP311" s="4"/>
      <c r="AQ311" s="4"/>
      <c r="AR311" s="4"/>
      <c r="AS311" s="4"/>
      <c r="AT311" s="4"/>
    </row>
    <row r="312" spans="1:46" outlineLevel="1" x14ac:dyDescent="0.2">
      <c r="A312" s="264"/>
      <c r="B312" s="264"/>
      <c r="C312" s="264"/>
      <c r="D312" s="23" t="s">
        <v>125</v>
      </c>
      <c r="E312" s="53">
        <f t="shared" ref="E312:K312" si="185">E314-E313</f>
        <v>0</v>
      </c>
      <c r="F312" s="53">
        <f t="shared" si="185"/>
        <v>0</v>
      </c>
      <c r="G312" s="53">
        <f t="shared" si="185"/>
        <v>0</v>
      </c>
      <c r="H312" s="53">
        <f t="shared" si="185"/>
        <v>0</v>
      </c>
      <c r="I312" s="53">
        <f t="shared" si="185"/>
        <v>0</v>
      </c>
      <c r="J312" s="53">
        <f t="shared" si="185"/>
        <v>0</v>
      </c>
      <c r="K312" s="53">
        <f t="shared" si="185"/>
        <v>0</v>
      </c>
      <c r="L312" s="264"/>
      <c r="M312" s="264"/>
      <c r="N312" s="264"/>
      <c r="O312" s="264"/>
      <c r="P312" s="264"/>
      <c r="Q312" s="264"/>
      <c r="R312" s="264"/>
      <c r="S312" s="264"/>
      <c r="T312" s="264"/>
      <c r="U312" s="264"/>
      <c r="V312" s="264"/>
      <c r="W312" s="597"/>
      <c r="X312" s="13"/>
      <c r="Y312" s="13"/>
      <c r="Z312" s="13"/>
      <c r="AA312" s="13"/>
      <c r="AB312" s="10"/>
      <c r="AC312" s="10"/>
      <c r="AD312" s="10"/>
      <c r="AE312" s="10"/>
      <c r="AF312" s="10"/>
      <c r="AG312" s="10"/>
      <c r="AH312" s="10"/>
      <c r="AI312" s="10"/>
      <c r="AJ312" s="10"/>
      <c r="AK312" s="10"/>
      <c r="AL312" s="10"/>
      <c r="AM312" s="10"/>
      <c r="AN312" s="10"/>
      <c r="AO312" s="10"/>
      <c r="AP312" s="10"/>
      <c r="AQ312" s="10"/>
      <c r="AR312" s="10"/>
      <c r="AS312" s="10"/>
      <c r="AT312" s="10"/>
    </row>
    <row r="313" spans="1:46" outlineLevel="1" x14ac:dyDescent="0.2">
      <c r="A313" s="264"/>
      <c r="B313" s="264"/>
      <c r="C313" s="264"/>
      <c r="D313" s="23" t="s">
        <v>126</v>
      </c>
      <c r="E313" s="53">
        <f t="shared" ref="E313:K313" si="186">ROUND(E314*$T$167,0)</f>
        <v>0</v>
      </c>
      <c r="F313" s="53">
        <f t="shared" si="186"/>
        <v>0</v>
      </c>
      <c r="G313" s="53">
        <f t="shared" si="186"/>
        <v>0</v>
      </c>
      <c r="H313" s="53">
        <f t="shared" si="186"/>
        <v>0</v>
      </c>
      <c r="I313" s="53">
        <f t="shared" si="186"/>
        <v>0</v>
      </c>
      <c r="J313" s="53">
        <f t="shared" si="186"/>
        <v>0</v>
      </c>
      <c r="K313" s="53">
        <f t="shared" si="186"/>
        <v>0</v>
      </c>
      <c r="L313" s="264"/>
      <c r="M313" s="264"/>
      <c r="N313" s="264"/>
      <c r="O313" s="264"/>
      <c r="P313" s="264"/>
      <c r="Q313" s="264"/>
      <c r="R313" s="264"/>
      <c r="S313" s="264"/>
      <c r="T313" s="264"/>
      <c r="U313" s="264"/>
      <c r="V313" s="264"/>
      <c r="W313" s="597"/>
      <c r="X313" s="13"/>
      <c r="Y313" s="13"/>
      <c r="Z313" s="13"/>
      <c r="AA313" s="13"/>
      <c r="AB313" s="10"/>
      <c r="AC313" s="10"/>
      <c r="AD313" s="10"/>
      <c r="AE313" s="10"/>
      <c r="AF313" s="10"/>
      <c r="AG313" s="10"/>
      <c r="AH313" s="10"/>
      <c r="AI313" s="10"/>
      <c r="AJ313" s="10"/>
      <c r="AK313" s="10"/>
      <c r="AL313" s="10"/>
      <c r="AM313" s="10"/>
      <c r="AN313" s="10"/>
      <c r="AO313" s="10"/>
      <c r="AP313" s="10"/>
      <c r="AQ313" s="10"/>
      <c r="AR313" s="10"/>
      <c r="AS313" s="10"/>
      <c r="AT313" s="10"/>
    </row>
    <row r="314" spans="1:46" outlineLevel="1" x14ac:dyDescent="0.2">
      <c r="A314" s="264"/>
      <c r="B314" s="264"/>
      <c r="C314" s="264"/>
      <c r="D314" s="458" t="s">
        <v>918</v>
      </c>
      <c r="E314" s="54">
        <f t="shared" ref="E314:K314" si="187">IF(E308="","",E311*E310*E308)</f>
        <v>0</v>
      </c>
      <c r="F314" s="54">
        <f t="shared" si="187"/>
        <v>0</v>
      </c>
      <c r="G314" s="54">
        <f t="shared" si="187"/>
        <v>0</v>
      </c>
      <c r="H314" s="54">
        <f t="shared" si="187"/>
        <v>0</v>
      </c>
      <c r="I314" s="54">
        <f t="shared" si="187"/>
        <v>0</v>
      </c>
      <c r="J314" s="54">
        <f t="shared" si="187"/>
        <v>0</v>
      </c>
      <c r="K314" s="54">
        <f t="shared" si="187"/>
        <v>0</v>
      </c>
      <c r="L314" s="264"/>
      <c r="M314" s="264"/>
      <c r="N314" s="264"/>
      <c r="O314" s="264"/>
      <c r="P314" s="264"/>
      <c r="Q314" s="264"/>
      <c r="R314" s="264"/>
      <c r="S314" s="264"/>
      <c r="T314" s="264"/>
      <c r="U314" s="264"/>
      <c r="V314" s="264"/>
      <c r="W314" s="597"/>
      <c r="X314" s="13"/>
      <c r="Y314" s="13"/>
      <c r="Z314" s="13"/>
      <c r="AA314" s="13"/>
      <c r="AB314" s="10"/>
      <c r="AC314" s="10"/>
      <c r="AD314" s="10"/>
      <c r="AE314" s="10"/>
      <c r="AF314" s="10"/>
      <c r="AG314" s="10"/>
      <c r="AH314" s="10"/>
      <c r="AI314" s="10"/>
      <c r="AJ314" s="10"/>
      <c r="AK314" s="10"/>
      <c r="AL314" s="10"/>
      <c r="AM314" s="10"/>
      <c r="AN314" s="10"/>
      <c r="AO314" s="10"/>
      <c r="AP314" s="10"/>
      <c r="AQ314" s="10"/>
      <c r="AR314" s="10"/>
      <c r="AS314" s="10"/>
      <c r="AT314" s="10"/>
    </row>
    <row r="315" spans="1:46" outlineLevel="1" x14ac:dyDescent="0.2">
      <c r="A315" s="220"/>
      <c r="B315" s="220"/>
      <c r="C315" s="220"/>
      <c r="D315" s="220"/>
      <c r="E315" s="220"/>
      <c r="F315" s="220"/>
      <c r="G315" s="220"/>
      <c r="H315" s="220"/>
      <c r="I315" s="220"/>
      <c r="J315" s="220"/>
      <c r="K315" s="220"/>
      <c r="L315" s="220"/>
      <c r="M315" s="220"/>
      <c r="N315" s="220"/>
      <c r="O315" s="220"/>
      <c r="P315" s="220"/>
      <c r="Q315" s="220"/>
      <c r="R315" s="220"/>
      <c r="S315" s="220"/>
      <c r="T315" s="220"/>
      <c r="U315" s="220"/>
      <c r="V315" s="220"/>
      <c r="W315" s="572"/>
      <c r="X315" s="13"/>
      <c r="Y315" s="13"/>
      <c r="Z315" s="13"/>
      <c r="AA315" s="13"/>
      <c r="AB315" s="4"/>
      <c r="AC315" s="4"/>
      <c r="AD315" s="4"/>
      <c r="AE315" s="4"/>
      <c r="AF315" s="4"/>
      <c r="AG315" s="4"/>
      <c r="AH315" s="4"/>
      <c r="AI315" s="4"/>
      <c r="AJ315" s="4"/>
      <c r="AK315" s="4"/>
      <c r="AL315" s="4"/>
      <c r="AM315" s="4"/>
      <c r="AN315" s="4"/>
      <c r="AO315" s="4"/>
      <c r="AP315" s="4"/>
      <c r="AQ315" s="4"/>
      <c r="AR315" s="4"/>
      <c r="AS315" s="4"/>
      <c r="AT315" s="4"/>
    </row>
    <row r="316" spans="1:46" x14ac:dyDescent="0.2">
      <c r="A316" s="220"/>
      <c r="B316" s="220"/>
      <c r="C316" s="220"/>
      <c r="D316" s="220"/>
      <c r="E316" s="220"/>
      <c r="F316" s="220"/>
      <c r="G316" s="220"/>
      <c r="H316" s="220"/>
      <c r="I316" s="220"/>
      <c r="J316" s="220"/>
      <c r="K316" s="220"/>
      <c r="L316" s="220"/>
      <c r="M316" s="220"/>
      <c r="N316" s="220"/>
      <c r="O316" s="220"/>
      <c r="P316" s="220"/>
      <c r="Q316" s="220"/>
      <c r="R316" s="220"/>
      <c r="S316" s="220"/>
      <c r="T316" s="220"/>
      <c r="U316" s="220"/>
      <c r="V316" s="220"/>
      <c r="W316" s="572"/>
      <c r="X316" s="13"/>
      <c r="Y316" s="13"/>
      <c r="Z316" s="13"/>
      <c r="AA316" s="13"/>
      <c r="AB316" s="4"/>
      <c r="AC316" s="4"/>
      <c r="AD316" s="4"/>
      <c r="AE316" s="4"/>
      <c r="AF316" s="4"/>
      <c r="AG316" s="4"/>
      <c r="AH316" s="4"/>
      <c r="AI316" s="4"/>
      <c r="AJ316" s="4"/>
      <c r="AK316" s="4"/>
      <c r="AL316" s="4"/>
      <c r="AM316" s="4"/>
      <c r="AN316" s="4"/>
      <c r="AO316" s="4"/>
      <c r="AP316" s="4"/>
      <c r="AQ316" s="4"/>
      <c r="AR316" s="4"/>
      <c r="AS316" s="4"/>
      <c r="AT316" s="4"/>
    </row>
    <row r="317" spans="1:46" ht="15" x14ac:dyDescent="0.2">
      <c r="A317" s="172"/>
      <c r="B317" s="172"/>
      <c r="C317" s="405">
        <v>12</v>
      </c>
      <c r="D317" s="221" t="str">
        <f>D169</f>
        <v>** NOT USED **</v>
      </c>
      <c r="E317" s="207"/>
      <c r="F317" s="207"/>
      <c r="G317" s="207"/>
      <c r="H317" s="207"/>
      <c r="I317" s="782" t="str">
        <f>IF(D317&lt;&gt;MsgNotUsed,"Co-payment group " &amp; INDEX(CoPayBandMS,C317),"")</f>
        <v/>
      </c>
      <c r="J317" s="782"/>
      <c r="K317" s="207"/>
      <c r="L317" s="207"/>
      <c r="M317" s="207"/>
      <c r="N317" s="207"/>
      <c r="O317" s="207"/>
      <c r="P317" s="207"/>
      <c r="Q317" s="207"/>
      <c r="R317" s="207"/>
      <c r="S317" s="207"/>
      <c r="T317" s="207"/>
      <c r="U317" s="207"/>
      <c r="V317" s="207"/>
      <c r="W317" s="207"/>
      <c r="X317" s="13"/>
      <c r="Y317" s="13"/>
      <c r="Z317" s="13"/>
      <c r="AA317" s="13"/>
      <c r="AB317" s="453"/>
      <c r="AC317" s="453"/>
      <c r="AD317" s="453"/>
      <c r="AE317" s="453"/>
      <c r="AF317" s="453"/>
      <c r="AG317" s="453"/>
      <c r="AH317" s="453"/>
      <c r="AI317" s="453"/>
      <c r="AJ317" s="453"/>
      <c r="AK317" s="453"/>
      <c r="AL317" s="453"/>
      <c r="AM317" s="453"/>
      <c r="AN317" s="453"/>
      <c r="AO317" s="453"/>
      <c r="AP317" s="453"/>
      <c r="AQ317" s="453"/>
      <c r="AR317" s="453"/>
      <c r="AS317" s="453"/>
      <c r="AT317" s="453"/>
    </row>
    <row r="318" spans="1:46" ht="15.75" outlineLevel="1" x14ac:dyDescent="0.2">
      <c r="A318" s="192"/>
      <c r="B318" s="192"/>
      <c r="C318" s="192"/>
      <c r="D318" s="193"/>
      <c r="E318" s="192"/>
      <c r="F318" s="192"/>
      <c r="G318" s="192"/>
      <c r="H318" s="192"/>
      <c r="I318" s="192"/>
      <c r="J318" s="192"/>
      <c r="K318" s="192"/>
      <c r="L318" s="192"/>
      <c r="M318" s="192"/>
      <c r="N318" s="192"/>
      <c r="O318" s="192"/>
      <c r="P318" s="192"/>
      <c r="Q318" s="192"/>
      <c r="R318" s="192"/>
      <c r="S318" s="192"/>
      <c r="T318" s="192"/>
      <c r="U318" s="192"/>
      <c r="V318" s="192"/>
      <c r="W318" s="192"/>
      <c r="X318" s="13"/>
      <c r="Y318" s="13"/>
      <c r="Z318" s="13"/>
      <c r="AA318" s="13"/>
      <c r="AB318" s="3"/>
      <c r="AC318" s="3"/>
      <c r="AD318" s="3"/>
      <c r="AE318" s="3"/>
      <c r="AF318" s="3"/>
      <c r="AG318" s="3"/>
      <c r="AH318" s="3"/>
      <c r="AI318" s="3"/>
      <c r="AJ318" s="3"/>
      <c r="AK318" s="3"/>
      <c r="AL318" s="3"/>
      <c r="AM318" s="3"/>
      <c r="AN318" s="3"/>
      <c r="AO318" s="3"/>
      <c r="AP318" s="3"/>
      <c r="AQ318" s="3"/>
      <c r="AR318" s="3"/>
      <c r="AS318" s="3"/>
      <c r="AT318" s="3"/>
    </row>
    <row r="319" spans="1:46" ht="14.25" customHeight="1" outlineLevel="1" x14ac:dyDescent="0.2">
      <c r="A319" s="220"/>
      <c r="B319" s="220"/>
      <c r="C319" s="220"/>
      <c r="D319" s="15"/>
      <c r="E319" s="87">
        <f>F319-1</f>
        <v>-1</v>
      </c>
      <c r="F319" s="87">
        <f>FirstYear</f>
        <v>0</v>
      </c>
      <c r="G319" s="87">
        <f>F319+1</f>
        <v>1</v>
      </c>
      <c r="H319" s="87">
        <f>G319+1</f>
        <v>2</v>
      </c>
      <c r="I319" s="87">
        <f>H319+1</f>
        <v>3</v>
      </c>
      <c r="J319" s="87">
        <f>I319+1</f>
        <v>4</v>
      </c>
      <c r="K319" s="87">
        <f>J319+1</f>
        <v>5</v>
      </c>
      <c r="L319" s="220"/>
      <c r="M319" s="195"/>
      <c r="N319" s="220"/>
      <c r="O319" s="220"/>
      <c r="P319" s="195"/>
      <c r="Q319" s="220"/>
      <c r="R319" s="220"/>
      <c r="S319" s="220"/>
      <c r="T319" s="220"/>
      <c r="U319" s="220"/>
      <c r="V319" s="220"/>
      <c r="W319" s="572"/>
      <c r="X319" s="13"/>
      <c r="Y319" s="13"/>
      <c r="Z319" s="13"/>
      <c r="AA319" s="13"/>
      <c r="AB319" s="4"/>
      <c r="AC319" s="4"/>
      <c r="AD319" s="4"/>
      <c r="AE319" s="4"/>
      <c r="AF319" s="4"/>
      <c r="AG319" s="4"/>
      <c r="AH319" s="4"/>
      <c r="AI319" s="4"/>
      <c r="AJ319" s="4"/>
      <c r="AK319" s="4"/>
      <c r="AL319" s="4"/>
      <c r="AM319" s="4"/>
      <c r="AN319" s="4"/>
      <c r="AO319" s="4"/>
      <c r="AP319" s="4"/>
      <c r="AQ319" s="4"/>
      <c r="AR319" s="4"/>
      <c r="AS319" s="4"/>
      <c r="AT319" s="4"/>
    </row>
    <row r="320" spans="1:46" outlineLevel="1" x14ac:dyDescent="0.2">
      <c r="A320" s="220"/>
      <c r="B320" s="220"/>
      <c r="C320" s="220"/>
      <c r="D320" s="8" t="s">
        <v>132</v>
      </c>
      <c r="E320" s="53">
        <f>INDEX(ScriptsMSAdditional,$C317) * INDEX(NamesMSAdditional,$C317,3)</f>
        <v>0</v>
      </c>
      <c r="F320" s="53">
        <f t="shared" ref="F320" si="188">IF(E320="","",E320*(1+E321))</f>
        <v>0</v>
      </c>
      <c r="G320" s="53">
        <f t="shared" ref="G320" si="189">IF(F320="","",F320*(1+F321))</f>
        <v>0</v>
      </c>
      <c r="H320" s="53">
        <f t="shared" ref="H320" si="190">IF(G320="","",G320*(1+G321))</f>
        <v>0</v>
      </c>
      <c r="I320" s="53">
        <f t="shared" ref="I320" si="191">IF(H320="","",H320*(1+H321))</f>
        <v>0</v>
      </c>
      <c r="J320" s="53">
        <f>IF(I320="","",I320*(1+I321))</f>
        <v>0</v>
      </c>
      <c r="K320" s="53">
        <f t="shared" ref="K320" si="192">IF(J320="","",J320*(1+J321))</f>
        <v>0</v>
      </c>
      <c r="L320" s="220"/>
      <c r="M320" s="19" t="s">
        <v>292</v>
      </c>
      <c r="N320" s="220"/>
      <c r="O320" s="195"/>
      <c r="P320" s="220"/>
      <c r="Q320" s="220"/>
      <c r="R320" s="195"/>
      <c r="S320" s="195"/>
      <c r="T320" s="195"/>
      <c r="U320" s="195"/>
      <c r="V320" s="195"/>
      <c r="W320" s="595"/>
      <c r="X320" s="13"/>
      <c r="Y320" s="13"/>
      <c r="Z320" s="13"/>
      <c r="AA320" s="13"/>
      <c r="AB320" s="4"/>
      <c r="AC320" s="4"/>
      <c r="AD320" s="4"/>
      <c r="AE320" s="4"/>
      <c r="AF320" s="4"/>
      <c r="AG320" s="4"/>
      <c r="AH320" s="4"/>
      <c r="AI320" s="4"/>
      <c r="AJ320" s="4"/>
      <c r="AK320" s="4"/>
      <c r="AL320" s="4"/>
      <c r="AM320" s="4"/>
      <c r="AN320" s="4"/>
      <c r="AO320" s="4"/>
      <c r="AP320" s="4"/>
      <c r="AQ320" s="4"/>
      <c r="AR320" s="4"/>
      <c r="AS320" s="4"/>
      <c r="AT320" s="4"/>
    </row>
    <row r="321" spans="1:46" outlineLevel="1" x14ac:dyDescent="0.2">
      <c r="A321" s="220"/>
      <c r="B321" s="220"/>
      <c r="C321" s="220"/>
      <c r="D321" s="21" t="s">
        <v>27</v>
      </c>
      <c r="E321" s="49"/>
      <c r="F321" s="49"/>
      <c r="G321" s="49"/>
      <c r="H321" s="49"/>
      <c r="I321" s="49"/>
      <c r="J321" s="49"/>
      <c r="K321" s="48"/>
      <c r="L321" s="220"/>
      <c r="M321" s="838"/>
      <c r="N321" s="839"/>
      <c r="O321" s="839"/>
      <c r="P321" s="220"/>
      <c r="Q321" s="220"/>
      <c r="R321" s="220"/>
      <c r="S321" s="220"/>
      <c r="T321" s="220"/>
      <c r="U321" s="220"/>
      <c r="V321" s="220"/>
      <c r="W321" s="572"/>
      <c r="X321" s="13"/>
      <c r="Y321" s="13"/>
      <c r="Z321" s="13"/>
      <c r="AA321" s="13"/>
      <c r="AB321" s="4"/>
      <c r="AC321" s="4"/>
      <c r="AD321" s="4"/>
      <c r="AE321" s="4"/>
      <c r="AF321" s="4"/>
      <c r="AG321" s="4"/>
      <c r="AH321" s="4"/>
      <c r="AI321" s="4"/>
      <c r="AJ321" s="4"/>
      <c r="AK321" s="4"/>
      <c r="AL321" s="4"/>
      <c r="AM321" s="4"/>
      <c r="AN321" s="4"/>
      <c r="AO321" s="4"/>
      <c r="AP321" s="4"/>
      <c r="AQ321" s="4"/>
      <c r="AR321" s="4"/>
      <c r="AS321" s="4"/>
      <c r="AT321" s="4"/>
    </row>
    <row r="322" spans="1:46" outlineLevel="1" x14ac:dyDescent="0.2">
      <c r="A322" s="220"/>
      <c r="B322" s="220"/>
      <c r="C322" s="220"/>
      <c r="D322" s="21" t="s">
        <v>34</v>
      </c>
      <c r="E322" s="49"/>
      <c r="F322" s="49"/>
      <c r="G322" s="49"/>
      <c r="H322" s="49"/>
      <c r="I322" s="49"/>
      <c r="J322" s="49"/>
      <c r="K322" s="49"/>
      <c r="L322" s="220"/>
      <c r="M322" s="838"/>
      <c r="N322" s="839"/>
      <c r="O322" s="839"/>
      <c r="P322" s="220"/>
      <c r="Q322" s="220"/>
      <c r="R322" s="220"/>
      <c r="S322" s="220"/>
      <c r="T322" s="220"/>
      <c r="U322" s="220"/>
      <c r="V322" s="220"/>
      <c r="W322" s="572"/>
      <c r="X322" s="13"/>
      <c r="Y322" s="13"/>
      <c r="Z322" s="13"/>
      <c r="AA322" s="13"/>
      <c r="AB322" s="4"/>
      <c r="AC322" s="4"/>
      <c r="AD322" s="4"/>
      <c r="AE322" s="4"/>
      <c r="AF322" s="4"/>
      <c r="AG322" s="4"/>
      <c r="AH322" s="4"/>
      <c r="AI322" s="4"/>
      <c r="AJ322" s="4"/>
      <c r="AK322" s="4"/>
      <c r="AL322" s="4"/>
      <c r="AM322" s="4"/>
      <c r="AN322" s="4"/>
      <c r="AO322" s="4"/>
      <c r="AP322" s="4"/>
      <c r="AQ322" s="4"/>
      <c r="AR322" s="4"/>
      <c r="AS322" s="4"/>
      <c r="AT322" s="4"/>
    </row>
    <row r="323" spans="1:46" outlineLevel="1" x14ac:dyDescent="0.2">
      <c r="A323" s="220"/>
      <c r="B323" s="220"/>
      <c r="C323" s="220"/>
      <c r="D323" s="21" t="s">
        <v>923</v>
      </c>
      <c r="E323" s="49"/>
      <c r="F323" s="49"/>
      <c r="G323" s="49"/>
      <c r="H323" s="49"/>
      <c r="I323" s="49"/>
      <c r="J323" s="49"/>
      <c r="K323" s="49"/>
      <c r="L323" s="220"/>
      <c r="M323" s="838"/>
      <c r="N323" s="839"/>
      <c r="O323" s="839"/>
      <c r="P323" s="220"/>
      <c r="Q323" s="220"/>
      <c r="R323" s="220"/>
      <c r="S323" s="220"/>
      <c r="T323" s="220"/>
      <c r="U323" s="220"/>
      <c r="V323" s="220"/>
      <c r="W323" s="572"/>
      <c r="X323" s="13"/>
      <c r="Y323" s="13"/>
      <c r="Z323" s="13"/>
      <c r="AA323" s="13"/>
      <c r="AB323" s="4"/>
      <c r="AC323" s="4"/>
      <c r="AD323" s="4"/>
      <c r="AE323" s="4"/>
      <c r="AF323" s="4"/>
      <c r="AG323" s="4"/>
      <c r="AH323" s="4"/>
      <c r="AI323" s="4"/>
      <c r="AJ323" s="4"/>
      <c r="AK323" s="4"/>
      <c r="AL323" s="4"/>
      <c r="AM323" s="4"/>
      <c r="AN323" s="4"/>
      <c r="AO323" s="4"/>
      <c r="AP323" s="4"/>
      <c r="AQ323" s="4"/>
      <c r="AR323" s="4"/>
      <c r="AS323" s="4"/>
      <c r="AT323" s="4"/>
    </row>
    <row r="324" spans="1:46" outlineLevel="1" x14ac:dyDescent="0.2">
      <c r="A324" s="264"/>
      <c r="B324" s="264"/>
      <c r="C324" s="264"/>
      <c r="D324" s="23" t="s">
        <v>125</v>
      </c>
      <c r="E324" s="53">
        <f t="shared" ref="E324:K324" si="193">E326-E325</f>
        <v>0</v>
      </c>
      <c r="F324" s="53">
        <f t="shared" si="193"/>
        <v>0</v>
      </c>
      <c r="G324" s="53">
        <f t="shared" si="193"/>
        <v>0</v>
      </c>
      <c r="H324" s="53">
        <f t="shared" si="193"/>
        <v>0</v>
      </c>
      <c r="I324" s="53">
        <f t="shared" si="193"/>
        <v>0</v>
      </c>
      <c r="J324" s="53">
        <f t="shared" si="193"/>
        <v>0</v>
      </c>
      <c r="K324" s="53">
        <f t="shared" si="193"/>
        <v>0</v>
      </c>
      <c r="L324" s="264"/>
      <c r="M324" s="264"/>
      <c r="N324" s="264"/>
      <c r="O324" s="264"/>
      <c r="P324" s="264"/>
      <c r="Q324" s="264"/>
      <c r="R324" s="264"/>
      <c r="S324" s="264"/>
      <c r="T324" s="264"/>
      <c r="U324" s="264"/>
      <c r="V324" s="264"/>
      <c r="W324" s="597"/>
      <c r="X324" s="13"/>
      <c r="Y324" s="13"/>
      <c r="Z324" s="13"/>
      <c r="AA324" s="13"/>
      <c r="AB324" s="10"/>
      <c r="AC324" s="10"/>
      <c r="AD324" s="10"/>
      <c r="AE324" s="10"/>
      <c r="AF324" s="10"/>
      <c r="AG324" s="10"/>
      <c r="AH324" s="10"/>
      <c r="AI324" s="10"/>
      <c r="AJ324" s="10"/>
      <c r="AK324" s="10"/>
      <c r="AL324" s="10"/>
      <c r="AM324" s="10"/>
      <c r="AN324" s="10"/>
      <c r="AO324" s="10"/>
      <c r="AP324" s="10"/>
      <c r="AQ324" s="10"/>
      <c r="AR324" s="10"/>
      <c r="AS324" s="10"/>
      <c r="AT324" s="10"/>
    </row>
    <row r="325" spans="1:46" outlineLevel="1" x14ac:dyDescent="0.2">
      <c r="A325" s="264"/>
      <c r="B325" s="264"/>
      <c r="C325" s="264"/>
      <c r="D325" s="23" t="s">
        <v>126</v>
      </c>
      <c r="E325" s="53">
        <f t="shared" ref="E325:K325" si="194">ROUND(E326*$T$167,0)</f>
        <v>0</v>
      </c>
      <c r="F325" s="53">
        <f t="shared" si="194"/>
        <v>0</v>
      </c>
      <c r="G325" s="53">
        <f t="shared" si="194"/>
        <v>0</v>
      </c>
      <c r="H325" s="53">
        <f t="shared" si="194"/>
        <v>0</v>
      </c>
      <c r="I325" s="53">
        <f t="shared" si="194"/>
        <v>0</v>
      </c>
      <c r="J325" s="53">
        <f t="shared" si="194"/>
        <v>0</v>
      </c>
      <c r="K325" s="53">
        <f t="shared" si="194"/>
        <v>0</v>
      </c>
      <c r="L325" s="264"/>
      <c r="M325" s="264"/>
      <c r="N325" s="264"/>
      <c r="O325" s="264"/>
      <c r="P325" s="264"/>
      <c r="Q325" s="264"/>
      <c r="R325" s="264"/>
      <c r="S325" s="264"/>
      <c r="T325" s="264"/>
      <c r="U325" s="264"/>
      <c r="V325" s="264"/>
      <c r="W325" s="597"/>
      <c r="X325" s="13"/>
      <c r="Y325" s="13"/>
      <c r="Z325" s="13"/>
      <c r="AA325" s="13"/>
      <c r="AB325" s="10"/>
      <c r="AC325" s="10"/>
      <c r="AD325" s="10"/>
      <c r="AE325" s="10"/>
      <c r="AF325" s="10"/>
      <c r="AG325" s="10"/>
      <c r="AH325" s="10"/>
      <c r="AI325" s="10"/>
      <c r="AJ325" s="10"/>
      <c r="AK325" s="10"/>
      <c r="AL325" s="10"/>
      <c r="AM325" s="10"/>
      <c r="AN325" s="10"/>
      <c r="AO325" s="10"/>
      <c r="AP325" s="10"/>
      <c r="AQ325" s="10"/>
      <c r="AR325" s="10"/>
      <c r="AS325" s="10"/>
      <c r="AT325" s="10"/>
    </row>
    <row r="326" spans="1:46" outlineLevel="1" x14ac:dyDescent="0.2">
      <c r="A326" s="264"/>
      <c r="B326" s="264"/>
      <c r="C326" s="264"/>
      <c r="D326" s="458" t="s">
        <v>918</v>
      </c>
      <c r="E326" s="54">
        <f t="shared" ref="E326:K326" si="195">IF(E320="","",E323*E322*E320)</f>
        <v>0</v>
      </c>
      <c r="F326" s="54">
        <f t="shared" si="195"/>
        <v>0</v>
      </c>
      <c r="G326" s="54">
        <f t="shared" si="195"/>
        <v>0</v>
      </c>
      <c r="H326" s="54">
        <f t="shared" si="195"/>
        <v>0</v>
      </c>
      <c r="I326" s="54">
        <f t="shared" si="195"/>
        <v>0</v>
      </c>
      <c r="J326" s="54">
        <f t="shared" si="195"/>
        <v>0</v>
      </c>
      <c r="K326" s="54">
        <f t="shared" si="195"/>
        <v>0</v>
      </c>
      <c r="L326" s="264"/>
      <c r="M326" s="264"/>
      <c r="N326" s="264"/>
      <c r="O326" s="264"/>
      <c r="P326" s="264"/>
      <c r="Q326" s="264"/>
      <c r="R326" s="264"/>
      <c r="S326" s="264"/>
      <c r="T326" s="264"/>
      <c r="U326" s="264"/>
      <c r="V326" s="264"/>
      <c r="W326" s="597"/>
      <c r="X326" s="13"/>
      <c r="Y326" s="13"/>
      <c r="Z326" s="13"/>
      <c r="AA326" s="13"/>
      <c r="AB326" s="10"/>
      <c r="AC326" s="10"/>
      <c r="AD326" s="10"/>
      <c r="AE326" s="10"/>
      <c r="AF326" s="10"/>
      <c r="AG326" s="10"/>
      <c r="AH326" s="10"/>
      <c r="AI326" s="10"/>
      <c r="AJ326" s="10"/>
      <c r="AK326" s="10"/>
      <c r="AL326" s="10"/>
      <c r="AM326" s="10"/>
      <c r="AN326" s="10"/>
      <c r="AO326" s="10"/>
      <c r="AP326" s="10"/>
      <c r="AQ326" s="10"/>
      <c r="AR326" s="10"/>
      <c r="AS326" s="10"/>
      <c r="AT326" s="10"/>
    </row>
    <row r="327" spans="1:46" outlineLevel="1" x14ac:dyDescent="0.2">
      <c r="A327" s="220"/>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572"/>
      <c r="X327" s="13"/>
      <c r="Y327" s="13"/>
      <c r="Z327" s="13"/>
      <c r="AA327" s="13"/>
      <c r="AB327" s="4"/>
      <c r="AC327" s="4"/>
      <c r="AD327" s="4"/>
      <c r="AE327" s="4"/>
      <c r="AF327" s="4"/>
      <c r="AG327" s="4"/>
      <c r="AH327" s="4"/>
      <c r="AI327" s="4"/>
      <c r="AJ327" s="4"/>
      <c r="AK327" s="4"/>
      <c r="AL327" s="4"/>
      <c r="AM327" s="4"/>
      <c r="AN327" s="4"/>
      <c r="AO327" s="4"/>
      <c r="AP327" s="4"/>
      <c r="AQ327" s="4"/>
      <c r="AR327" s="4"/>
      <c r="AS327" s="4"/>
      <c r="AT327" s="4"/>
    </row>
    <row r="328" spans="1:46" x14ac:dyDescent="0.2">
      <c r="A328" s="220"/>
      <c r="B328" s="220"/>
      <c r="C328" s="220"/>
      <c r="D328" s="220"/>
      <c r="E328" s="220"/>
      <c r="F328" s="220"/>
      <c r="G328" s="220"/>
      <c r="H328" s="220"/>
      <c r="I328" s="220"/>
      <c r="J328" s="220"/>
      <c r="K328" s="220"/>
      <c r="L328" s="220"/>
      <c r="M328" s="220"/>
      <c r="N328" s="220"/>
      <c r="O328" s="220"/>
      <c r="P328" s="220"/>
      <c r="Q328" s="220"/>
      <c r="R328" s="220"/>
      <c r="S328" s="220"/>
      <c r="T328" s="220"/>
      <c r="U328" s="220"/>
      <c r="V328" s="220"/>
      <c r="W328" s="572"/>
      <c r="X328" s="13"/>
      <c r="Y328" s="13"/>
      <c r="Z328" s="13"/>
      <c r="AA328" s="13"/>
      <c r="AB328" s="4"/>
      <c r="AC328" s="4"/>
      <c r="AD328" s="4"/>
      <c r="AE328" s="4"/>
      <c r="AF328" s="4"/>
      <c r="AG328" s="4"/>
      <c r="AH328" s="4"/>
      <c r="AI328" s="4"/>
      <c r="AJ328" s="4"/>
      <c r="AK328" s="4"/>
      <c r="AL328" s="4"/>
      <c r="AM328" s="4"/>
      <c r="AN328" s="4"/>
      <c r="AO328" s="4"/>
      <c r="AP328" s="4"/>
      <c r="AQ328" s="4"/>
      <c r="AR328" s="4"/>
      <c r="AS328" s="4"/>
      <c r="AT328" s="4"/>
    </row>
    <row r="329" spans="1:46" ht="15" x14ac:dyDescent="0.2">
      <c r="A329" s="172"/>
      <c r="B329" s="172"/>
      <c r="C329" s="405">
        <v>13</v>
      </c>
      <c r="D329" s="221" t="str">
        <f>D170</f>
        <v>** NOT USED **</v>
      </c>
      <c r="E329" s="207"/>
      <c r="F329" s="207"/>
      <c r="G329" s="207"/>
      <c r="H329" s="207"/>
      <c r="I329" s="782" t="str">
        <f>IF(D329&lt;&gt;MsgNotUsed,"Co-payment group " &amp; INDEX(CoPayBandMS,C329),"")</f>
        <v/>
      </c>
      <c r="J329" s="782"/>
      <c r="K329" s="207"/>
      <c r="L329" s="207"/>
      <c r="M329" s="207"/>
      <c r="N329" s="207"/>
      <c r="O329" s="207"/>
      <c r="P329" s="207"/>
      <c r="Q329" s="207"/>
      <c r="R329" s="207"/>
      <c r="S329" s="207"/>
      <c r="T329" s="207"/>
      <c r="U329" s="207"/>
      <c r="V329" s="207"/>
      <c r="W329" s="207"/>
      <c r="X329" s="13"/>
      <c r="Y329" s="13"/>
      <c r="Z329" s="13"/>
      <c r="AA329" s="13"/>
      <c r="AB329" s="453"/>
      <c r="AC329" s="453"/>
      <c r="AD329" s="453"/>
      <c r="AE329" s="453"/>
      <c r="AF329" s="453"/>
      <c r="AG329" s="453"/>
      <c r="AH329" s="453"/>
      <c r="AI329" s="453"/>
      <c r="AJ329" s="453"/>
      <c r="AK329" s="453"/>
      <c r="AL329" s="453"/>
      <c r="AM329" s="453"/>
      <c r="AN329" s="453"/>
      <c r="AO329" s="453"/>
      <c r="AP329" s="453"/>
      <c r="AQ329" s="453"/>
      <c r="AR329" s="453"/>
      <c r="AS329" s="453"/>
      <c r="AT329" s="453"/>
    </row>
    <row r="330" spans="1:46" ht="15.75" outlineLevel="1" x14ac:dyDescent="0.2">
      <c r="A330" s="192"/>
      <c r="B330" s="192"/>
      <c r="C330" s="192"/>
      <c r="D330" s="193"/>
      <c r="E330" s="192"/>
      <c r="F330" s="192"/>
      <c r="G330" s="192"/>
      <c r="H330" s="192"/>
      <c r="I330" s="192"/>
      <c r="J330" s="192"/>
      <c r="K330" s="192"/>
      <c r="L330" s="192"/>
      <c r="M330" s="192"/>
      <c r="N330" s="192"/>
      <c r="O330" s="192"/>
      <c r="P330" s="192"/>
      <c r="Q330" s="192"/>
      <c r="R330" s="192"/>
      <c r="S330" s="192"/>
      <c r="T330" s="192"/>
      <c r="U330" s="192"/>
      <c r="V330" s="192"/>
      <c r="W330" s="192"/>
      <c r="X330" s="13"/>
      <c r="Y330" s="13"/>
      <c r="Z330" s="13"/>
      <c r="AA330" s="13"/>
      <c r="AB330" s="3"/>
      <c r="AC330" s="3"/>
      <c r="AD330" s="3"/>
      <c r="AE330" s="3"/>
      <c r="AF330" s="3"/>
      <c r="AG330" s="3"/>
      <c r="AH330" s="3"/>
      <c r="AI330" s="3"/>
      <c r="AJ330" s="3"/>
      <c r="AK330" s="3"/>
      <c r="AL330" s="3"/>
      <c r="AM330" s="3"/>
      <c r="AN330" s="3"/>
      <c r="AO330" s="3"/>
      <c r="AP330" s="3"/>
      <c r="AQ330" s="3"/>
      <c r="AR330" s="3"/>
      <c r="AS330" s="3"/>
      <c r="AT330" s="3"/>
    </row>
    <row r="331" spans="1:46" ht="14.25" customHeight="1" outlineLevel="1" x14ac:dyDescent="0.2">
      <c r="A331" s="220"/>
      <c r="B331" s="220"/>
      <c r="C331" s="220"/>
      <c r="D331" s="15"/>
      <c r="E331" s="87">
        <f>F331-1</f>
        <v>-1</v>
      </c>
      <c r="F331" s="87">
        <f>FirstYear</f>
        <v>0</v>
      </c>
      <c r="G331" s="87">
        <f>F331+1</f>
        <v>1</v>
      </c>
      <c r="H331" s="87">
        <f>G331+1</f>
        <v>2</v>
      </c>
      <c r="I331" s="87">
        <f>H331+1</f>
        <v>3</v>
      </c>
      <c r="J331" s="87">
        <f>I331+1</f>
        <v>4</v>
      </c>
      <c r="K331" s="87">
        <f>J331+1</f>
        <v>5</v>
      </c>
      <c r="L331" s="220"/>
      <c r="M331" s="195"/>
      <c r="N331" s="220"/>
      <c r="O331" s="220"/>
      <c r="P331" s="195"/>
      <c r="Q331" s="220"/>
      <c r="R331" s="220"/>
      <c r="S331" s="220"/>
      <c r="T331" s="220"/>
      <c r="U331" s="220"/>
      <c r="V331" s="220"/>
      <c r="W331" s="572"/>
      <c r="X331" s="13"/>
      <c r="Y331" s="13"/>
      <c r="Z331" s="13"/>
      <c r="AA331" s="13"/>
      <c r="AB331" s="4"/>
      <c r="AC331" s="4"/>
      <c r="AD331" s="4"/>
      <c r="AE331" s="4"/>
      <c r="AF331" s="4"/>
      <c r="AG331" s="4"/>
      <c r="AH331" s="4"/>
      <c r="AI331" s="4"/>
      <c r="AJ331" s="4"/>
      <c r="AK331" s="4"/>
      <c r="AL331" s="4"/>
      <c r="AM331" s="4"/>
      <c r="AN331" s="4"/>
      <c r="AO331" s="4"/>
      <c r="AP331" s="4"/>
      <c r="AQ331" s="4"/>
      <c r="AR331" s="4"/>
      <c r="AS331" s="4"/>
      <c r="AT331" s="4"/>
    </row>
    <row r="332" spans="1:46" outlineLevel="1" x14ac:dyDescent="0.2">
      <c r="A332" s="220"/>
      <c r="B332" s="220"/>
      <c r="C332" s="220"/>
      <c r="D332" s="8" t="s">
        <v>132</v>
      </c>
      <c r="E332" s="53">
        <f>INDEX(ScriptsMSAdditional,$C329) * INDEX(NamesMSAdditional,$C329,3)</f>
        <v>0</v>
      </c>
      <c r="F332" s="53">
        <f t="shared" ref="F332" si="196">IF(E332="","",E332*(1+E333))</f>
        <v>0</v>
      </c>
      <c r="G332" s="53">
        <f t="shared" ref="G332" si="197">IF(F332="","",F332*(1+F333))</f>
        <v>0</v>
      </c>
      <c r="H332" s="53">
        <f t="shared" ref="H332" si="198">IF(G332="","",G332*(1+G333))</f>
        <v>0</v>
      </c>
      <c r="I332" s="53">
        <f t="shared" ref="I332" si="199">IF(H332="","",H332*(1+H333))</f>
        <v>0</v>
      </c>
      <c r="J332" s="53">
        <f>IF(I332="","",I332*(1+I333))</f>
        <v>0</v>
      </c>
      <c r="K332" s="53">
        <f t="shared" ref="K332" si="200">IF(J332="","",J332*(1+J333))</f>
        <v>0</v>
      </c>
      <c r="L332" s="220"/>
      <c r="M332" s="19" t="s">
        <v>292</v>
      </c>
      <c r="N332" s="220"/>
      <c r="O332" s="195"/>
      <c r="P332" s="220"/>
      <c r="Q332" s="220"/>
      <c r="R332" s="195"/>
      <c r="S332" s="195"/>
      <c r="T332" s="195"/>
      <c r="U332" s="195"/>
      <c r="V332" s="195"/>
      <c r="W332" s="595"/>
      <c r="X332" s="13"/>
      <c r="Y332" s="13"/>
      <c r="Z332" s="13"/>
      <c r="AA332" s="13"/>
      <c r="AB332" s="4"/>
      <c r="AC332" s="4"/>
      <c r="AD332" s="4"/>
      <c r="AE332" s="4"/>
      <c r="AF332" s="4"/>
      <c r="AG332" s="4"/>
      <c r="AH332" s="4"/>
      <c r="AI332" s="4"/>
      <c r="AJ332" s="4"/>
      <c r="AK332" s="4"/>
      <c r="AL332" s="4"/>
      <c r="AM332" s="4"/>
      <c r="AN332" s="4"/>
      <c r="AO332" s="4"/>
      <c r="AP332" s="4"/>
      <c r="AQ332" s="4"/>
      <c r="AR332" s="4"/>
      <c r="AS332" s="4"/>
      <c r="AT332" s="4"/>
    </row>
    <row r="333" spans="1:46" outlineLevel="1" x14ac:dyDescent="0.2">
      <c r="A333" s="220"/>
      <c r="B333" s="220"/>
      <c r="C333" s="220"/>
      <c r="D333" s="21" t="s">
        <v>27</v>
      </c>
      <c r="E333" s="49"/>
      <c r="F333" s="49"/>
      <c r="G333" s="49"/>
      <c r="H333" s="49"/>
      <c r="I333" s="49"/>
      <c r="J333" s="49"/>
      <c r="K333" s="48"/>
      <c r="L333" s="220"/>
      <c r="M333" s="838"/>
      <c r="N333" s="839"/>
      <c r="O333" s="839"/>
      <c r="P333" s="220"/>
      <c r="Q333" s="220"/>
      <c r="R333" s="220"/>
      <c r="S333" s="220"/>
      <c r="T333" s="220"/>
      <c r="U333" s="220"/>
      <c r="V333" s="220"/>
      <c r="W333" s="572"/>
      <c r="X333" s="13"/>
      <c r="Y333" s="13"/>
      <c r="Z333" s="13"/>
      <c r="AA333" s="13"/>
      <c r="AB333" s="4"/>
      <c r="AC333" s="4"/>
      <c r="AD333" s="4"/>
      <c r="AE333" s="4"/>
      <c r="AF333" s="4"/>
      <c r="AG333" s="4"/>
      <c r="AH333" s="4"/>
      <c r="AI333" s="4"/>
      <c r="AJ333" s="4"/>
      <c r="AK333" s="4"/>
      <c r="AL333" s="4"/>
      <c r="AM333" s="4"/>
      <c r="AN333" s="4"/>
      <c r="AO333" s="4"/>
      <c r="AP333" s="4"/>
      <c r="AQ333" s="4"/>
      <c r="AR333" s="4"/>
      <c r="AS333" s="4"/>
      <c r="AT333" s="4"/>
    </row>
    <row r="334" spans="1:46" outlineLevel="1" x14ac:dyDescent="0.2">
      <c r="A334" s="220"/>
      <c r="B334" s="220"/>
      <c r="C334" s="220"/>
      <c r="D334" s="21" t="s">
        <v>34</v>
      </c>
      <c r="E334" s="49"/>
      <c r="F334" s="49"/>
      <c r="G334" s="49"/>
      <c r="H334" s="49"/>
      <c r="I334" s="49"/>
      <c r="J334" s="49"/>
      <c r="K334" s="49"/>
      <c r="L334" s="220"/>
      <c r="M334" s="838"/>
      <c r="N334" s="839"/>
      <c r="O334" s="839"/>
      <c r="P334" s="220"/>
      <c r="Q334" s="220"/>
      <c r="R334" s="220"/>
      <c r="S334" s="220"/>
      <c r="T334" s="220"/>
      <c r="U334" s="220"/>
      <c r="V334" s="220"/>
      <c r="W334" s="572"/>
      <c r="X334" s="13"/>
      <c r="Y334" s="13"/>
      <c r="Z334" s="13"/>
      <c r="AA334" s="13"/>
      <c r="AB334" s="4"/>
      <c r="AC334" s="4"/>
      <c r="AD334" s="4"/>
      <c r="AE334" s="4"/>
      <c r="AF334" s="4"/>
      <c r="AG334" s="4"/>
      <c r="AH334" s="4"/>
      <c r="AI334" s="4"/>
      <c r="AJ334" s="4"/>
      <c r="AK334" s="4"/>
      <c r="AL334" s="4"/>
      <c r="AM334" s="4"/>
      <c r="AN334" s="4"/>
      <c r="AO334" s="4"/>
      <c r="AP334" s="4"/>
      <c r="AQ334" s="4"/>
      <c r="AR334" s="4"/>
      <c r="AS334" s="4"/>
      <c r="AT334" s="4"/>
    </row>
    <row r="335" spans="1:46" outlineLevel="1" x14ac:dyDescent="0.2">
      <c r="A335" s="220"/>
      <c r="B335" s="220"/>
      <c r="C335" s="220"/>
      <c r="D335" s="21" t="s">
        <v>923</v>
      </c>
      <c r="E335" s="49"/>
      <c r="F335" s="49"/>
      <c r="G335" s="49"/>
      <c r="H335" s="49"/>
      <c r="I335" s="49"/>
      <c r="J335" s="49"/>
      <c r="K335" s="49"/>
      <c r="L335" s="220"/>
      <c r="M335" s="838"/>
      <c r="N335" s="839"/>
      <c r="O335" s="839"/>
      <c r="P335" s="220"/>
      <c r="Q335" s="220"/>
      <c r="R335" s="220"/>
      <c r="S335" s="220"/>
      <c r="T335" s="220"/>
      <c r="U335" s="220"/>
      <c r="V335" s="220"/>
      <c r="W335" s="572"/>
      <c r="X335" s="13"/>
      <c r="Y335" s="13"/>
      <c r="Z335" s="13"/>
      <c r="AA335" s="13"/>
      <c r="AB335" s="4"/>
      <c r="AC335" s="4"/>
      <c r="AD335" s="4"/>
      <c r="AE335" s="4"/>
      <c r="AF335" s="4"/>
      <c r="AG335" s="4"/>
      <c r="AH335" s="4"/>
      <c r="AI335" s="4"/>
      <c r="AJ335" s="4"/>
      <c r="AK335" s="4"/>
      <c r="AL335" s="4"/>
      <c r="AM335" s="4"/>
      <c r="AN335" s="4"/>
      <c r="AO335" s="4"/>
      <c r="AP335" s="4"/>
      <c r="AQ335" s="4"/>
      <c r="AR335" s="4"/>
      <c r="AS335" s="4"/>
      <c r="AT335" s="4"/>
    </row>
    <row r="336" spans="1:46" outlineLevel="1" x14ac:dyDescent="0.2">
      <c r="A336" s="264"/>
      <c r="B336" s="264"/>
      <c r="C336" s="264"/>
      <c r="D336" s="23" t="s">
        <v>125</v>
      </c>
      <c r="E336" s="53">
        <f t="shared" ref="E336:K336" si="201">E338-E337</f>
        <v>0</v>
      </c>
      <c r="F336" s="53">
        <f t="shared" si="201"/>
        <v>0</v>
      </c>
      <c r="G336" s="53">
        <f t="shared" si="201"/>
        <v>0</v>
      </c>
      <c r="H336" s="53">
        <f t="shared" si="201"/>
        <v>0</v>
      </c>
      <c r="I336" s="53">
        <f t="shared" si="201"/>
        <v>0</v>
      </c>
      <c r="J336" s="53">
        <f t="shared" si="201"/>
        <v>0</v>
      </c>
      <c r="K336" s="53">
        <f t="shared" si="201"/>
        <v>0</v>
      </c>
      <c r="L336" s="264"/>
      <c r="M336" s="264"/>
      <c r="N336" s="264"/>
      <c r="O336" s="264"/>
      <c r="P336" s="264"/>
      <c r="Q336" s="264"/>
      <c r="R336" s="264"/>
      <c r="S336" s="264"/>
      <c r="T336" s="264"/>
      <c r="U336" s="264"/>
      <c r="V336" s="264"/>
      <c r="W336" s="597"/>
      <c r="X336" s="13"/>
      <c r="Y336" s="13"/>
      <c r="Z336" s="13"/>
      <c r="AA336" s="13"/>
      <c r="AB336" s="10"/>
      <c r="AC336" s="10"/>
      <c r="AD336" s="10"/>
      <c r="AE336" s="10"/>
      <c r="AF336" s="10"/>
      <c r="AG336" s="10"/>
      <c r="AH336" s="10"/>
      <c r="AI336" s="10"/>
      <c r="AJ336" s="10"/>
      <c r="AK336" s="10"/>
      <c r="AL336" s="10"/>
      <c r="AM336" s="10"/>
      <c r="AN336" s="10"/>
      <c r="AO336" s="10"/>
      <c r="AP336" s="10"/>
      <c r="AQ336" s="10"/>
      <c r="AR336" s="10"/>
      <c r="AS336" s="10"/>
      <c r="AT336" s="10"/>
    </row>
    <row r="337" spans="1:46" outlineLevel="1" x14ac:dyDescent="0.2">
      <c r="A337" s="264"/>
      <c r="B337" s="264"/>
      <c r="C337" s="264"/>
      <c r="D337" s="23" t="s">
        <v>126</v>
      </c>
      <c r="E337" s="53">
        <f t="shared" ref="E337:K337" si="202">ROUND(E338*$T$167,0)</f>
        <v>0</v>
      </c>
      <c r="F337" s="53">
        <f t="shared" si="202"/>
        <v>0</v>
      </c>
      <c r="G337" s="53">
        <f t="shared" si="202"/>
        <v>0</v>
      </c>
      <c r="H337" s="53">
        <f t="shared" si="202"/>
        <v>0</v>
      </c>
      <c r="I337" s="53">
        <f t="shared" si="202"/>
        <v>0</v>
      </c>
      <c r="J337" s="53">
        <f t="shared" si="202"/>
        <v>0</v>
      </c>
      <c r="K337" s="53">
        <f t="shared" si="202"/>
        <v>0</v>
      </c>
      <c r="L337" s="264"/>
      <c r="M337" s="264"/>
      <c r="N337" s="264"/>
      <c r="O337" s="264"/>
      <c r="P337" s="264"/>
      <c r="Q337" s="264"/>
      <c r="R337" s="264"/>
      <c r="S337" s="264"/>
      <c r="T337" s="264"/>
      <c r="U337" s="264"/>
      <c r="V337" s="264"/>
      <c r="W337" s="597"/>
      <c r="X337" s="13"/>
      <c r="Y337" s="13"/>
      <c r="Z337" s="13"/>
      <c r="AA337" s="13"/>
      <c r="AB337" s="10"/>
      <c r="AC337" s="10"/>
      <c r="AD337" s="10"/>
      <c r="AE337" s="10"/>
      <c r="AF337" s="10"/>
      <c r="AG337" s="10"/>
      <c r="AH337" s="10"/>
      <c r="AI337" s="10"/>
      <c r="AJ337" s="10"/>
      <c r="AK337" s="10"/>
      <c r="AL337" s="10"/>
      <c r="AM337" s="10"/>
      <c r="AN337" s="10"/>
      <c r="AO337" s="10"/>
      <c r="AP337" s="10"/>
      <c r="AQ337" s="10"/>
      <c r="AR337" s="10"/>
      <c r="AS337" s="10"/>
      <c r="AT337" s="10"/>
    </row>
    <row r="338" spans="1:46" outlineLevel="1" x14ac:dyDescent="0.2">
      <c r="A338" s="264"/>
      <c r="B338" s="264"/>
      <c r="C338" s="264"/>
      <c r="D338" s="458" t="s">
        <v>918</v>
      </c>
      <c r="E338" s="54">
        <f t="shared" ref="E338:K338" si="203">IF(E332="","",E335*E334*E332)</f>
        <v>0</v>
      </c>
      <c r="F338" s="54">
        <f t="shared" si="203"/>
        <v>0</v>
      </c>
      <c r="G338" s="54">
        <f t="shared" si="203"/>
        <v>0</v>
      </c>
      <c r="H338" s="54">
        <f t="shared" si="203"/>
        <v>0</v>
      </c>
      <c r="I338" s="54">
        <f t="shared" si="203"/>
        <v>0</v>
      </c>
      <c r="J338" s="54">
        <f t="shared" si="203"/>
        <v>0</v>
      </c>
      <c r="K338" s="54">
        <f t="shared" si="203"/>
        <v>0</v>
      </c>
      <c r="L338" s="264"/>
      <c r="M338" s="264"/>
      <c r="N338" s="264"/>
      <c r="O338" s="264"/>
      <c r="P338" s="264"/>
      <c r="Q338" s="264"/>
      <c r="R338" s="264"/>
      <c r="S338" s="264"/>
      <c r="T338" s="264"/>
      <c r="U338" s="264"/>
      <c r="V338" s="264"/>
      <c r="W338" s="597"/>
      <c r="X338" s="13"/>
      <c r="Y338" s="13"/>
      <c r="Z338" s="13"/>
      <c r="AA338" s="13"/>
      <c r="AB338" s="10"/>
      <c r="AC338" s="10"/>
      <c r="AD338" s="10"/>
      <c r="AE338" s="10"/>
      <c r="AF338" s="10"/>
      <c r="AG338" s="10"/>
      <c r="AH338" s="10"/>
      <c r="AI338" s="10"/>
      <c r="AJ338" s="10"/>
      <c r="AK338" s="10"/>
      <c r="AL338" s="10"/>
      <c r="AM338" s="10"/>
      <c r="AN338" s="10"/>
      <c r="AO338" s="10"/>
      <c r="AP338" s="10"/>
      <c r="AQ338" s="10"/>
      <c r="AR338" s="10"/>
      <c r="AS338" s="10"/>
      <c r="AT338" s="10"/>
    </row>
    <row r="339" spans="1:46" outlineLevel="1" x14ac:dyDescent="0.2">
      <c r="A339" s="220"/>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572"/>
      <c r="X339" s="13"/>
      <c r="Y339" s="13"/>
      <c r="Z339" s="13"/>
      <c r="AA339" s="13"/>
      <c r="AB339" s="4"/>
      <c r="AC339" s="4"/>
      <c r="AD339" s="4"/>
      <c r="AE339" s="4"/>
      <c r="AF339" s="4"/>
      <c r="AG339" s="4"/>
      <c r="AH339" s="4"/>
      <c r="AI339" s="4"/>
      <c r="AJ339" s="4"/>
      <c r="AK339" s="4"/>
      <c r="AL339" s="4"/>
      <c r="AM339" s="4"/>
      <c r="AN339" s="4"/>
      <c r="AO339" s="4"/>
      <c r="AP339" s="4"/>
      <c r="AQ339" s="4"/>
      <c r="AR339" s="4"/>
      <c r="AS339" s="4"/>
      <c r="AT339" s="4"/>
    </row>
    <row r="340" spans="1:46" x14ac:dyDescent="0.2">
      <c r="A340" s="220"/>
      <c r="B340" s="220"/>
      <c r="C340" s="220"/>
      <c r="D340" s="220"/>
      <c r="E340" s="220"/>
      <c r="F340" s="220"/>
      <c r="G340" s="220"/>
      <c r="H340" s="220"/>
      <c r="I340" s="220"/>
      <c r="J340" s="220"/>
      <c r="K340" s="220"/>
      <c r="L340" s="220"/>
      <c r="M340" s="220"/>
      <c r="N340" s="220"/>
      <c r="O340" s="220"/>
      <c r="P340" s="220"/>
      <c r="Q340" s="220"/>
      <c r="R340" s="220"/>
      <c r="S340" s="220"/>
      <c r="T340" s="220"/>
      <c r="U340" s="220"/>
      <c r="V340" s="220"/>
      <c r="W340" s="572"/>
      <c r="X340" s="13"/>
      <c r="Y340" s="13"/>
      <c r="Z340" s="13"/>
      <c r="AA340" s="13"/>
      <c r="AB340" s="4"/>
      <c r="AC340" s="4"/>
      <c r="AD340" s="4"/>
      <c r="AE340" s="4"/>
      <c r="AF340" s="4"/>
      <c r="AG340" s="4"/>
      <c r="AH340" s="4"/>
      <c r="AI340" s="4"/>
      <c r="AJ340" s="4"/>
      <c r="AK340" s="4"/>
      <c r="AL340" s="4"/>
      <c r="AM340" s="4"/>
      <c r="AN340" s="4"/>
      <c r="AO340" s="4"/>
      <c r="AP340" s="4"/>
      <c r="AQ340" s="4"/>
      <c r="AR340" s="4"/>
      <c r="AS340" s="4"/>
      <c r="AT340" s="4"/>
    </row>
    <row r="341" spans="1:46" ht="15" x14ac:dyDescent="0.2">
      <c r="A341" s="172"/>
      <c r="B341" s="172"/>
      <c r="C341" s="405">
        <v>14</v>
      </c>
      <c r="D341" s="221" t="str">
        <f>D171</f>
        <v>** NOT USED **</v>
      </c>
      <c r="E341" s="207"/>
      <c r="F341" s="207"/>
      <c r="G341" s="207"/>
      <c r="H341" s="207"/>
      <c r="I341" s="782" t="str">
        <f>IF(D341&lt;&gt;MsgNotUsed,"Co-payment group " &amp; INDEX(CoPayBandMS,C341),"")</f>
        <v/>
      </c>
      <c r="J341" s="782"/>
      <c r="K341" s="207"/>
      <c r="L341" s="207"/>
      <c r="M341" s="207"/>
      <c r="N341" s="207"/>
      <c r="O341" s="207"/>
      <c r="P341" s="207"/>
      <c r="Q341" s="207"/>
      <c r="R341" s="207"/>
      <c r="S341" s="207"/>
      <c r="T341" s="207"/>
      <c r="U341" s="207"/>
      <c r="V341" s="207"/>
      <c r="W341" s="207"/>
      <c r="X341" s="13"/>
      <c r="Y341" s="13"/>
      <c r="Z341" s="13"/>
      <c r="AA341" s="13"/>
      <c r="AB341" s="453"/>
      <c r="AC341" s="453"/>
      <c r="AD341" s="453"/>
      <c r="AE341" s="453"/>
      <c r="AF341" s="453"/>
      <c r="AG341" s="453"/>
      <c r="AH341" s="453"/>
      <c r="AI341" s="453"/>
      <c r="AJ341" s="453"/>
      <c r="AK341" s="453"/>
      <c r="AL341" s="453"/>
      <c r="AM341" s="453"/>
      <c r="AN341" s="453"/>
      <c r="AO341" s="453"/>
      <c r="AP341" s="453"/>
      <c r="AQ341" s="453"/>
      <c r="AR341" s="453"/>
      <c r="AS341" s="453"/>
      <c r="AT341" s="453"/>
    </row>
    <row r="342" spans="1:46" ht="15.75" outlineLevel="1" x14ac:dyDescent="0.2">
      <c r="A342" s="192"/>
      <c r="B342" s="192"/>
      <c r="C342" s="192"/>
      <c r="D342" s="193"/>
      <c r="E342" s="192"/>
      <c r="F342" s="192"/>
      <c r="G342" s="192"/>
      <c r="H342" s="192"/>
      <c r="I342" s="192"/>
      <c r="J342" s="192"/>
      <c r="K342" s="192"/>
      <c r="L342" s="192"/>
      <c r="M342" s="192"/>
      <c r="N342" s="192"/>
      <c r="O342" s="192"/>
      <c r="P342" s="192"/>
      <c r="Q342" s="192"/>
      <c r="R342" s="192"/>
      <c r="S342" s="192"/>
      <c r="T342" s="192"/>
      <c r="U342" s="192"/>
      <c r="V342" s="192"/>
      <c r="W342" s="192"/>
      <c r="X342" s="13"/>
      <c r="Y342" s="13"/>
      <c r="Z342" s="13"/>
      <c r="AA342" s="13"/>
      <c r="AB342" s="3"/>
      <c r="AC342" s="3"/>
      <c r="AD342" s="3"/>
      <c r="AE342" s="3"/>
      <c r="AF342" s="3"/>
      <c r="AG342" s="3"/>
      <c r="AH342" s="3"/>
      <c r="AI342" s="3"/>
      <c r="AJ342" s="3"/>
      <c r="AK342" s="3"/>
      <c r="AL342" s="3"/>
      <c r="AM342" s="3"/>
      <c r="AN342" s="3"/>
      <c r="AO342" s="3"/>
      <c r="AP342" s="3"/>
      <c r="AQ342" s="3"/>
      <c r="AR342" s="3"/>
      <c r="AS342" s="3"/>
      <c r="AT342" s="3"/>
    </row>
    <row r="343" spans="1:46" ht="14.25" customHeight="1" outlineLevel="1" x14ac:dyDescent="0.2">
      <c r="A343" s="220"/>
      <c r="B343" s="220"/>
      <c r="C343" s="220"/>
      <c r="D343" s="15"/>
      <c r="E343" s="87">
        <f>F343-1</f>
        <v>-1</v>
      </c>
      <c r="F343" s="87">
        <f>FirstYear</f>
        <v>0</v>
      </c>
      <c r="G343" s="87">
        <f>F343+1</f>
        <v>1</v>
      </c>
      <c r="H343" s="87">
        <f>G343+1</f>
        <v>2</v>
      </c>
      <c r="I343" s="87">
        <f>H343+1</f>
        <v>3</v>
      </c>
      <c r="J343" s="87">
        <f>I343+1</f>
        <v>4</v>
      </c>
      <c r="K343" s="87">
        <f>J343+1</f>
        <v>5</v>
      </c>
      <c r="L343" s="220"/>
      <c r="M343" s="195"/>
      <c r="N343" s="220"/>
      <c r="O343" s="220"/>
      <c r="P343" s="195"/>
      <c r="Q343" s="220"/>
      <c r="R343" s="220"/>
      <c r="S343" s="220"/>
      <c r="T343" s="220"/>
      <c r="U343" s="220"/>
      <c r="V343" s="220"/>
      <c r="W343" s="572"/>
      <c r="X343" s="13"/>
      <c r="Y343" s="13"/>
      <c r="Z343" s="13"/>
      <c r="AA343" s="13"/>
      <c r="AB343" s="4"/>
      <c r="AC343" s="4"/>
      <c r="AD343" s="4"/>
      <c r="AE343" s="4"/>
      <c r="AF343" s="4"/>
      <c r="AG343" s="4"/>
      <c r="AH343" s="4"/>
      <c r="AI343" s="4"/>
      <c r="AJ343" s="4"/>
      <c r="AK343" s="4"/>
      <c r="AL343" s="4"/>
      <c r="AM343" s="4"/>
      <c r="AN343" s="4"/>
      <c r="AO343" s="4"/>
      <c r="AP343" s="4"/>
      <c r="AQ343" s="4"/>
      <c r="AR343" s="4"/>
      <c r="AS343" s="4"/>
      <c r="AT343" s="4"/>
    </row>
    <row r="344" spans="1:46" outlineLevel="1" x14ac:dyDescent="0.2">
      <c r="A344" s="220"/>
      <c r="B344" s="220"/>
      <c r="C344" s="220"/>
      <c r="D344" s="8" t="s">
        <v>132</v>
      </c>
      <c r="E344" s="53">
        <f>INDEX(ScriptsMSAdditional,$C341) * INDEX(NamesMSAdditional,$C341,3)</f>
        <v>0</v>
      </c>
      <c r="F344" s="53">
        <f t="shared" ref="F344" si="204">IF(E344="","",E344*(1+E345))</f>
        <v>0</v>
      </c>
      <c r="G344" s="53">
        <f t="shared" ref="G344" si="205">IF(F344="","",F344*(1+F345))</f>
        <v>0</v>
      </c>
      <c r="H344" s="53">
        <f t="shared" ref="H344" si="206">IF(G344="","",G344*(1+G345))</f>
        <v>0</v>
      </c>
      <c r="I344" s="53">
        <f t="shared" ref="I344" si="207">IF(H344="","",H344*(1+H345))</f>
        <v>0</v>
      </c>
      <c r="J344" s="53">
        <f>IF(I344="","",I344*(1+I345))</f>
        <v>0</v>
      </c>
      <c r="K344" s="53">
        <f t="shared" ref="K344" si="208">IF(J344="","",J344*(1+J345))</f>
        <v>0</v>
      </c>
      <c r="L344" s="220"/>
      <c r="M344" s="19" t="s">
        <v>292</v>
      </c>
      <c r="N344" s="220"/>
      <c r="O344" s="195"/>
      <c r="P344" s="220"/>
      <c r="Q344" s="220"/>
      <c r="R344" s="195"/>
      <c r="S344" s="195"/>
      <c r="T344" s="195"/>
      <c r="U344" s="195"/>
      <c r="V344" s="195"/>
      <c r="W344" s="595"/>
      <c r="X344" s="13"/>
      <c r="Y344" s="13"/>
      <c r="Z344" s="13"/>
      <c r="AA344" s="13"/>
      <c r="AB344" s="4"/>
      <c r="AC344" s="4"/>
      <c r="AD344" s="4"/>
      <c r="AE344" s="4"/>
      <c r="AF344" s="4"/>
      <c r="AG344" s="4"/>
      <c r="AH344" s="4"/>
      <c r="AI344" s="4"/>
      <c r="AJ344" s="4"/>
      <c r="AK344" s="4"/>
      <c r="AL344" s="4"/>
      <c r="AM344" s="4"/>
      <c r="AN344" s="4"/>
      <c r="AO344" s="4"/>
      <c r="AP344" s="4"/>
      <c r="AQ344" s="4"/>
      <c r="AR344" s="4"/>
      <c r="AS344" s="4"/>
      <c r="AT344" s="4"/>
    </row>
    <row r="345" spans="1:46" outlineLevel="1" x14ac:dyDescent="0.2">
      <c r="A345" s="220"/>
      <c r="B345" s="220"/>
      <c r="C345" s="220"/>
      <c r="D345" s="21" t="s">
        <v>27</v>
      </c>
      <c r="E345" s="49"/>
      <c r="F345" s="49"/>
      <c r="G345" s="49"/>
      <c r="H345" s="49"/>
      <c r="I345" s="49"/>
      <c r="J345" s="49"/>
      <c r="K345" s="48"/>
      <c r="L345" s="220"/>
      <c r="M345" s="838"/>
      <c r="N345" s="839"/>
      <c r="O345" s="839"/>
      <c r="P345" s="220"/>
      <c r="Q345" s="220"/>
      <c r="R345" s="220"/>
      <c r="S345" s="220"/>
      <c r="T345" s="220"/>
      <c r="U345" s="220"/>
      <c r="V345" s="220"/>
      <c r="W345" s="572"/>
      <c r="X345" s="13"/>
      <c r="Y345" s="13"/>
      <c r="Z345" s="13"/>
      <c r="AA345" s="13"/>
      <c r="AB345" s="4"/>
      <c r="AC345" s="4"/>
      <c r="AD345" s="4"/>
      <c r="AE345" s="4"/>
      <c r="AF345" s="4"/>
      <c r="AG345" s="4"/>
      <c r="AH345" s="4"/>
      <c r="AI345" s="4"/>
      <c r="AJ345" s="4"/>
      <c r="AK345" s="4"/>
      <c r="AL345" s="4"/>
      <c r="AM345" s="4"/>
      <c r="AN345" s="4"/>
      <c r="AO345" s="4"/>
      <c r="AP345" s="4"/>
      <c r="AQ345" s="4"/>
      <c r="AR345" s="4"/>
      <c r="AS345" s="4"/>
      <c r="AT345" s="4"/>
    </row>
    <row r="346" spans="1:46" outlineLevel="1" x14ac:dyDescent="0.2">
      <c r="A346" s="220"/>
      <c r="B346" s="220"/>
      <c r="C346" s="220"/>
      <c r="D346" s="21" t="s">
        <v>34</v>
      </c>
      <c r="E346" s="49"/>
      <c r="F346" s="49"/>
      <c r="G346" s="49"/>
      <c r="H346" s="49"/>
      <c r="I346" s="49"/>
      <c r="J346" s="49"/>
      <c r="K346" s="49"/>
      <c r="L346" s="220"/>
      <c r="M346" s="838"/>
      <c r="N346" s="839"/>
      <c r="O346" s="839"/>
      <c r="P346" s="220"/>
      <c r="Q346" s="220"/>
      <c r="R346" s="220"/>
      <c r="S346" s="220"/>
      <c r="T346" s="220"/>
      <c r="U346" s="220"/>
      <c r="V346" s="220"/>
      <c r="W346" s="572"/>
      <c r="X346" s="13"/>
      <c r="Y346" s="13"/>
      <c r="Z346" s="13"/>
      <c r="AA346" s="13"/>
      <c r="AB346" s="4"/>
      <c r="AC346" s="4"/>
      <c r="AD346" s="4"/>
      <c r="AE346" s="4"/>
      <c r="AF346" s="4"/>
      <c r="AG346" s="4"/>
      <c r="AH346" s="4"/>
      <c r="AI346" s="4"/>
      <c r="AJ346" s="4"/>
      <c r="AK346" s="4"/>
      <c r="AL346" s="4"/>
      <c r="AM346" s="4"/>
      <c r="AN346" s="4"/>
      <c r="AO346" s="4"/>
      <c r="AP346" s="4"/>
      <c r="AQ346" s="4"/>
      <c r="AR346" s="4"/>
      <c r="AS346" s="4"/>
      <c r="AT346" s="4"/>
    </row>
    <row r="347" spans="1:46" outlineLevel="1" x14ac:dyDescent="0.2">
      <c r="A347" s="220"/>
      <c r="B347" s="220"/>
      <c r="C347" s="220"/>
      <c r="D347" s="21" t="s">
        <v>923</v>
      </c>
      <c r="E347" s="49"/>
      <c r="F347" s="49"/>
      <c r="G347" s="49"/>
      <c r="H347" s="49"/>
      <c r="I347" s="49"/>
      <c r="J347" s="49"/>
      <c r="K347" s="49"/>
      <c r="L347" s="220"/>
      <c r="M347" s="838"/>
      <c r="N347" s="839"/>
      <c r="O347" s="839"/>
      <c r="P347" s="220"/>
      <c r="Q347" s="220"/>
      <c r="R347" s="220"/>
      <c r="S347" s="220"/>
      <c r="T347" s="220"/>
      <c r="U347" s="220"/>
      <c r="V347" s="220"/>
      <c r="W347" s="572"/>
      <c r="X347" s="13"/>
      <c r="Y347" s="13"/>
      <c r="Z347" s="13"/>
      <c r="AA347" s="13"/>
      <c r="AB347" s="4"/>
      <c r="AC347" s="4"/>
      <c r="AD347" s="4"/>
      <c r="AE347" s="4"/>
      <c r="AF347" s="4"/>
      <c r="AG347" s="4"/>
      <c r="AH347" s="4"/>
      <c r="AI347" s="4"/>
      <c r="AJ347" s="4"/>
      <c r="AK347" s="4"/>
      <c r="AL347" s="4"/>
      <c r="AM347" s="4"/>
      <c r="AN347" s="4"/>
      <c r="AO347" s="4"/>
      <c r="AP347" s="4"/>
      <c r="AQ347" s="4"/>
      <c r="AR347" s="4"/>
      <c r="AS347" s="4"/>
      <c r="AT347" s="4"/>
    </row>
    <row r="348" spans="1:46" outlineLevel="1" x14ac:dyDescent="0.2">
      <c r="A348" s="264"/>
      <c r="B348" s="264"/>
      <c r="C348" s="264"/>
      <c r="D348" s="23" t="s">
        <v>125</v>
      </c>
      <c r="E348" s="53">
        <f t="shared" ref="E348:K348" si="209">E350-E349</f>
        <v>0</v>
      </c>
      <c r="F348" s="53">
        <f t="shared" si="209"/>
        <v>0</v>
      </c>
      <c r="G348" s="53">
        <f t="shared" si="209"/>
        <v>0</v>
      </c>
      <c r="H348" s="53">
        <f t="shared" si="209"/>
        <v>0</v>
      </c>
      <c r="I348" s="53">
        <f t="shared" si="209"/>
        <v>0</v>
      </c>
      <c r="J348" s="53">
        <f t="shared" si="209"/>
        <v>0</v>
      </c>
      <c r="K348" s="53">
        <f t="shared" si="209"/>
        <v>0</v>
      </c>
      <c r="L348" s="264"/>
      <c r="M348" s="264"/>
      <c r="N348" s="264"/>
      <c r="O348" s="264"/>
      <c r="P348" s="264"/>
      <c r="Q348" s="264"/>
      <c r="R348" s="264"/>
      <c r="S348" s="264"/>
      <c r="T348" s="264"/>
      <c r="U348" s="264"/>
      <c r="V348" s="264"/>
      <c r="W348" s="597"/>
      <c r="X348" s="13"/>
      <c r="Y348" s="13"/>
      <c r="Z348" s="13"/>
      <c r="AA348" s="13"/>
      <c r="AB348" s="10"/>
      <c r="AC348" s="10"/>
      <c r="AD348" s="10"/>
      <c r="AE348" s="10"/>
      <c r="AF348" s="10"/>
      <c r="AG348" s="10"/>
      <c r="AH348" s="10"/>
      <c r="AI348" s="10"/>
      <c r="AJ348" s="10"/>
      <c r="AK348" s="10"/>
      <c r="AL348" s="10"/>
      <c r="AM348" s="10"/>
      <c r="AN348" s="10"/>
      <c r="AO348" s="10"/>
      <c r="AP348" s="10"/>
      <c r="AQ348" s="10"/>
      <c r="AR348" s="10"/>
      <c r="AS348" s="10"/>
      <c r="AT348" s="10"/>
    </row>
    <row r="349" spans="1:46" outlineLevel="1" x14ac:dyDescent="0.2">
      <c r="A349" s="264"/>
      <c r="B349" s="264"/>
      <c r="C349" s="264"/>
      <c r="D349" s="23" t="s">
        <v>126</v>
      </c>
      <c r="E349" s="53">
        <f t="shared" ref="E349:K349" si="210">ROUND(E350*$T$167,0)</f>
        <v>0</v>
      </c>
      <c r="F349" s="53">
        <f t="shared" si="210"/>
        <v>0</v>
      </c>
      <c r="G349" s="53">
        <f t="shared" si="210"/>
        <v>0</v>
      </c>
      <c r="H349" s="53">
        <f t="shared" si="210"/>
        <v>0</v>
      </c>
      <c r="I349" s="53">
        <f t="shared" si="210"/>
        <v>0</v>
      </c>
      <c r="J349" s="53">
        <f t="shared" si="210"/>
        <v>0</v>
      </c>
      <c r="K349" s="53">
        <f t="shared" si="210"/>
        <v>0</v>
      </c>
      <c r="L349" s="264"/>
      <c r="M349" s="264"/>
      <c r="N349" s="264"/>
      <c r="O349" s="264"/>
      <c r="P349" s="264"/>
      <c r="Q349" s="264"/>
      <c r="R349" s="264"/>
      <c r="S349" s="264"/>
      <c r="T349" s="264"/>
      <c r="U349" s="264"/>
      <c r="V349" s="264"/>
      <c r="W349" s="597"/>
      <c r="X349" s="13"/>
      <c r="Y349" s="13"/>
      <c r="Z349" s="13"/>
      <c r="AA349" s="13"/>
      <c r="AB349" s="10"/>
      <c r="AC349" s="10"/>
      <c r="AD349" s="10"/>
      <c r="AE349" s="10"/>
      <c r="AF349" s="10"/>
      <c r="AG349" s="10"/>
      <c r="AH349" s="10"/>
      <c r="AI349" s="10"/>
      <c r="AJ349" s="10"/>
      <c r="AK349" s="10"/>
      <c r="AL349" s="10"/>
      <c r="AM349" s="10"/>
      <c r="AN349" s="10"/>
      <c r="AO349" s="10"/>
      <c r="AP349" s="10"/>
      <c r="AQ349" s="10"/>
      <c r="AR349" s="10"/>
      <c r="AS349" s="10"/>
      <c r="AT349" s="10"/>
    </row>
    <row r="350" spans="1:46" outlineLevel="1" x14ac:dyDescent="0.2">
      <c r="A350" s="264"/>
      <c r="B350" s="264"/>
      <c r="C350" s="264"/>
      <c r="D350" s="458" t="s">
        <v>918</v>
      </c>
      <c r="E350" s="54">
        <f t="shared" ref="E350:K350" si="211">IF(E344="","",E347*E346*E344)</f>
        <v>0</v>
      </c>
      <c r="F350" s="54">
        <f t="shared" si="211"/>
        <v>0</v>
      </c>
      <c r="G350" s="54">
        <f t="shared" si="211"/>
        <v>0</v>
      </c>
      <c r="H350" s="54">
        <f t="shared" si="211"/>
        <v>0</v>
      </c>
      <c r="I350" s="54">
        <f t="shared" si="211"/>
        <v>0</v>
      </c>
      <c r="J350" s="54">
        <f t="shared" si="211"/>
        <v>0</v>
      </c>
      <c r="K350" s="54">
        <f t="shared" si="211"/>
        <v>0</v>
      </c>
      <c r="L350" s="264"/>
      <c r="M350" s="264"/>
      <c r="N350" s="264"/>
      <c r="O350" s="264"/>
      <c r="P350" s="264"/>
      <c r="Q350" s="264"/>
      <c r="R350" s="264"/>
      <c r="S350" s="264"/>
      <c r="T350" s="264"/>
      <c r="U350" s="264"/>
      <c r="V350" s="264"/>
      <c r="W350" s="597"/>
      <c r="X350" s="13"/>
      <c r="Y350" s="13"/>
      <c r="Z350" s="13"/>
      <c r="AA350" s="13"/>
      <c r="AB350" s="10"/>
      <c r="AC350" s="10"/>
      <c r="AD350" s="10"/>
      <c r="AE350" s="10"/>
      <c r="AF350" s="10"/>
      <c r="AG350" s="10"/>
      <c r="AH350" s="10"/>
      <c r="AI350" s="10"/>
      <c r="AJ350" s="10"/>
      <c r="AK350" s="10"/>
      <c r="AL350" s="10"/>
      <c r="AM350" s="10"/>
      <c r="AN350" s="10"/>
      <c r="AO350" s="10"/>
      <c r="AP350" s="10"/>
      <c r="AQ350" s="10"/>
      <c r="AR350" s="10"/>
      <c r="AS350" s="10"/>
      <c r="AT350" s="10"/>
    </row>
    <row r="351" spans="1:46" outlineLevel="1" x14ac:dyDescent="0.2">
      <c r="A351" s="220"/>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572"/>
      <c r="X351" s="13"/>
      <c r="Y351" s="13"/>
      <c r="Z351" s="13"/>
      <c r="AA351" s="13"/>
      <c r="AB351" s="4"/>
      <c r="AC351" s="4"/>
      <c r="AD351" s="4"/>
      <c r="AE351" s="4"/>
      <c r="AF351" s="4"/>
      <c r="AG351" s="4"/>
      <c r="AH351" s="4"/>
      <c r="AI351" s="4"/>
      <c r="AJ351" s="4"/>
      <c r="AK351" s="4"/>
      <c r="AL351" s="4"/>
      <c r="AM351" s="4"/>
      <c r="AN351" s="4"/>
      <c r="AO351" s="4"/>
      <c r="AP351" s="4"/>
      <c r="AQ351" s="4"/>
      <c r="AR351" s="4"/>
      <c r="AS351" s="4"/>
      <c r="AT351" s="4"/>
    </row>
    <row r="352" spans="1:46" x14ac:dyDescent="0.2">
      <c r="A352" s="220"/>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572"/>
      <c r="X352" s="13"/>
      <c r="Y352" s="13"/>
      <c r="Z352" s="13"/>
      <c r="AA352" s="13"/>
      <c r="AB352" s="4"/>
      <c r="AC352" s="4"/>
      <c r="AD352" s="4"/>
      <c r="AE352" s="4"/>
      <c r="AF352" s="4"/>
      <c r="AG352" s="4"/>
      <c r="AH352" s="4"/>
      <c r="AI352" s="4"/>
      <c r="AJ352" s="4"/>
      <c r="AK352" s="4"/>
      <c r="AL352" s="4"/>
      <c r="AM352" s="4"/>
      <c r="AN352" s="4"/>
      <c r="AO352" s="4"/>
      <c r="AP352" s="4"/>
      <c r="AQ352" s="4"/>
      <c r="AR352" s="4"/>
      <c r="AS352" s="4"/>
      <c r="AT352" s="4"/>
    </row>
    <row r="353" spans="1:46" ht="15" x14ac:dyDescent="0.2">
      <c r="A353" s="172"/>
      <c r="B353" s="172"/>
      <c r="C353" s="405">
        <v>15</v>
      </c>
      <c r="D353" s="221" t="str">
        <f>D172</f>
        <v>** NOT USED **</v>
      </c>
      <c r="E353" s="207"/>
      <c r="F353" s="207"/>
      <c r="G353" s="207"/>
      <c r="H353" s="207"/>
      <c r="I353" s="782" t="str">
        <f>IF(D353&lt;&gt;MsgNotUsed,"Co-payment group " &amp; INDEX(CoPayBandMS,C353),"")</f>
        <v/>
      </c>
      <c r="J353" s="782"/>
      <c r="K353" s="207"/>
      <c r="L353" s="207"/>
      <c r="M353" s="207"/>
      <c r="N353" s="207"/>
      <c r="O353" s="207"/>
      <c r="P353" s="207"/>
      <c r="Q353" s="207"/>
      <c r="R353" s="207"/>
      <c r="S353" s="207"/>
      <c r="T353" s="207"/>
      <c r="U353" s="207"/>
      <c r="V353" s="207"/>
      <c r="W353" s="207"/>
      <c r="X353" s="13"/>
      <c r="Y353" s="13"/>
      <c r="Z353" s="13"/>
      <c r="AA353" s="13"/>
      <c r="AB353" s="453"/>
      <c r="AC353" s="453"/>
      <c r="AD353" s="453"/>
      <c r="AE353" s="453"/>
      <c r="AF353" s="453"/>
      <c r="AG353" s="453"/>
      <c r="AH353" s="453"/>
      <c r="AI353" s="453"/>
      <c r="AJ353" s="453"/>
      <c r="AK353" s="453"/>
      <c r="AL353" s="453"/>
      <c r="AM353" s="453"/>
      <c r="AN353" s="453"/>
      <c r="AO353" s="453"/>
      <c r="AP353" s="453"/>
      <c r="AQ353" s="453"/>
      <c r="AR353" s="453"/>
      <c r="AS353" s="453"/>
      <c r="AT353" s="453"/>
    </row>
    <row r="354" spans="1:46" ht="15.75" outlineLevel="1" x14ac:dyDescent="0.2">
      <c r="A354" s="192"/>
      <c r="B354" s="192"/>
      <c r="C354" s="192"/>
      <c r="D354" s="193"/>
      <c r="E354" s="192"/>
      <c r="F354" s="192"/>
      <c r="G354" s="192"/>
      <c r="H354" s="192"/>
      <c r="I354" s="192"/>
      <c r="J354" s="192"/>
      <c r="K354" s="192"/>
      <c r="L354" s="192"/>
      <c r="M354" s="192"/>
      <c r="N354" s="192"/>
      <c r="O354" s="192"/>
      <c r="P354" s="192"/>
      <c r="Q354" s="192"/>
      <c r="R354" s="192"/>
      <c r="S354" s="192"/>
      <c r="T354" s="192"/>
      <c r="U354" s="192"/>
      <c r="V354" s="192"/>
      <c r="W354" s="192"/>
      <c r="X354" s="13"/>
      <c r="Y354" s="13"/>
      <c r="Z354" s="13"/>
      <c r="AA354" s="13"/>
      <c r="AB354" s="3"/>
      <c r="AC354" s="3"/>
      <c r="AD354" s="3"/>
      <c r="AE354" s="3"/>
      <c r="AF354" s="3"/>
      <c r="AG354" s="3"/>
      <c r="AH354" s="3"/>
      <c r="AI354" s="3"/>
      <c r="AJ354" s="3"/>
      <c r="AK354" s="3"/>
      <c r="AL354" s="3"/>
      <c r="AM354" s="3"/>
      <c r="AN354" s="3"/>
      <c r="AO354" s="3"/>
      <c r="AP354" s="3"/>
      <c r="AQ354" s="3"/>
      <c r="AR354" s="3"/>
      <c r="AS354" s="3"/>
      <c r="AT354" s="3"/>
    </row>
    <row r="355" spans="1:46" ht="14.25" customHeight="1" outlineLevel="1" x14ac:dyDescent="0.2">
      <c r="A355" s="220"/>
      <c r="B355" s="220"/>
      <c r="C355" s="220"/>
      <c r="D355" s="15"/>
      <c r="E355" s="87">
        <f>F355-1</f>
        <v>-1</v>
      </c>
      <c r="F355" s="87">
        <f>FirstYear</f>
        <v>0</v>
      </c>
      <c r="G355" s="87">
        <f>F355+1</f>
        <v>1</v>
      </c>
      <c r="H355" s="87">
        <f>G355+1</f>
        <v>2</v>
      </c>
      <c r="I355" s="87">
        <f>H355+1</f>
        <v>3</v>
      </c>
      <c r="J355" s="87">
        <f>I355+1</f>
        <v>4</v>
      </c>
      <c r="K355" s="87">
        <f>J355+1</f>
        <v>5</v>
      </c>
      <c r="L355" s="220"/>
      <c r="M355" s="195"/>
      <c r="N355" s="220"/>
      <c r="O355" s="220"/>
      <c r="P355" s="195"/>
      <c r="Q355" s="220"/>
      <c r="R355" s="220"/>
      <c r="S355" s="220"/>
      <c r="T355" s="220"/>
      <c r="U355" s="220"/>
      <c r="V355" s="220"/>
      <c r="W355" s="572"/>
      <c r="X355" s="13"/>
      <c r="Y355" s="13"/>
      <c r="Z355" s="13"/>
      <c r="AA355" s="13"/>
      <c r="AB355" s="4"/>
      <c r="AC355" s="4"/>
      <c r="AD355" s="4"/>
      <c r="AE355" s="4"/>
      <c r="AF355" s="4"/>
      <c r="AG355" s="4"/>
      <c r="AH355" s="4"/>
      <c r="AI355" s="4"/>
      <c r="AJ355" s="4"/>
      <c r="AK355" s="4"/>
      <c r="AL355" s="4"/>
      <c r="AM355" s="4"/>
      <c r="AN355" s="4"/>
      <c r="AO355" s="4"/>
      <c r="AP355" s="4"/>
      <c r="AQ355" s="4"/>
      <c r="AR355" s="4"/>
      <c r="AS355" s="4"/>
      <c r="AT355" s="4"/>
    </row>
    <row r="356" spans="1:46" outlineLevel="1" x14ac:dyDescent="0.2">
      <c r="A356" s="220"/>
      <c r="B356" s="220"/>
      <c r="C356" s="220"/>
      <c r="D356" s="8" t="s">
        <v>132</v>
      </c>
      <c r="E356" s="53">
        <f>INDEX(ScriptsMSAdditional,$C353) * INDEX(NamesMSAdditional,$C353,3)</f>
        <v>0</v>
      </c>
      <c r="F356" s="53">
        <f t="shared" ref="F356" si="212">IF(E356="","",E356*(1+E357))</f>
        <v>0</v>
      </c>
      <c r="G356" s="53">
        <f t="shared" ref="G356" si="213">IF(F356="","",F356*(1+F357))</f>
        <v>0</v>
      </c>
      <c r="H356" s="53">
        <f t="shared" ref="H356" si="214">IF(G356="","",G356*(1+G357))</f>
        <v>0</v>
      </c>
      <c r="I356" s="53">
        <f t="shared" ref="I356" si="215">IF(H356="","",H356*(1+H357))</f>
        <v>0</v>
      </c>
      <c r="J356" s="53">
        <f>IF(I356="","",I356*(1+I357))</f>
        <v>0</v>
      </c>
      <c r="K356" s="53">
        <f t="shared" ref="K356" si="216">IF(J356="","",J356*(1+J357))</f>
        <v>0</v>
      </c>
      <c r="L356" s="220"/>
      <c r="M356" s="19" t="s">
        <v>292</v>
      </c>
      <c r="N356" s="220"/>
      <c r="O356" s="195"/>
      <c r="P356" s="220"/>
      <c r="Q356" s="220"/>
      <c r="R356" s="195"/>
      <c r="S356" s="195"/>
      <c r="T356" s="195"/>
      <c r="U356" s="195"/>
      <c r="V356" s="195"/>
      <c r="W356" s="595"/>
      <c r="X356" s="13"/>
      <c r="Y356" s="13"/>
      <c r="Z356" s="13"/>
      <c r="AA356" s="13"/>
      <c r="AB356" s="4"/>
      <c r="AC356" s="4"/>
      <c r="AD356" s="4"/>
      <c r="AE356" s="4"/>
      <c r="AF356" s="4"/>
      <c r="AG356" s="4"/>
      <c r="AH356" s="4"/>
      <c r="AI356" s="4"/>
      <c r="AJ356" s="4"/>
      <c r="AK356" s="4"/>
      <c r="AL356" s="4"/>
      <c r="AM356" s="4"/>
      <c r="AN356" s="4"/>
      <c r="AO356" s="4"/>
      <c r="AP356" s="4"/>
      <c r="AQ356" s="4"/>
      <c r="AR356" s="4"/>
      <c r="AS356" s="4"/>
      <c r="AT356" s="4"/>
    </row>
    <row r="357" spans="1:46" outlineLevel="1" x14ac:dyDescent="0.2">
      <c r="A357" s="220"/>
      <c r="B357" s="220"/>
      <c r="C357" s="220"/>
      <c r="D357" s="21" t="s">
        <v>27</v>
      </c>
      <c r="E357" s="49"/>
      <c r="F357" s="49"/>
      <c r="G357" s="49"/>
      <c r="H357" s="49"/>
      <c r="I357" s="49"/>
      <c r="J357" s="49"/>
      <c r="K357" s="48"/>
      <c r="L357" s="220"/>
      <c r="M357" s="838"/>
      <c r="N357" s="839"/>
      <c r="O357" s="839"/>
      <c r="P357" s="220"/>
      <c r="Q357" s="220"/>
      <c r="R357" s="220"/>
      <c r="S357" s="220"/>
      <c r="T357" s="220"/>
      <c r="U357" s="220"/>
      <c r="V357" s="220"/>
      <c r="W357" s="572"/>
      <c r="X357" s="13"/>
      <c r="Y357" s="13"/>
      <c r="Z357" s="13"/>
      <c r="AA357" s="13"/>
      <c r="AB357" s="4"/>
      <c r="AC357" s="4"/>
      <c r="AD357" s="4"/>
      <c r="AE357" s="4"/>
      <c r="AF357" s="4"/>
      <c r="AG357" s="4"/>
      <c r="AH357" s="4"/>
      <c r="AI357" s="4"/>
      <c r="AJ357" s="4"/>
      <c r="AK357" s="4"/>
      <c r="AL357" s="4"/>
      <c r="AM357" s="4"/>
      <c r="AN357" s="4"/>
      <c r="AO357" s="4"/>
      <c r="AP357" s="4"/>
      <c r="AQ357" s="4"/>
      <c r="AR357" s="4"/>
      <c r="AS357" s="4"/>
      <c r="AT357" s="4"/>
    </row>
    <row r="358" spans="1:46" outlineLevel="1" x14ac:dyDescent="0.2">
      <c r="A358" s="220"/>
      <c r="B358" s="220"/>
      <c r="C358" s="220"/>
      <c r="D358" s="21" t="s">
        <v>34</v>
      </c>
      <c r="E358" s="49"/>
      <c r="F358" s="49"/>
      <c r="G358" s="49"/>
      <c r="H358" s="49"/>
      <c r="I358" s="49"/>
      <c r="J358" s="49"/>
      <c r="K358" s="49"/>
      <c r="L358" s="220"/>
      <c r="M358" s="838"/>
      <c r="N358" s="839"/>
      <c r="O358" s="839"/>
      <c r="P358" s="220"/>
      <c r="Q358" s="220"/>
      <c r="R358" s="220"/>
      <c r="S358" s="220"/>
      <c r="T358" s="220"/>
      <c r="U358" s="220"/>
      <c r="V358" s="220"/>
      <c r="W358" s="572"/>
      <c r="X358" s="13"/>
      <c r="Y358" s="13"/>
      <c r="Z358" s="13"/>
      <c r="AA358" s="13"/>
      <c r="AB358" s="4"/>
      <c r="AC358" s="4"/>
      <c r="AD358" s="4"/>
      <c r="AE358" s="4"/>
      <c r="AF358" s="4"/>
      <c r="AG358" s="4"/>
      <c r="AH358" s="4"/>
      <c r="AI358" s="4"/>
      <c r="AJ358" s="4"/>
      <c r="AK358" s="4"/>
      <c r="AL358" s="4"/>
      <c r="AM358" s="4"/>
      <c r="AN358" s="4"/>
      <c r="AO358" s="4"/>
      <c r="AP358" s="4"/>
      <c r="AQ358" s="4"/>
      <c r="AR358" s="4"/>
      <c r="AS358" s="4"/>
      <c r="AT358" s="4"/>
    </row>
    <row r="359" spans="1:46" outlineLevel="1" x14ac:dyDescent="0.2">
      <c r="A359" s="220"/>
      <c r="B359" s="220"/>
      <c r="C359" s="220"/>
      <c r="D359" s="21" t="s">
        <v>923</v>
      </c>
      <c r="E359" s="49"/>
      <c r="F359" s="49"/>
      <c r="G359" s="49"/>
      <c r="H359" s="49"/>
      <c r="I359" s="49"/>
      <c r="J359" s="49"/>
      <c r="K359" s="49"/>
      <c r="L359" s="220"/>
      <c r="M359" s="838"/>
      <c r="N359" s="839"/>
      <c r="O359" s="839"/>
      <c r="P359" s="220"/>
      <c r="Q359" s="220"/>
      <c r="R359" s="220"/>
      <c r="S359" s="220"/>
      <c r="T359" s="220"/>
      <c r="U359" s="220"/>
      <c r="V359" s="220"/>
      <c r="W359" s="572"/>
      <c r="X359" s="13"/>
      <c r="Y359" s="13"/>
      <c r="Z359" s="13"/>
      <c r="AA359" s="13"/>
      <c r="AB359" s="4"/>
      <c r="AC359" s="4"/>
      <c r="AD359" s="4"/>
      <c r="AE359" s="4"/>
      <c r="AF359" s="4"/>
      <c r="AG359" s="4"/>
      <c r="AH359" s="4"/>
      <c r="AI359" s="4"/>
      <c r="AJ359" s="4"/>
      <c r="AK359" s="4"/>
      <c r="AL359" s="4"/>
      <c r="AM359" s="4"/>
      <c r="AN359" s="4"/>
      <c r="AO359" s="4"/>
      <c r="AP359" s="4"/>
      <c r="AQ359" s="4"/>
      <c r="AR359" s="4"/>
      <c r="AS359" s="4"/>
      <c r="AT359" s="4"/>
    </row>
    <row r="360" spans="1:46" outlineLevel="1" x14ac:dyDescent="0.2">
      <c r="A360" s="264"/>
      <c r="B360" s="264"/>
      <c r="C360" s="264"/>
      <c r="D360" s="23" t="s">
        <v>125</v>
      </c>
      <c r="E360" s="53">
        <f t="shared" ref="E360:K360" si="217">E362-E361</f>
        <v>0</v>
      </c>
      <c r="F360" s="53">
        <f t="shared" si="217"/>
        <v>0</v>
      </c>
      <c r="G360" s="53">
        <f t="shared" si="217"/>
        <v>0</v>
      </c>
      <c r="H360" s="53">
        <f t="shared" si="217"/>
        <v>0</v>
      </c>
      <c r="I360" s="53">
        <f t="shared" si="217"/>
        <v>0</v>
      </c>
      <c r="J360" s="53">
        <f t="shared" si="217"/>
        <v>0</v>
      </c>
      <c r="K360" s="53">
        <f t="shared" si="217"/>
        <v>0</v>
      </c>
      <c r="L360" s="264"/>
      <c r="M360" s="264"/>
      <c r="N360" s="264"/>
      <c r="O360" s="264"/>
      <c r="P360" s="264"/>
      <c r="Q360" s="264"/>
      <c r="R360" s="264"/>
      <c r="S360" s="264"/>
      <c r="T360" s="264"/>
      <c r="U360" s="264"/>
      <c r="V360" s="264"/>
      <c r="W360" s="597"/>
      <c r="X360" s="13"/>
      <c r="Y360" s="13"/>
      <c r="Z360" s="13"/>
      <c r="AA360" s="13"/>
      <c r="AB360" s="10"/>
      <c r="AC360" s="10"/>
      <c r="AD360" s="10"/>
      <c r="AE360" s="10"/>
      <c r="AF360" s="10"/>
      <c r="AG360" s="10"/>
      <c r="AH360" s="10"/>
      <c r="AI360" s="10"/>
      <c r="AJ360" s="10"/>
      <c r="AK360" s="10"/>
      <c r="AL360" s="10"/>
      <c r="AM360" s="10"/>
      <c r="AN360" s="10"/>
      <c r="AO360" s="10"/>
      <c r="AP360" s="10"/>
      <c r="AQ360" s="10"/>
      <c r="AR360" s="10"/>
      <c r="AS360" s="10"/>
      <c r="AT360" s="10"/>
    </row>
    <row r="361" spans="1:46" outlineLevel="1" x14ac:dyDescent="0.2">
      <c r="A361" s="264"/>
      <c r="B361" s="264"/>
      <c r="C361" s="264"/>
      <c r="D361" s="23" t="s">
        <v>126</v>
      </c>
      <c r="E361" s="53">
        <f t="shared" ref="E361:K361" si="218">ROUND(E362*$T$167,0)</f>
        <v>0</v>
      </c>
      <c r="F361" s="53">
        <f t="shared" si="218"/>
        <v>0</v>
      </c>
      <c r="G361" s="53">
        <f t="shared" si="218"/>
        <v>0</v>
      </c>
      <c r="H361" s="53">
        <f t="shared" si="218"/>
        <v>0</v>
      </c>
      <c r="I361" s="53">
        <f t="shared" si="218"/>
        <v>0</v>
      </c>
      <c r="J361" s="53">
        <f t="shared" si="218"/>
        <v>0</v>
      </c>
      <c r="K361" s="53">
        <f t="shared" si="218"/>
        <v>0</v>
      </c>
      <c r="L361" s="264"/>
      <c r="M361" s="264"/>
      <c r="N361" s="264"/>
      <c r="O361" s="264"/>
      <c r="P361" s="264"/>
      <c r="Q361" s="264"/>
      <c r="R361" s="264"/>
      <c r="S361" s="264"/>
      <c r="T361" s="264"/>
      <c r="U361" s="264"/>
      <c r="V361" s="264"/>
      <c r="W361" s="597"/>
      <c r="X361" s="13"/>
      <c r="Y361" s="13"/>
      <c r="Z361" s="13"/>
      <c r="AA361" s="13"/>
      <c r="AB361" s="10"/>
      <c r="AC361" s="10"/>
      <c r="AD361" s="10"/>
      <c r="AE361" s="10"/>
      <c r="AF361" s="10"/>
      <c r="AG361" s="10"/>
      <c r="AH361" s="10"/>
      <c r="AI361" s="10"/>
      <c r="AJ361" s="10"/>
      <c r="AK361" s="10"/>
      <c r="AL361" s="10"/>
      <c r="AM361" s="10"/>
      <c r="AN361" s="10"/>
      <c r="AO361" s="10"/>
      <c r="AP361" s="10"/>
      <c r="AQ361" s="10"/>
      <c r="AR361" s="10"/>
      <c r="AS361" s="10"/>
      <c r="AT361" s="10"/>
    </row>
    <row r="362" spans="1:46" outlineLevel="1" x14ac:dyDescent="0.2">
      <c r="A362" s="264"/>
      <c r="B362" s="264"/>
      <c r="C362" s="264"/>
      <c r="D362" s="458" t="s">
        <v>918</v>
      </c>
      <c r="E362" s="54">
        <f t="shared" ref="E362:K362" si="219">IF(E356="","",E359*E358*E356)</f>
        <v>0</v>
      </c>
      <c r="F362" s="54">
        <f t="shared" si="219"/>
        <v>0</v>
      </c>
      <c r="G362" s="54">
        <f t="shared" si="219"/>
        <v>0</v>
      </c>
      <c r="H362" s="54">
        <f t="shared" si="219"/>
        <v>0</v>
      </c>
      <c r="I362" s="54">
        <f t="shared" si="219"/>
        <v>0</v>
      </c>
      <c r="J362" s="54">
        <f t="shared" si="219"/>
        <v>0</v>
      </c>
      <c r="K362" s="54">
        <f t="shared" si="219"/>
        <v>0</v>
      </c>
      <c r="L362" s="264"/>
      <c r="M362" s="264"/>
      <c r="N362" s="264"/>
      <c r="O362" s="264"/>
      <c r="P362" s="264"/>
      <c r="Q362" s="264"/>
      <c r="R362" s="264"/>
      <c r="S362" s="264"/>
      <c r="T362" s="264"/>
      <c r="U362" s="264"/>
      <c r="V362" s="264"/>
      <c r="W362" s="597"/>
      <c r="X362" s="13"/>
      <c r="Y362" s="13"/>
      <c r="Z362" s="13"/>
      <c r="AA362" s="13"/>
      <c r="AB362" s="10"/>
      <c r="AC362" s="10"/>
      <c r="AD362" s="10"/>
      <c r="AE362" s="10"/>
      <c r="AF362" s="10"/>
      <c r="AG362" s="10"/>
      <c r="AH362" s="10"/>
      <c r="AI362" s="10"/>
      <c r="AJ362" s="10"/>
      <c r="AK362" s="10"/>
      <c r="AL362" s="10"/>
      <c r="AM362" s="10"/>
      <c r="AN362" s="10"/>
      <c r="AO362" s="10"/>
      <c r="AP362" s="10"/>
      <c r="AQ362" s="10"/>
      <c r="AR362" s="10"/>
      <c r="AS362" s="10"/>
      <c r="AT362" s="10"/>
    </row>
    <row r="363" spans="1:46" outlineLevel="1" x14ac:dyDescent="0.2">
      <c r="A363" s="220"/>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572"/>
      <c r="X363" s="13"/>
      <c r="Y363" s="13"/>
      <c r="Z363" s="13"/>
      <c r="AA363" s="13"/>
      <c r="AB363" s="4"/>
      <c r="AC363" s="4"/>
      <c r="AD363" s="4"/>
      <c r="AE363" s="4"/>
      <c r="AF363" s="4"/>
      <c r="AG363" s="4"/>
      <c r="AH363" s="4"/>
      <c r="AI363" s="4"/>
      <c r="AJ363" s="4"/>
      <c r="AK363" s="4"/>
      <c r="AL363" s="4"/>
      <c r="AM363" s="4"/>
      <c r="AN363" s="4"/>
      <c r="AO363" s="4"/>
      <c r="AP363" s="4"/>
      <c r="AQ363" s="4"/>
      <c r="AR363" s="4"/>
      <c r="AS363" s="4"/>
      <c r="AT363" s="4"/>
    </row>
    <row r="364" spans="1:46" x14ac:dyDescent="0.2">
      <c r="A364" s="220"/>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572"/>
      <c r="X364" s="13"/>
      <c r="Y364" s="13"/>
      <c r="Z364" s="13"/>
      <c r="AA364" s="13"/>
      <c r="AB364" s="4"/>
      <c r="AC364" s="4"/>
      <c r="AD364" s="4"/>
      <c r="AE364" s="4"/>
      <c r="AF364" s="4"/>
      <c r="AG364" s="4"/>
      <c r="AH364" s="4"/>
      <c r="AI364" s="4"/>
      <c r="AJ364" s="4"/>
      <c r="AK364" s="4"/>
      <c r="AL364" s="4"/>
      <c r="AM364" s="4"/>
      <c r="AN364" s="4"/>
      <c r="AO364" s="4"/>
      <c r="AP364" s="4"/>
      <c r="AQ364" s="4"/>
      <c r="AR364" s="4"/>
      <c r="AS364" s="4"/>
      <c r="AT364" s="4"/>
    </row>
    <row r="365" spans="1:46" ht="15" x14ac:dyDescent="0.2">
      <c r="A365" s="172"/>
      <c r="B365" s="172"/>
      <c r="C365" s="405">
        <v>16</v>
      </c>
      <c r="D365" s="221" t="str">
        <f>D173</f>
        <v>** NOT USED **</v>
      </c>
      <c r="E365" s="207"/>
      <c r="F365" s="207"/>
      <c r="G365" s="207"/>
      <c r="H365" s="207"/>
      <c r="I365" s="782" t="str">
        <f>IF(D365&lt;&gt;MsgNotUsed,"Co-payment group " &amp; INDEX(CoPayBandMS,C365),"")</f>
        <v/>
      </c>
      <c r="J365" s="782"/>
      <c r="K365" s="207"/>
      <c r="L365" s="207"/>
      <c r="M365" s="207"/>
      <c r="N365" s="207"/>
      <c r="O365" s="207"/>
      <c r="P365" s="207"/>
      <c r="Q365" s="207"/>
      <c r="R365" s="207"/>
      <c r="S365" s="207"/>
      <c r="T365" s="207"/>
      <c r="U365" s="207"/>
      <c r="V365" s="207"/>
      <c r="W365" s="207"/>
      <c r="X365" s="13"/>
      <c r="Y365" s="13"/>
      <c r="Z365" s="13"/>
      <c r="AA365" s="13"/>
      <c r="AB365" s="453"/>
      <c r="AC365" s="453"/>
      <c r="AD365" s="453"/>
      <c r="AE365" s="453"/>
      <c r="AF365" s="453"/>
      <c r="AG365" s="453"/>
      <c r="AH365" s="453"/>
      <c r="AI365" s="453"/>
      <c r="AJ365" s="453"/>
      <c r="AK365" s="453"/>
      <c r="AL365" s="453"/>
      <c r="AM365" s="453"/>
      <c r="AN365" s="453"/>
      <c r="AO365" s="453"/>
      <c r="AP365" s="453"/>
      <c r="AQ365" s="453"/>
      <c r="AR365" s="453"/>
      <c r="AS365" s="453"/>
      <c r="AT365" s="453"/>
    </row>
    <row r="366" spans="1:46" ht="15.75" outlineLevel="1" x14ac:dyDescent="0.2">
      <c r="A366" s="192"/>
      <c r="B366" s="192"/>
      <c r="C366" s="192"/>
      <c r="D366" s="193"/>
      <c r="E366" s="192"/>
      <c r="F366" s="192"/>
      <c r="G366" s="192"/>
      <c r="H366" s="192"/>
      <c r="I366" s="192"/>
      <c r="J366" s="192"/>
      <c r="K366" s="192"/>
      <c r="L366" s="192"/>
      <c r="M366" s="192"/>
      <c r="N366" s="192"/>
      <c r="O366" s="192"/>
      <c r="P366" s="192"/>
      <c r="Q366" s="192"/>
      <c r="R366" s="192"/>
      <c r="S366" s="192"/>
      <c r="T366" s="192"/>
      <c r="U366" s="192"/>
      <c r="V366" s="192"/>
      <c r="W366" s="192"/>
      <c r="X366" s="13"/>
      <c r="Y366" s="13"/>
      <c r="Z366" s="13"/>
      <c r="AA366" s="13"/>
      <c r="AB366" s="3"/>
      <c r="AC366" s="3"/>
      <c r="AD366" s="3"/>
      <c r="AE366" s="3"/>
      <c r="AF366" s="3"/>
      <c r="AG366" s="3"/>
      <c r="AH366" s="3"/>
      <c r="AI366" s="3"/>
      <c r="AJ366" s="3"/>
      <c r="AK366" s="3"/>
      <c r="AL366" s="3"/>
      <c r="AM366" s="3"/>
      <c r="AN366" s="3"/>
      <c r="AO366" s="3"/>
      <c r="AP366" s="3"/>
      <c r="AQ366" s="3"/>
      <c r="AR366" s="3"/>
      <c r="AS366" s="3"/>
      <c r="AT366" s="3"/>
    </row>
    <row r="367" spans="1:46" ht="14.25" customHeight="1" outlineLevel="1" x14ac:dyDescent="0.2">
      <c r="A367" s="220"/>
      <c r="B367" s="220"/>
      <c r="C367" s="220"/>
      <c r="D367" s="15"/>
      <c r="E367" s="87">
        <f>F367-1</f>
        <v>-1</v>
      </c>
      <c r="F367" s="87">
        <f>FirstYear</f>
        <v>0</v>
      </c>
      <c r="G367" s="87">
        <f>F367+1</f>
        <v>1</v>
      </c>
      <c r="H367" s="87">
        <f>G367+1</f>
        <v>2</v>
      </c>
      <c r="I367" s="87">
        <f>H367+1</f>
        <v>3</v>
      </c>
      <c r="J367" s="87">
        <f>I367+1</f>
        <v>4</v>
      </c>
      <c r="K367" s="87">
        <f>J367+1</f>
        <v>5</v>
      </c>
      <c r="L367" s="220"/>
      <c r="M367" s="195"/>
      <c r="N367" s="220"/>
      <c r="O367" s="220"/>
      <c r="P367" s="195"/>
      <c r="Q367" s="220"/>
      <c r="R367" s="220"/>
      <c r="S367" s="220"/>
      <c r="T367" s="220"/>
      <c r="U367" s="220"/>
      <c r="V367" s="220"/>
      <c r="W367" s="572"/>
      <c r="X367" s="13"/>
      <c r="Y367" s="13"/>
      <c r="Z367" s="13"/>
      <c r="AA367" s="13"/>
      <c r="AB367" s="4"/>
      <c r="AC367" s="4"/>
      <c r="AD367" s="4"/>
      <c r="AE367" s="4"/>
      <c r="AF367" s="4"/>
      <c r="AG367" s="4"/>
      <c r="AH367" s="4"/>
      <c r="AI367" s="4"/>
      <c r="AJ367" s="4"/>
      <c r="AK367" s="4"/>
      <c r="AL367" s="4"/>
      <c r="AM367" s="4"/>
      <c r="AN367" s="4"/>
      <c r="AO367" s="4"/>
      <c r="AP367" s="4"/>
      <c r="AQ367" s="4"/>
      <c r="AR367" s="4"/>
      <c r="AS367" s="4"/>
      <c r="AT367" s="4"/>
    </row>
    <row r="368" spans="1:46" outlineLevel="1" x14ac:dyDescent="0.2">
      <c r="A368" s="220"/>
      <c r="B368" s="220"/>
      <c r="C368" s="220"/>
      <c r="D368" s="8" t="s">
        <v>132</v>
      </c>
      <c r="E368" s="53">
        <f>INDEX(ScriptsMSAdditional,$C365) * INDEX(NamesMSAdditional,$C365,3)</f>
        <v>0</v>
      </c>
      <c r="F368" s="53">
        <f t="shared" ref="F368" si="220">IF(E368="","",E368*(1+E369))</f>
        <v>0</v>
      </c>
      <c r="G368" s="53">
        <f t="shared" ref="G368" si="221">IF(F368="","",F368*(1+F369))</f>
        <v>0</v>
      </c>
      <c r="H368" s="53">
        <f t="shared" ref="H368" si="222">IF(G368="","",G368*(1+G369))</f>
        <v>0</v>
      </c>
      <c r="I368" s="53">
        <f t="shared" ref="I368" si="223">IF(H368="","",H368*(1+H369))</f>
        <v>0</v>
      </c>
      <c r="J368" s="53">
        <f>IF(I368="","",I368*(1+I369))</f>
        <v>0</v>
      </c>
      <c r="K368" s="53">
        <f t="shared" ref="K368" si="224">IF(J368="","",J368*(1+J369))</f>
        <v>0</v>
      </c>
      <c r="L368" s="220"/>
      <c r="M368" s="19" t="s">
        <v>292</v>
      </c>
      <c r="N368" s="220"/>
      <c r="O368" s="195"/>
      <c r="P368" s="220"/>
      <c r="Q368" s="220"/>
      <c r="R368" s="195"/>
      <c r="S368" s="195"/>
      <c r="T368" s="195"/>
      <c r="U368" s="195"/>
      <c r="V368" s="195"/>
      <c r="W368" s="595"/>
      <c r="X368" s="13"/>
      <c r="Y368" s="13"/>
      <c r="Z368" s="13"/>
      <c r="AA368" s="13"/>
      <c r="AB368" s="4"/>
      <c r="AC368" s="4"/>
      <c r="AD368" s="4"/>
      <c r="AE368" s="4"/>
      <c r="AF368" s="4"/>
      <c r="AG368" s="4"/>
      <c r="AH368" s="4"/>
      <c r="AI368" s="4"/>
      <c r="AJ368" s="4"/>
      <c r="AK368" s="4"/>
      <c r="AL368" s="4"/>
      <c r="AM368" s="4"/>
      <c r="AN368" s="4"/>
      <c r="AO368" s="4"/>
      <c r="AP368" s="4"/>
      <c r="AQ368" s="4"/>
      <c r="AR368" s="4"/>
      <c r="AS368" s="4"/>
      <c r="AT368" s="4"/>
    </row>
    <row r="369" spans="1:46" outlineLevel="1" x14ac:dyDescent="0.2">
      <c r="A369" s="220"/>
      <c r="B369" s="220"/>
      <c r="C369" s="220"/>
      <c r="D369" s="21" t="s">
        <v>27</v>
      </c>
      <c r="E369" s="49"/>
      <c r="F369" s="49"/>
      <c r="G369" s="49"/>
      <c r="H369" s="49"/>
      <c r="I369" s="49"/>
      <c r="J369" s="49"/>
      <c r="K369" s="48"/>
      <c r="L369" s="220"/>
      <c r="M369" s="838"/>
      <c r="N369" s="839"/>
      <c r="O369" s="839"/>
      <c r="P369" s="220"/>
      <c r="Q369" s="220"/>
      <c r="R369" s="220"/>
      <c r="S369" s="220"/>
      <c r="T369" s="220"/>
      <c r="U369" s="220"/>
      <c r="V369" s="220"/>
      <c r="W369" s="572"/>
      <c r="X369" s="13"/>
      <c r="Y369" s="13"/>
      <c r="Z369" s="13"/>
      <c r="AA369" s="13"/>
      <c r="AB369" s="4"/>
      <c r="AC369" s="4"/>
      <c r="AD369" s="4"/>
      <c r="AE369" s="4"/>
      <c r="AF369" s="4"/>
      <c r="AG369" s="4"/>
      <c r="AH369" s="4"/>
      <c r="AI369" s="4"/>
      <c r="AJ369" s="4"/>
      <c r="AK369" s="4"/>
      <c r="AL369" s="4"/>
      <c r="AM369" s="4"/>
      <c r="AN369" s="4"/>
      <c r="AO369" s="4"/>
      <c r="AP369" s="4"/>
      <c r="AQ369" s="4"/>
      <c r="AR369" s="4"/>
      <c r="AS369" s="4"/>
      <c r="AT369" s="4"/>
    </row>
    <row r="370" spans="1:46" outlineLevel="1" x14ac:dyDescent="0.2">
      <c r="A370" s="220"/>
      <c r="B370" s="220"/>
      <c r="C370" s="220"/>
      <c r="D370" s="21" t="s">
        <v>34</v>
      </c>
      <c r="E370" s="49"/>
      <c r="F370" s="49"/>
      <c r="G370" s="49"/>
      <c r="H370" s="49"/>
      <c r="I370" s="49"/>
      <c r="J370" s="49"/>
      <c r="K370" s="49"/>
      <c r="L370" s="220"/>
      <c r="M370" s="838"/>
      <c r="N370" s="839"/>
      <c r="O370" s="839"/>
      <c r="P370" s="220"/>
      <c r="Q370" s="220"/>
      <c r="R370" s="220"/>
      <c r="S370" s="220"/>
      <c r="T370" s="220"/>
      <c r="U370" s="220"/>
      <c r="V370" s="220"/>
      <c r="W370" s="572"/>
      <c r="X370" s="13"/>
      <c r="Y370" s="13"/>
      <c r="Z370" s="13"/>
      <c r="AA370" s="13"/>
      <c r="AB370" s="4"/>
      <c r="AC370" s="4"/>
      <c r="AD370" s="4"/>
      <c r="AE370" s="4"/>
      <c r="AF370" s="4"/>
      <c r="AG370" s="4"/>
      <c r="AH370" s="4"/>
      <c r="AI370" s="4"/>
      <c r="AJ370" s="4"/>
      <c r="AK370" s="4"/>
      <c r="AL370" s="4"/>
      <c r="AM370" s="4"/>
      <c r="AN370" s="4"/>
      <c r="AO370" s="4"/>
      <c r="AP370" s="4"/>
      <c r="AQ370" s="4"/>
      <c r="AR370" s="4"/>
      <c r="AS370" s="4"/>
      <c r="AT370" s="4"/>
    </row>
    <row r="371" spans="1:46" outlineLevel="1" x14ac:dyDescent="0.2">
      <c r="A371" s="220"/>
      <c r="B371" s="220"/>
      <c r="C371" s="220"/>
      <c r="D371" s="21" t="s">
        <v>923</v>
      </c>
      <c r="E371" s="49"/>
      <c r="F371" s="49"/>
      <c r="G371" s="49"/>
      <c r="H371" s="49"/>
      <c r="I371" s="49"/>
      <c r="J371" s="49"/>
      <c r="K371" s="49"/>
      <c r="L371" s="220"/>
      <c r="M371" s="838"/>
      <c r="N371" s="839"/>
      <c r="O371" s="839"/>
      <c r="P371" s="220"/>
      <c r="Q371" s="220"/>
      <c r="R371" s="220"/>
      <c r="S371" s="220"/>
      <c r="T371" s="220"/>
      <c r="U371" s="220"/>
      <c r="V371" s="220"/>
      <c r="W371" s="572"/>
      <c r="X371" s="13"/>
      <c r="Y371" s="13"/>
      <c r="Z371" s="13"/>
      <c r="AA371" s="13"/>
      <c r="AB371" s="4"/>
      <c r="AC371" s="4"/>
      <c r="AD371" s="4"/>
      <c r="AE371" s="4"/>
      <c r="AF371" s="4"/>
      <c r="AG371" s="4"/>
      <c r="AH371" s="4"/>
      <c r="AI371" s="4"/>
      <c r="AJ371" s="4"/>
      <c r="AK371" s="4"/>
      <c r="AL371" s="4"/>
      <c r="AM371" s="4"/>
      <c r="AN371" s="4"/>
      <c r="AO371" s="4"/>
      <c r="AP371" s="4"/>
      <c r="AQ371" s="4"/>
      <c r="AR371" s="4"/>
      <c r="AS371" s="4"/>
      <c r="AT371" s="4"/>
    </row>
    <row r="372" spans="1:46" outlineLevel="1" x14ac:dyDescent="0.2">
      <c r="A372" s="264"/>
      <c r="B372" s="264"/>
      <c r="C372" s="264"/>
      <c r="D372" s="23" t="s">
        <v>125</v>
      </c>
      <c r="E372" s="53">
        <f t="shared" ref="E372:K372" si="225">E374-E373</f>
        <v>0</v>
      </c>
      <c r="F372" s="53">
        <f t="shared" si="225"/>
        <v>0</v>
      </c>
      <c r="G372" s="53">
        <f t="shared" si="225"/>
        <v>0</v>
      </c>
      <c r="H372" s="53">
        <f t="shared" si="225"/>
        <v>0</v>
      </c>
      <c r="I372" s="53">
        <f t="shared" si="225"/>
        <v>0</v>
      </c>
      <c r="J372" s="53">
        <f t="shared" si="225"/>
        <v>0</v>
      </c>
      <c r="K372" s="53">
        <f t="shared" si="225"/>
        <v>0</v>
      </c>
      <c r="L372" s="264"/>
      <c r="M372" s="264"/>
      <c r="N372" s="264"/>
      <c r="O372" s="264"/>
      <c r="P372" s="264"/>
      <c r="Q372" s="264"/>
      <c r="R372" s="264"/>
      <c r="S372" s="264"/>
      <c r="T372" s="264"/>
      <c r="U372" s="264"/>
      <c r="V372" s="264"/>
      <c r="W372" s="597"/>
      <c r="X372" s="13"/>
      <c r="Y372" s="13"/>
      <c r="Z372" s="13"/>
      <c r="AA372" s="13"/>
      <c r="AB372" s="10"/>
      <c r="AC372" s="10"/>
      <c r="AD372" s="10"/>
      <c r="AE372" s="10"/>
      <c r="AF372" s="10"/>
      <c r="AG372" s="10"/>
      <c r="AH372" s="10"/>
      <c r="AI372" s="10"/>
      <c r="AJ372" s="10"/>
      <c r="AK372" s="10"/>
      <c r="AL372" s="10"/>
      <c r="AM372" s="10"/>
      <c r="AN372" s="10"/>
      <c r="AO372" s="10"/>
      <c r="AP372" s="10"/>
      <c r="AQ372" s="10"/>
      <c r="AR372" s="10"/>
      <c r="AS372" s="10"/>
      <c r="AT372" s="10"/>
    </row>
    <row r="373" spans="1:46" outlineLevel="1" x14ac:dyDescent="0.2">
      <c r="A373" s="264"/>
      <c r="B373" s="264"/>
      <c r="C373" s="264"/>
      <c r="D373" s="23" t="s">
        <v>126</v>
      </c>
      <c r="E373" s="53">
        <f t="shared" ref="E373:K373" si="226">ROUND(E374*$T$167,0)</f>
        <v>0</v>
      </c>
      <c r="F373" s="53">
        <f t="shared" si="226"/>
        <v>0</v>
      </c>
      <c r="G373" s="53">
        <f t="shared" si="226"/>
        <v>0</v>
      </c>
      <c r="H373" s="53">
        <f t="shared" si="226"/>
        <v>0</v>
      </c>
      <c r="I373" s="53">
        <f t="shared" si="226"/>
        <v>0</v>
      </c>
      <c r="J373" s="53">
        <f t="shared" si="226"/>
        <v>0</v>
      </c>
      <c r="K373" s="53">
        <f t="shared" si="226"/>
        <v>0</v>
      </c>
      <c r="L373" s="264"/>
      <c r="M373" s="264"/>
      <c r="N373" s="264"/>
      <c r="O373" s="264"/>
      <c r="P373" s="264"/>
      <c r="Q373" s="264"/>
      <c r="R373" s="264"/>
      <c r="S373" s="264"/>
      <c r="T373" s="264"/>
      <c r="U373" s="264"/>
      <c r="V373" s="264"/>
      <c r="W373" s="597"/>
      <c r="X373" s="13"/>
      <c r="Y373" s="13"/>
      <c r="Z373" s="13"/>
      <c r="AA373" s="13"/>
      <c r="AB373" s="10"/>
      <c r="AC373" s="10"/>
      <c r="AD373" s="10"/>
      <c r="AE373" s="10"/>
      <c r="AF373" s="10"/>
      <c r="AG373" s="10"/>
      <c r="AH373" s="10"/>
      <c r="AI373" s="10"/>
      <c r="AJ373" s="10"/>
      <c r="AK373" s="10"/>
      <c r="AL373" s="10"/>
      <c r="AM373" s="10"/>
      <c r="AN373" s="10"/>
      <c r="AO373" s="10"/>
      <c r="AP373" s="10"/>
      <c r="AQ373" s="10"/>
      <c r="AR373" s="10"/>
      <c r="AS373" s="10"/>
      <c r="AT373" s="10"/>
    </row>
    <row r="374" spans="1:46" outlineLevel="1" x14ac:dyDescent="0.2">
      <c r="A374" s="264"/>
      <c r="B374" s="264"/>
      <c r="C374" s="264"/>
      <c r="D374" s="458" t="s">
        <v>918</v>
      </c>
      <c r="E374" s="54">
        <f t="shared" ref="E374:K374" si="227">IF(E368="","",E371*E370*E368)</f>
        <v>0</v>
      </c>
      <c r="F374" s="54">
        <f t="shared" si="227"/>
        <v>0</v>
      </c>
      <c r="G374" s="54">
        <f t="shared" si="227"/>
        <v>0</v>
      </c>
      <c r="H374" s="54">
        <f t="shared" si="227"/>
        <v>0</v>
      </c>
      <c r="I374" s="54">
        <f t="shared" si="227"/>
        <v>0</v>
      </c>
      <c r="J374" s="54">
        <f t="shared" si="227"/>
        <v>0</v>
      </c>
      <c r="K374" s="54">
        <f t="shared" si="227"/>
        <v>0</v>
      </c>
      <c r="L374" s="264"/>
      <c r="M374" s="264"/>
      <c r="N374" s="264"/>
      <c r="O374" s="264"/>
      <c r="P374" s="264"/>
      <c r="Q374" s="264"/>
      <c r="R374" s="264"/>
      <c r="S374" s="264"/>
      <c r="T374" s="264"/>
      <c r="U374" s="264"/>
      <c r="V374" s="264"/>
      <c r="W374" s="597"/>
      <c r="X374" s="13"/>
      <c r="Y374" s="13"/>
      <c r="Z374" s="13"/>
      <c r="AA374" s="13"/>
      <c r="AB374" s="10"/>
      <c r="AC374" s="10"/>
      <c r="AD374" s="10"/>
      <c r="AE374" s="10"/>
      <c r="AF374" s="10"/>
      <c r="AG374" s="10"/>
      <c r="AH374" s="10"/>
      <c r="AI374" s="10"/>
      <c r="AJ374" s="10"/>
      <c r="AK374" s="10"/>
      <c r="AL374" s="10"/>
      <c r="AM374" s="10"/>
      <c r="AN374" s="10"/>
      <c r="AO374" s="10"/>
      <c r="AP374" s="10"/>
      <c r="AQ374" s="10"/>
      <c r="AR374" s="10"/>
      <c r="AS374" s="10"/>
      <c r="AT374" s="10"/>
    </row>
    <row r="375" spans="1:46" outlineLevel="1" x14ac:dyDescent="0.2">
      <c r="A375" s="220"/>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572"/>
      <c r="X375" s="13"/>
      <c r="Y375" s="13"/>
      <c r="Z375" s="13"/>
      <c r="AA375" s="13"/>
      <c r="AB375" s="4"/>
      <c r="AC375" s="4"/>
      <c r="AD375" s="4"/>
      <c r="AE375" s="4"/>
      <c r="AF375" s="4"/>
      <c r="AG375" s="4"/>
      <c r="AH375" s="4"/>
      <c r="AI375" s="4"/>
      <c r="AJ375" s="4"/>
      <c r="AK375" s="4"/>
      <c r="AL375" s="4"/>
      <c r="AM375" s="4"/>
      <c r="AN375" s="4"/>
      <c r="AO375" s="4"/>
      <c r="AP375" s="4"/>
      <c r="AQ375" s="4"/>
      <c r="AR375" s="4"/>
      <c r="AS375" s="4"/>
      <c r="AT375" s="4"/>
    </row>
    <row r="376" spans="1:46" x14ac:dyDescent="0.2">
      <c r="A376" s="220"/>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572"/>
      <c r="X376" s="13"/>
      <c r="Y376" s="13"/>
      <c r="Z376" s="13"/>
      <c r="AA376" s="13"/>
      <c r="AB376" s="4"/>
      <c r="AC376" s="4"/>
      <c r="AD376" s="4"/>
      <c r="AE376" s="4"/>
      <c r="AF376" s="4"/>
      <c r="AG376" s="4"/>
      <c r="AH376" s="4"/>
      <c r="AI376" s="4"/>
      <c r="AJ376" s="4"/>
      <c r="AK376" s="4"/>
      <c r="AL376" s="4"/>
      <c r="AM376" s="4"/>
      <c r="AN376" s="4"/>
      <c r="AO376" s="4"/>
      <c r="AP376" s="4"/>
      <c r="AQ376" s="4"/>
      <c r="AR376" s="4"/>
      <c r="AS376" s="4"/>
      <c r="AT376" s="4"/>
    </row>
    <row r="377" spans="1:46" ht="15" x14ac:dyDescent="0.2">
      <c r="A377" s="172"/>
      <c r="B377" s="172"/>
      <c r="C377" s="405">
        <v>17</v>
      </c>
      <c r="D377" s="221" t="str">
        <f>D174</f>
        <v>** NOT USED **</v>
      </c>
      <c r="E377" s="207"/>
      <c r="F377" s="207"/>
      <c r="G377" s="207"/>
      <c r="H377" s="207"/>
      <c r="I377" s="782" t="str">
        <f>IF(D377&lt;&gt;MsgNotUsed,"Co-payment group " &amp; INDEX(CoPayBandMS,C377),"")</f>
        <v/>
      </c>
      <c r="J377" s="782"/>
      <c r="K377" s="207"/>
      <c r="L377" s="207"/>
      <c r="M377" s="207"/>
      <c r="N377" s="207"/>
      <c r="O377" s="207"/>
      <c r="P377" s="207"/>
      <c r="Q377" s="207"/>
      <c r="R377" s="207"/>
      <c r="S377" s="207"/>
      <c r="T377" s="207"/>
      <c r="U377" s="207"/>
      <c r="V377" s="207"/>
      <c r="W377" s="207"/>
      <c r="X377" s="13"/>
      <c r="Y377" s="13"/>
      <c r="Z377" s="13"/>
      <c r="AA377" s="13"/>
      <c r="AB377" s="453"/>
      <c r="AC377" s="453"/>
      <c r="AD377" s="453"/>
      <c r="AE377" s="453"/>
      <c r="AF377" s="453"/>
      <c r="AG377" s="453"/>
      <c r="AH377" s="453"/>
      <c r="AI377" s="453"/>
      <c r="AJ377" s="453"/>
      <c r="AK377" s="453"/>
      <c r="AL377" s="453"/>
      <c r="AM377" s="453"/>
      <c r="AN377" s="453"/>
      <c r="AO377" s="453"/>
      <c r="AP377" s="453"/>
      <c r="AQ377" s="453"/>
      <c r="AR377" s="453"/>
      <c r="AS377" s="453"/>
      <c r="AT377" s="453"/>
    </row>
    <row r="378" spans="1:46" ht="15.75" outlineLevel="1" x14ac:dyDescent="0.2">
      <c r="A378" s="192"/>
      <c r="B378" s="192"/>
      <c r="C378" s="192"/>
      <c r="D378" s="193"/>
      <c r="E378" s="192"/>
      <c r="F378" s="192"/>
      <c r="G378" s="192"/>
      <c r="H378" s="192"/>
      <c r="I378" s="192"/>
      <c r="J378" s="192"/>
      <c r="K378" s="192"/>
      <c r="L378" s="192"/>
      <c r="M378" s="192"/>
      <c r="N378" s="192"/>
      <c r="O378" s="192"/>
      <c r="P378" s="192"/>
      <c r="Q378" s="192"/>
      <c r="R378" s="192"/>
      <c r="S378" s="192"/>
      <c r="T378" s="192"/>
      <c r="U378" s="192"/>
      <c r="V378" s="192"/>
      <c r="W378" s="192"/>
      <c r="X378" s="13"/>
      <c r="Y378" s="13"/>
      <c r="Z378" s="13"/>
      <c r="AA378" s="13"/>
      <c r="AB378" s="3"/>
      <c r="AC378" s="3"/>
      <c r="AD378" s="3"/>
      <c r="AE378" s="3"/>
      <c r="AF378" s="3"/>
      <c r="AG378" s="3"/>
      <c r="AH378" s="3"/>
      <c r="AI378" s="3"/>
      <c r="AJ378" s="3"/>
      <c r="AK378" s="3"/>
      <c r="AL378" s="3"/>
      <c r="AM378" s="3"/>
      <c r="AN378" s="3"/>
      <c r="AO378" s="3"/>
      <c r="AP378" s="3"/>
      <c r="AQ378" s="3"/>
      <c r="AR378" s="3"/>
      <c r="AS378" s="3"/>
      <c r="AT378" s="3"/>
    </row>
    <row r="379" spans="1:46" ht="14.25" customHeight="1" outlineLevel="1" x14ac:dyDescent="0.2">
      <c r="A379" s="220"/>
      <c r="B379" s="220"/>
      <c r="C379" s="220"/>
      <c r="D379" s="15"/>
      <c r="E379" s="87">
        <f>F379-1</f>
        <v>-1</v>
      </c>
      <c r="F379" s="87">
        <f>FirstYear</f>
        <v>0</v>
      </c>
      <c r="G379" s="87">
        <f>F379+1</f>
        <v>1</v>
      </c>
      <c r="H379" s="87">
        <f>G379+1</f>
        <v>2</v>
      </c>
      <c r="I379" s="87">
        <f>H379+1</f>
        <v>3</v>
      </c>
      <c r="J379" s="87">
        <f>I379+1</f>
        <v>4</v>
      </c>
      <c r="K379" s="87">
        <f>J379+1</f>
        <v>5</v>
      </c>
      <c r="L379" s="220"/>
      <c r="M379" s="195"/>
      <c r="N379" s="220"/>
      <c r="O379" s="220"/>
      <c r="P379" s="195"/>
      <c r="Q379" s="220"/>
      <c r="R379" s="220"/>
      <c r="S379" s="220"/>
      <c r="T379" s="220"/>
      <c r="U379" s="220"/>
      <c r="V379" s="220"/>
      <c r="W379" s="572"/>
      <c r="X379" s="13"/>
      <c r="Y379" s="13"/>
      <c r="Z379" s="13"/>
      <c r="AA379" s="13"/>
      <c r="AB379" s="4"/>
      <c r="AC379" s="4"/>
      <c r="AD379" s="4"/>
      <c r="AE379" s="4"/>
      <c r="AF379" s="4"/>
      <c r="AG379" s="4"/>
      <c r="AH379" s="4"/>
      <c r="AI379" s="4"/>
      <c r="AJ379" s="4"/>
      <c r="AK379" s="4"/>
      <c r="AL379" s="4"/>
      <c r="AM379" s="4"/>
      <c r="AN379" s="4"/>
      <c r="AO379" s="4"/>
      <c r="AP379" s="4"/>
      <c r="AQ379" s="4"/>
      <c r="AR379" s="4"/>
      <c r="AS379" s="4"/>
      <c r="AT379" s="4"/>
    </row>
    <row r="380" spans="1:46" outlineLevel="1" x14ac:dyDescent="0.2">
      <c r="A380" s="220"/>
      <c r="B380" s="220"/>
      <c r="C380" s="220"/>
      <c r="D380" s="8" t="s">
        <v>132</v>
      </c>
      <c r="E380" s="53">
        <f>INDEX(ScriptsMSAdditional,$C377) * INDEX(NamesMSAdditional,$C377,3)</f>
        <v>0</v>
      </c>
      <c r="F380" s="53">
        <f t="shared" ref="F380" si="228">IF(E380="","",E380*(1+E381))</f>
        <v>0</v>
      </c>
      <c r="G380" s="53">
        <f t="shared" ref="G380" si="229">IF(F380="","",F380*(1+F381))</f>
        <v>0</v>
      </c>
      <c r="H380" s="53">
        <f t="shared" ref="H380" si="230">IF(G380="","",G380*(1+G381))</f>
        <v>0</v>
      </c>
      <c r="I380" s="53">
        <f t="shared" ref="I380" si="231">IF(H380="","",H380*(1+H381))</f>
        <v>0</v>
      </c>
      <c r="J380" s="53">
        <f>IF(I380="","",I380*(1+I381))</f>
        <v>0</v>
      </c>
      <c r="K380" s="53">
        <f t="shared" ref="K380" si="232">IF(J380="","",J380*(1+J381))</f>
        <v>0</v>
      </c>
      <c r="L380" s="220"/>
      <c r="M380" s="19" t="s">
        <v>292</v>
      </c>
      <c r="N380" s="220"/>
      <c r="O380" s="195"/>
      <c r="P380" s="220"/>
      <c r="Q380" s="220"/>
      <c r="R380" s="195"/>
      <c r="S380" s="195"/>
      <c r="T380" s="195"/>
      <c r="U380" s="195"/>
      <c r="V380" s="195"/>
      <c r="W380" s="595"/>
      <c r="X380" s="13"/>
      <c r="Y380" s="13"/>
      <c r="Z380" s="13"/>
      <c r="AA380" s="13"/>
      <c r="AB380" s="4"/>
      <c r="AC380" s="4"/>
      <c r="AD380" s="4"/>
      <c r="AE380" s="4"/>
      <c r="AF380" s="4"/>
      <c r="AG380" s="4"/>
      <c r="AH380" s="4"/>
      <c r="AI380" s="4"/>
      <c r="AJ380" s="4"/>
      <c r="AK380" s="4"/>
      <c r="AL380" s="4"/>
      <c r="AM380" s="4"/>
      <c r="AN380" s="4"/>
      <c r="AO380" s="4"/>
      <c r="AP380" s="4"/>
      <c r="AQ380" s="4"/>
      <c r="AR380" s="4"/>
      <c r="AS380" s="4"/>
      <c r="AT380" s="4"/>
    </row>
    <row r="381" spans="1:46" outlineLevel="1" x14ac:dyDescent="0.2">
      <c r="A381" s="220"/>
      <c r="B381" s="220"/>
      <c r="C381" s="220"/>
      <c r="D381" s="21" t="s">
        <v>27</v>
      </c>
      <c r="E381" s="49"/>
      <c r="F381" s="49"/>
      <c r="G381" s="49"/>
      <c r="H381" s="49"/>
      <c r="I381" s="49"/>
      <c r="J381" s="49"/>
      <c r="K381" s="48"/>
      <c r="L381" s="220"/>
      <c r="M381" s="838"/>
      <c r="N381" s="839"/>
      <c r="O381" s="839"/>
      <c r="P381" s="220"/>
      <c r="Q381" s="220"/>
      <c r="R381" s="220"/>
      <c r="S381" s="220"/>
      <c r="T381" s="220"/>
      <c r="U381" s="220"/>
      <c r="V381" s="220"/>
      <c r="W381" s="572"/>
      <c r="X381" s="13"/>
      <c r="Y381" s="13"/>
      <c r="Z381" s="13"/>
      <c r="AA381" s="13"/>
      <c r="AB381" s="4"/>
      <c r="AC381" s="4"/>
      <c r="AD381" s="4"/>
      <c r="AE381" s="4"/>
      <c r="AF381" s="4"/>
      <c r="AG381" s="4"/>
      <c r="AH381" s="4"/>
      <c r="AI381" s="4"/>
      <c r="AJ381" s="4"/>
      <c r="AK381" s="4"/>
      <c r="AL381" s="4"/>
      <c r="AM381" s="4"/>
      <c r="AN381" s="4"/>
      <c r="AO381" s="4"/>
      <c r="AP381" s="4"/>
      <c r="AQ381" s="4"/>
      <c r="AR381" s="4"/>
      <c r="AS381" s="4"/>
      <c r="AT381" s="4"/>
    </row>
    <row r="382" spans="1:46" outlineLevel="1" x14ac:dyDescent="0.2">
      <c r="A382" s="220"/>
      <c r="B382" s="220"/>
      <c r="C382" s="220"/>
      <c r="D382" s="21" t="s">
        <v>34</v>
      </c>
      <c r="E382" s="49"/>
      <c r="F382" s="49"/>
      <c r="G382" s="49"/>
      <c r="H382" s="49"/>
      <c r="I382" s="49"/>
      <c r="J382" s="49"/>
      <c r="K382" s="49"/>
      <c r="L382" s="220"/>
      <c r="M382" s="838"/>
      <c r="N382" s="839"/>
      <c r="O382" s="839"/>
      <c r="P382" s="220"/>
      <c r="Q382" s="220"/>
      <c r="R382" s="220"/>
      <c r="S382" s="220"/>
      <c r="T382" s="220"/>
      <c r="U382" s="220"/>
      <c r="V382" s="220"/>
      <c r="W382" s="572"/>
      <c r="X382" s="13"/>
      <c r="Y382" s="13"/>
      <c r="Z382" s="13"/>
      <c r="AA382" s="13"/>
      <c r="AB382" s="4"/>
      <c r="AC382" s="4"/>
      <c r="AD382" s="4"/>
      <c r="AE382" s="4"/>
      <c r="AF382" s="4"/>
      <c r="AG382" s="4"/>
      <c r="AH382" s="4"/>
      <c r="AI382" s="4"/>
      <c r="AJ382" s="4"/>
      <c r="AK382" s="4"/>
      <c r="AL382" s="4"/>
      <c r="AM382" s="4"/>
      <c r="AN382" s="4"/>
      <c r="AO382" s="4"/>
      <c r="AP382" s="4"/>
      <c r="AQ382" s="4"/>
      <c r="AR382" s="4"/>
      <c r="AS382" s="4"/>
      <c r="AT382" s="4"/>
    </row>
    <row r="383" spans="1:46" outlineLevel="1" x14ac:dyDescent="0.2">
      <c r="A383" s="220"/>
      <c r="B383" s="220"/>
      <c r="C383" s="220"/>
      <c r="D383" s="21" t="s">
        <v>923</v>
      </c>
      <c r="E383" s="49"/>
      <c r="F383" s="49"/>
      <c r="G383" s="49"/>
      <c r="H383" s="49"/>
      <c r="I383" s="49"/>
      <c r="J383" s="49"/>
      <c r="K383" s="49"/>
      <c r="L383" s="220"/>
      <c r="M383" s="838"/>
      <c r="N383" s="839"/>
      <c r="O383" s="839"/>
      <c r="P383" s="220"/>
      <c r="Q383" s="220"/>
      <c r="R383" s="220"/>
      <c r="S383" s="220"/>
      <c r="T383" s="220"/>
      <c r="U383" s="220"/>
      <c r="V383" s="220"/>
      <c r="W383" s="572"/>
      <c r="X383" s="13"/>
      <c r="Y383" s="13"/>
      <c r="Z383" s="13"/>
      <c r="AA383" s="13"/>
      <c r="AB383" s="4"/>
      <c r="AC383" s="4"/>
      <c r="AD383" s="4"/>
      <c r="AE383" s="4"/>
      <c r="AF383" s="4"/>
      <c r="AG383" s="4"/>
      <c r="AH383" s="4"/>
      <c r="AI383" s="4"/>
      <c r="AJ383" s="4"/>
      <c r="AK383" s="4"/>
      <c r="AL383" s="4"/>
      <c r="AM383" s="4"/>
      <c r="AN383" s="4"/>
      <c r="AO383" s="4"/>
      <c r="AP383" s="4"/>
      <c r="AQ383" s="4"/>
      <c r="AR383" s="4"/>
      <c r="AS383" s="4"/>
      <c r="AT383" s="4"/>
    </row>
    <row r="384" spans="1:46" outlineLevel="1" x14ac:dyDescent="0.2">
      <c r="A384" s="264"/>
      <c r="B384" s="264"/>
      <c r="C384" s="264"/>
      <c r="D384" s="23" t="s">
        <v>125</v>
      </c>
      <c r="E384" s="53">
        <f t="shared" ref="E384:K384" si="233">E386-E385</f>
        <v>0</v>
      </c>
      <c r="F384" s="53">
        <f t="shared" si="233"/>
        <v>0</v>
      </c>
      <c r="G384" s="53">
        <f t="shared" si="233"/>
        <v>0</v>
      </c>
      <c r="H384" s="53">
        <f t="shared" si="233"/>
        <v>0</v>
      </c>
      <c r="I384" s="53">
        <f t="shared" si="233"/>
        <v>0</v>
      </c>
      <c r="J384" s="53">
        <f t="shared" si="233"/>
        <v>0</v>
      </c>
      <c r="K384" s="53">
        <f t="shared" si="233"/>
        <v>0</v>
      </c>
      <c r="L384" s="264"/>
      <c r="M384" s="264"/>
      <c r="N384" s="264"/>
      <c r="O384" s="264"/>
      <c r="P384" s="264"/>
      <c r="Q384" s="264"/>
      <c r="R384" s="264"/>
      <c r="S384" s="264"/>
      <c r="T384" s="264"/>
      <c r="U384" s="264"/>
      <c r="V384" s="264"/>
      <c r="W384" s="597"/>
      <c r="X384" s="13"/>
      <c r="Y384" s="13"/>
      <c r="Z384" s="13"/>
      <c r="AA384" s="13"/>
      <c r="AB384" s="10"/>
      <c r="AC384" s="10"/>
      <c r="AD384" s="10"/>
      <c r="AE384" s="10"/>
      <c r="AF384" s="10"/>
      <c r="AG384" s="10"/>
      <c r="AH384" s="10"/>
      <c r="AI384" s="10"/>
      <c r="AJ384" s="10"/>
      <c r="AK384" s="10"/>
      <c r="AL384" s="10"/>
      <c r="AM384" s="10"/>
      <c r="AN384" s="10"/>
      <c r="AO384" s="10"/>
      <c r="AP384" s="10"/>
      <c r="AQ384" s="10"/>
      <c r="AR384" s="10"/>
      <c r="AS384" s="10"/>
      <c r="AT384" s="10"/>
    </row>
    <row r="385" spans="1:46" outlineLevel="1" x14ac:dyDescent="0.2">
      <c r="A385" s="264"/>
      <c r="B385" s="264"/>
      <c r="C385" s="264"/>
      <c r="D385" s="23" t="s">
        <v>126</v>
      </c>
      <c r="E385" s="53">
        <f t="shared" ref="E385:K385" si="234">ROUND(E386*$T$167,0)</f>
        <v>0</v>
      </c>
      <c r="F385" s="53">
        <f t="shared" si="234"/>
        <v>0</v>
      </c>
      <c r="G385" s="53">
        <f t="shared" si="234"/>
        <v>0</v>
      </c>
      <c r="H385" s="53">
        <f t="shared" si="234"/>
        <v>0</v>
      </c>
      <c r="I385" s="53">
        <f t="shared" si="234"/>
        <v>0</v>
      </c>
      <c r="J385" s="53">
        <f t="shared" si="234"/>
        <v>0</v>
      </c>
      <c r="K385" s="53">
        <f t="shared" si="234"/>
        <v>0</v>
      </c>
      <c r="L385" s="264"/>
      <c r="M385" s="264"/>
      <c r="N385" s="264"/>
      <c r="O385" s="264"/>
      <c r="P385" s="264"/>
      <c r="Q385" s="264"/>
      <c r="R385" s="264"/>
      <c r="S385" s="264"/>
      <c r="T385" s="264"/>
      <c r="U385" s="264"/>
      <c r="V385" s="264"/>
      <c r="W385" s="597"/>
      <c r="X385" s="13"/>
      <c r="Y385" s="13"/>
      <c r="Z385" s="13"/>
      <c r="AA385" s="13"/>
      <c r="AB385" s="10"/>
      <c r="AC385" s="10"/>
      <c r="AD385" s="10"/>
      <c r="AE385" s="10"/>
      <c r="AF385" s="10"/>
      <c r="AG385" s="10"/>
      <c r="AH385" s="10"/>
      <c r="AI385" s="10"/>
      <c r="AJ385" s="10"/>
      <c r="AK385" s="10"/>
      <c r="AL385" s="10"/>
      <c r="AM385" s="10"/>
      <c r="AN385" s="10"/>
      <c r="AO385" s="10"/>
      <c r="AP385" s="10"/>
      <c r="AQ385" s="10"/>
      <c r="AR385" s="10"/>
      <c r="AS385" s="10"/>
      <c r="AT385" s="10"/>
    </row>
    <row r="386" spans="1:46" outlineLevel="1" x14ac:dyDescent="0.2">
      <c r="A386" s="264"/>
      <c r="B386" s="264"/>
      <c r="C386" s="264"/>
      <c r="D386" s="458" t="s">
        <v>918</v>
      </c>
      <c r="E386" s="54">
        <f t="shared" ref="E386:K386" si="235">IF(E380="","",E383*E382*E380)</f>
        <v>0</v>
      </c>
      <c r="F386" s="54">
        <f t="shared" si="235"/>
        <v>0</v>
      </c>
      <c r="G386" s="54">
        <f t="shared" si="235"/>
        <v>0</v>
      </c>
      <c r="H386" s="54">
        <f t="shared" si="235"/>
        <v>0</v>
      </c>
      <c r="I386" s="54">
        <f t="shared" si="235"/>
        <v>0</v>
      </c>
      <c r="J386" s="54">
        <f t="shared" si="235"/>
        <v>0</v>
      </c>
      <c r="K386" s="54">
        <f t="shared" si="235"/>
        <v>0</v>
      </c>
      <c r="L386" s="264"/>
      <c r="M386" s="264"/>
      <c r="N386" s="264"/>
      <c r="O386" s="264"/>
      <c r="P386" s="264"/>
      <c r="Q386" s="264"/>
      <c r="R386" s="264"/>
      <c r="S386" s="264"/>
      <c r="T386" s="264"/>
      <c r="U386" s="264"/>
      <c r="V386" s="264"/>
      <c r="W386" s="597"/>
      <c r="X386" s="13"/>
      <c r="Y386" s="13"/>
      <c r="Z386" s="13"/>
      <c r="AA386" s="13"/>
      <c r="AB386" s="10"/>
      <c r="AC386" s="10"/>
      <c r="AD386" s="10"/>
      <c r="AE386" s="10"/>
      <c r="AF386" s="10"/>
      <c r="AG386" s="10"/>
      <c r="AH386" s="10"/>
      <c r="AI386" s="10"/>
      <c r="AJ386" s="10"/>
      <c r="AK386" s="10"/>
      <c r="AL386" s="10"/>
      <c r="AM386" s="10"/>
      <c r="AN386" s="10"/>
      <c r="AO386" s="10"/>
      <c r="AP386" s="10"/>
      <c r="AQ386" s="10"/>
      <c r="AR386" s="10"/>
      <c r="AS386" s="10"/>
      <c r="AT386" s="10"/>
    </row>
    <row r="387" spans="1:46" outlineLevel="1" x14ac:dyDescent="0.2">
      <c r="A387" s="220"/>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572"/>
      <c r="X387" s="13"/>
      <c r="Y387" s="13"/>
      <c r="Z387" s="13"/>
      <c r="AA387" s="13"/>
      <c r="AB387" s="4"/>
      <c r="AC387" s="4"/>
      <c r="AD387" s="4"/>
      <c r="AE387" s="4"/>
      <c r="AF387" s="4"/>
      <c r="AG387" s="4"/>
      <c r="AH387" s="4"/>
      <c r="AI387" s="4"/>
      <c r="AJ387" s="4"/>
      <c r="AK387" s="4"/>
      <c r="AL387" s="4"/>
      <c r="AM387" s="4"/>
      <c r="AN387" s="4"/>
      <c r="AO387" s="4"/>
      <c r="AP387" s="4"/>
      <c r="AQ387" s="4"/>
      <c r="AR387" s="4"/>
      <c r="AS387" s="4"/>
      <c r="AT387" s="4"/>
    </row>
    <row r="388" spans="1:46" x14ac:dyDescent="0.2">
      <c r="A388" s="220"/>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572"/>
      <c r="X388" s="13"/>
      <c r="Y388" s="13"/>
      <c r="Z388" s="13"/>
      <c r="AA388" s="13"/>
      <c r="AB388" s="4"/>
      <c r="AC388" s="4"/>
      <c r="AD388" s="4"/>
      <c r="AE388" s="4"/>
      <c r="AF388" s="4"/>
      <c r="AG388" s="4"/>
      <c r="AH388" s="4"/>
      <c r="AI388" s="4"/>
      <c r="AJ388" s="4"/>
      <c r="AK388" s="4"/>
      <c r="AL388" s="4"/>
      <c r="AM388" s="4"/>
      <c r="AN388" s="4"/>
      <c r="AO388" s="4"/>
      <c r="AP388" s="4"/>
      <c r="AQ388" s="4"/>
      <c r="AR388" s="4"/>
      <c r="AS388" s="4"/>
      <c r="AT388" s="4"/>
    </row>
    <row r="389" spans="1:46" ht="15" x14ac:dyDescent="0.2">
      <c r="A389" s="172"/>
      <c r="B389" s="172"/>
      <c r="C389" s="405">
        <v>18</v>
      </c>
      <c r="D389" s="221" t="str">
        <f>D175</f>
        <v>** NOT USED **</v>
      </c>
      <c r="E389" s="207"/>
      <c r="F389" s="207"/>
      <c r="G389" s="207"/>
      <c r="H389" s="207"/>
      <c r="I389" s="782" t="str">
        <f>IF(D389&lt;&gt;MsgNotUsed,"Co-payment group " &amp; INDEX(CoPayBandMS,C389),"")</f>
        <v/>
      </c>
      <c r="J389" s="782"/>
      <c r="K389" s="207"/>
      <c r="L389" s="207"/>
      <c r="M389" s="207"/>
      <c r="N389" s="207"/>
      <c r="O389" s="207"/>
      <c r="P389" s="207"/>
      <c r="Q389" s="207"/>
      <c r="R389" s="207"/>
      <c r="S389" s="207"/>
      <c r="T389" s="207"/>
      <c r="U389" s="207"/>
      <c r="V389" s="207"/>
      <c r="W389" s="207"/>
      <c r="X389" s="13"/>
      <c r="Y389" s="13"/>
      <c r="Z389" s="13"/>
      <c r="AA389" s="13"/>
      <c r="AB389" s="453"/>
      <c r="AC389" s="453"/>
      <c r="AD389" s="453"/>
      <c r="AE389" s="453"/>
      <c r="AF389" s="453"/>
      <c r="AG389" s="453"/>
      <c r="AH389" s="453"/>
      <c r="AI389" s="453"/>
      <c r="AJ389" s="453"/>
      <c r="AK389" s="453"/>
      <c r="AL389" s="453"/>
      <c r="AM389" s="453"/>
      <c r="AN389" s="453"/>
      <c r="AO389" s="453"/>
      <c r="AP389" s="453"/>
      <c r="AQ389" s="453"/>
      <c r="AR389" s="453"/>
      <c r="AS389" s="453"/>
      <c r="AT389" s="453"/>
    </row>
    <row r="390" spans="1:46" ht="15.75" outlineLevel="1" x14ac:dyDescent="0.2">
      <c r="A390" s="192"/>
      <c r="B390" s="192"/>
      <c r="C390" s="192"/>
      <c r="D390" s="193"/>
      <c r="E390" s="192"/>
      <c r="F390" s="192"/>
      <c r="G390" s="192"/>
      <c r="H390" s="192"/>
      <c r="I390" s="192"/>
      <c r="J390" s="192"/>
      <c r="K390" s="192"/>
      <c r="L390" s="192"/>
      <c r="M390" s="192"/>
      <c r="N390" s="192"/>
      <c r="O390" s="192"/>
      <c r="P390" s="192"/>
      <c r="Q390" s="192"/>
      <c r="R390" s="192"/>
      <c r="S390" s="192"/>
      <c r="T390" s="192"/>
      <c r="U390" s="192"/>
      <c r="V390" s="192"/>
      <c r="W390" s="192"/>
      <c r="X390" s="13"/>
      <c r="Y390" s="13"/>
      <c r="Z390" s="13"/>
      <c r="AA390" s="13"/>
      <c r="AB390" s="3"/>
      <c r="AC390" s="3"/>
      <c r="AD390" s="3"/>
      <c r="AE390" s="3"/>
      <c r="AF390" s="3"/>
      <c r="AG390" s="3"/>
      <c r="AH390" s="3"/>
      <c r="AI390" s="3"/>
      <c r="AJ390" s="3"/>
      <c r="AK390" s="3"/>
      <c r="AL390" s="3"/>
      <c r="AM390" s="3"/>
      <c r="AN390" s="3"/>
      <c r="AO390" s="3"/>
      <c r="AP390" s="3"/>
      <c r="AQ390" s="3"/>
      <c r="AR390" s="3"/>
      <c r="AS390" s="3"/>
      <c r="AT390" s="3"/>
    </row>
    <row r="391" spans="1:46" ht="14.25" customHeight="1" outlineLevel="1" x14ac:dyDescent="0.2">
      <c r="A391" s="220"/>
      <c r="B391" s="220"/>
      <c r="C391" s="220"/>
      <c r="D391" s="15"/>
      <c r="E391" s="87">
        <f>F391-1</f>
        <v>-1</v>
      </c>
      <c r="F391" s="87">
        <f>FirstYear</f>
        <v>0</v>
      </c>
      <c r="G391" s="87">
        <f>F391+1</f>
        <v>1</v>
      </c>
      <c r="H391" s="87">
        <f>G391+1</f>
        <v>2</v>
      </c>
      <c r="I391" s="87">
        <f>H391+1</f>
        <v>3</v>
      </c>
      <c r="J391" s="87">
        <f>I391+1</f>
        <v>4</v>
      </c>
      <c r="K391" s="87">
        <f>J391+1</f>
        <v>5</v>
      </c>
      <c r="L391" s="220"/>
      <c r="M391" s="195"/>
      <c r="N391" s="220"/>
      <c r="O391" s="220"/>
      <c r="P391" s="195"/>
      <c r="Q391" s="220"/>
      <c r="R391" s="220"/>
      <c r="S391" s="220"/>
      <c r="T391" s="220"/>
      <c r="U391" s="220"/>
      <c r="V391" s="220"/>
      <c r="W391" s="572"/>
      <c r="X391" s="13"/>
      <c r="Y391" s="13"/>
      <c r="Z391" s="13"/>
      <c r="AA391" s="13"/>
      <c r="AB391" s="4"/>
      <c r="AC391" s="4"/>
      <c r="AD391" s="4"/>
      <c r="AE391" s="4"/>
      <c r="AF391" s="4"/>
      <c r="AG391" s="4"/>
      <c r="AH391" s="4"/>
      <c r="AI391" s="4"/>
      <c r="AJ391" s="4"/>
      <c r="AK391" s="4"/>
      <c r="AL391" s="4"/>
      <c r="AM391" s="4"/>
      <c r="AN391" s="4"/>
      <c r="AO391" s="4"/>
      <c r="AP391" s="4"/>
      <c r="AQ391" s="4"/>
      <c r="AR391" s="4"/>
      <c r="AS391" s="4"/>
      <c r="AT391" s="4"/>
    </row>
    <row r="392" spans="1:46" outlineLevel="1" x14ac:dyDescent="0.2">
      <c r="A392" s="220"/>
      <c r="B392" s="220"/>
      <c r="C392" s="220"/>
      <c r="D392" s="8" t="s">
        <v>132</v>
      </c>
      <c r="E392" s="53">
        <f>INDEX(ScriptsMSAdditional,$C389) * INDEX(NamesMSAdditional,$C389,3)</f>
        <v>0</v>
      </c>
      <c r="F392" s="53">
        <f t="shared" ref="F392" si="236">IF(E392="","",E392*(1+E393))</f>
        <v>0</v>
      </c>
      <c r="G392" s="53">
        <f t="shared" ref="G392" si="237">IF(F392="","",F392*(1+F393))</f>
        <v>0</v>
      </c>
      <c r="H392" s="53">
        <f t="shared" ref="H392" si="238">IF(G392="","",G392*(1+G393))</f>
        <v>0</v>
      </c>
      <c r="I392" s="53">
        <f t="shared" ref="I392" si="239">IF(H392="","",H392*(1+H393))</f>
        <v>0</v>
      </c>
      <c r="J392" s="53">
        <f>IF(I392="","",I392*(1+I393))</f>
        <v>0</v>
      </c>
      <c r="K392" s="53">
        <f t="shared" ref="K392" si="240">IF(J392="","",J392*(1+J393))</f>
        <v>0</v>
      </c>
      <c r="L392" s="220"/>
      <c r="M392" s="19" t="s">
        <v>292</v>
      </c>
      <c r="N392" s="220"/>
      <c r="O392" s="195"/>
      <c r="P392" s="220"/>
      <c r="Q392" s="220"/>
      <c r="R392" s="195"/>
      <c r="S392" s="195"/>
      <c r="T392" s="195"/>
      <c r="U392" s="195"/>
      <c r="V392" s="195"/>
      <c r="W392" s="595"/>
      <c r="X392" s="13"/>
      <c r="Y392" s="13"/>
      <c r="Z392" s="13"/>
      <c r="AA392" s="13"/>
      <c r="AB392" s="4"/>
      <c r="AC392" s="4"/>
      <c r="AD392" s="4"/>
      <c r="AE392" s="4"/>
      <c r="AF392" s="4"/>
      <c r="AG392" s="4"/>
      <c r="AH392" s="4"/>
      <c r="AI392" s="4"/>
      <c r="AJ392" s="4"/>
      <c r="AK392" s="4"/>
      <c r="AL392" s="4"/>
      <c r="AM392" s="4"/>
      <c r="AN392" s="4"/>
      <c r="AO392" s="4"/>
      <c r="AP392" s="4"/>
      <c r="AQ392" s="4"/>
      <c r="AR392" s="4"/>
      <c r="AS392" s="4"/>
      <c r="AT392" s="4"/>
    </row>
    <row r="393" spans="1:46" outlineLevel="1" x14ac:dyDescent="0.2">
      <c r="A393" s="220"/>
      <c r="B393" s="220"/>
      <c r="C393" s="220"/>
      <c r="D393" s="21" t="s">
        <v>27</v>
      </c>
      <c r="E393" s="49"/>
      <c r="F393" s="49"/>
      <c r="G393" s="49"/>
      <c r="H393" s="49"/>
      <c r="I393" s="49"/>
      <c r="J393" s="49"/>
      <c r="K393" s="48"/>
      <c r="L393" s="220"/>
      <c r="M393" s="838"/>
      <c r="N393" s="839"/>
      <c r="O393" s="839"/>
      <c r="P393" s="220"/>
      <c r="Q393" s="220"/>
      <c r="R393" s="220"/>
      <c r="S393" s="220"/>
      <c r="T393" s="220"/>
      <c r="U393" s="220"/>
      <c r="V393" s="220"/>
      <c r="W393" s="572"/>
      <c r="X393" s="13"/>
      <c r="Y393" s="13"/>
      <c r="Z393" s="13"/>
      <c r="AA393" s="13"/>
      <c r="AB393" s="4"/>
      <c r="AC393" s="4"/>
      <c r="AD393" s="4"/>
      <c r="AE393" s="4"/>
      <c r="AF393" s="4"/>
      <c r="AG393" s="4"/>
      <c r="AH393" s="4"/>
      <c r="AI393" s="4"/>
      <c r="AJ393" s="4"/>
      <c r="AK393" s="4"/>
      <c r="AL393" s="4"/>
      <c r="AM393" s="4"/>
      <c r="AN393" s="4"/>
      <c r="AO393" s="4"/>
      <c r="AP393" s="4"/>
      <c r="AQ393" s="4"/>
      <c r="AR393" s="4"/>
      <c r="AS393" s="4"/>
      <c r="AT393" s="4"/>
    </row>
    <row r="394" spans="1:46" outlineLevel="1" x14ac:dyDescent="0.2">
      <c r="A394" s="220"/>
      <c r="B394" s="220"/>
      <c r="C394" s="220"/>
      <c r="D394" s="21" t="s">
        <v>34</v>
      </c>
      <c r="E394" s="49"/>
      <c r="F394" s="49"/>
      <c r="G394" s="49"/>
      <c r="H394" s="49"/>
      <c r="I394" s="49"/>
      <c r="J394" s="49"/>
      <c r="K394" s="49"/>
      <c r="L394" s="220"/>
      <c r="M394" s="838"/>
      <c r="N394" s="839"/>
      <c r="O394" s="839"/>
      <c r="P394" s="220"/>
      <c r="Q394" s="220"/>
      <c r="R394" s="220"/>
      <c r="S394" s="220"/>
      <c r="T394" s="220"/>
      <c r="U394" s="220"/>
      <c r="V394" s="220"/>
      <c r="W394" s="572"/>
      <c r="X394" s="13"/>
      <c r="Y394" s="13"/>
      <c r="Z394" s="13"/>
      <c r="AA394" s="13"/>
      <c r="AB394" s="4"/>
      <c r="AC394" s="4"/>
      <c r="AD394" s="4"/>
      <c r="AE394" s="4"/>
      <c r="AF394" s="4"/>
      <c r="AG394" s="4"/>
      <c r="AH394" s="4"/>
      <c r="AI394" s="4"/>
      <c r="AJ394" s="4"/>
      <c r="AK394" s="4"/>
      <c r="AL394" s="4"/>
      <c r="AM394" s="4"/>
      <c r="AN394" s="4"/>
      <c r="AO394" s="4"/>
      <c r="AP394" s="4"/>
      <c r="AQ394" s="4"/>
      <c r="AR394" s="4"/>
      <c r="AS394" s="4"/>
      <c r="AT394" s="4"/>
    </row>
    <row r="395" spans="1:46" outlineLevel="1" x14ac:dyDescent="0.2">
      <c r="A395" s="220"/>
      <c r="B395" s="220"/>
      <c r="C395" s="220"/>
      <c r="D395" s="21" t="s">
        <v>923</v>
      </c>
      <c r="E395" s="49"/>
      <c r="F395" s="49"/>
      <c r="G395" s="49"/>
      <c r="H395" s="49"/>
      <c r="I395" s="49"/>
      <c r="J395" s="49"/>
      <c r="K395" s="49"/>
      <c r="L395" s="220"/>
      <c r="M395" s="838"/>
      <c r="N395" s="839"/>
      <c r="O395" s="839"/>
      <c r="P395" s="220"/>
      <c r="Q395" s="220"/>
      <c r="R395" s="220"/>
      <c r="S395" s="220"/>
      <c r="T395" s="220"/>
      <c r="U395" s="220"/>
      <c r="V395" s="220"/>
      <c r="W395" s="572"/>
      <c r="X395" s="13"/>
      <c r="Y395" s="13"/>
      <c r="Z395" s="13"/>
      <c r="AA395" s="13"/>
      <c r="AB395" s="4"/>
      <c r="AC395" s="4"/>
      <c r="AD395" s="4"/>
      <c r="AE395" s="4"/>
      <c r="AF395" s="4"/>
      <c r="AG395" s="4"/>
      <c r="AH395" s="4"/>
      <c r="AI395" s="4"/>
      <c r="AJ395" s="4"/>
      <c r="AK395" s="4"/>
      <c r="AL395" s="4"/>
      <c r="AM395" s="4"/>
      <c r="AN395" s="4"/>
      <c r="AO395" s="4"/>
      <c r="AP395" s="4"/>
      <c r="AQ395" s="4"/>
      <c r="AR395" s="4"/>
      <c r="AS395" s="4"/>
      <c r="AT395" s="4"/>
    </row>
    <row r="396" spans="1:46" outlineLevel="1" x14ac:dyDescent="0.2">
      <c r="A396" s="264"/>
      <c r="B396" s="264"/>
      <c r="C396" s="264"/>
      <c r="D396" s="23" t="s">
        <v>125</v>
      </c>
      <c r="E396" s="53">
        <f t="shared" ref="E396:K396" si="241">E398-E397</f>
        <v>0</v>
      </c>
      <c r="F396" s="53">
        <f t="shared" si="241"/>
        <v>0</v>
      </c>
      <c r="G396" s="53">
        <f t="shared" si="241"/>
        <v>0</v>
      </c>
      <c r="H396" s="53">
        <f t="shared" si="241"/>
        <v>0</v>
      </c>
      <c r="I396" s="53">
        <f t="shared" si="241"/>
        <v>0</v>
      </c>
      <c r="J396" s="53">
        <f t="shared" si="241"/>
        <v>0</v>
      </c>
      <c r="K396" s="53">
        <f t="shared" si="241"/>
        <v>0</v>
      </c>
      <c r="L396" s="264"/>
      <c r="M396" s="264"/>
      <c r="N396" s="264"/>
      <c r="O396" s="264"/>
      <c r="P396" s="264"/>
      <c r="Q396" s="264"/>
      <c r="R396" s="264"/>
      <c r="S396" s="264"/>
      <c r="T396" s="264"/>
      <c r="U396" s="264"/>
      <c r="V396" s="264"/>
      <c r="W396" s="597"/>
      <c r="X396" s="13"/>
      <c r="Y396" s="13"/>
      <c r="Z396" s="13"/>
      <c r="AA396" s="13"/>
      <c r="AB396" s="10"/>
      <c r="AC396" s="10"/>
      <c r="AD396" s="10"/>
      <c r="AE396" s="10"/>
      <c r="AF396" s="10"/>
      <c r="AG396" s="10"/>
      <c r="AH396" s="10"/>
      <c r="AI396" s="10"/>
      <c r="AJ396" s="10"/>
      <c r="AK396" s="10"/>
      <c r="AL396" s="10"/>
      <c r="AM396" s="10"/>
      <c r="AN396" s="10"/>
      <c r="AO396" s="10"/>
      <c r="AP396" s="10"/>
      <c r="AQ396" s="10"/>
      <c r="AR396" s="10"/>
      <c r="AS396" s="10"/>
      <c r="AT396" s="10"/>
    </row>
    <row r="397" spans="1:46" outlineLevel="1" x14ac:dyDescent="0.2">
      <c r="A397" s="264"/>
      <c r="B397" s="264"/>
      <c r="C397" s="264"/>
      <c r="D397" s="23" t="s">
        <v>126</v>
      </c>
      <c r="E397" s="53">
        <f t="shared" ref="E397:K397" si="242">ROUND(E398*$T$167,0)</f>
        <v>0</v>
      </c>
      <c r="F397" s="53">
        <f t="shared" si="242"/>
        <v>0</v>
      </c>
      <c r="G397" s="53">
        <f t="shared" si="242"/>
        <v>0</v>
      </c>
      <c r="H397" s="53">
        <f t="shared" si="242"/>
        <v>0</v>
      </c>
      <c r="I397" s="53">
        <f t="shared" si="242"/>
        <v>0</v>
      </c>
      <c r="J397" s="53">
        <f t="shared" si="242"/>
        <v>0</v>
      </c>
      <c r="K397" s="53">
        <f t="shared" si="242"/>
        <v>0</v>
      </c>
      <c r="L397" s="264"/>
      <c r="M397" s="264"/>
      <c r="N397" s="264"/>
      <c r="O397" s="264"/>
      <c r="P397" s="264"/>
      <c r="Q397" s="264"/>
      <c r="R397" s="264"/>
      <c r="S397" s="264"/>
      <c r="T397" s="264"/>
      <c r="U397" s="264"/>
      <c r="V397" s="264"/>
      <c r="W397" s="597"/>
      <c r="X397" s="13"/>
      <c r="Y397" s="13"/>
      <c r="Z397" s="13"/>
      <c r="AA397" s="13"/>
      <c r="AB397" s="10"/>
      <c r="AC397" s="10"/>
      <c r="AD397" s="10"/>
      <c r="AE397" s="10"/>
      <c r="AF397" s="10"/>
      <c r="AG397" s="10"/>
      <c r="AH397" s="10"/>
      <c r="AI397" s="10"/>
      <c r="AJ397" s="10"/>
      <c r="AK397" s="10"/>
      <c r="AL397" s="10"/>
      <c r="AM397" s="10"/>
      <c r="AN397" s="10"/>
      <c r="AO397" s="10"/>
      <c r="AP397" s="10"/>
      <c r="AQ397" s="10"/>
      <c r="AR397" s="10"/>
      <c r="AS397" s="10"/>
      <c r="AT397" s="10"/>
    </row>
    <row r="398" spans="1:46" outlineLevel="1" x14ac:dyDescent="0.2">
      <c r="A398" s="264"/>
      <c r="B398" s="264"/>
      <c r="C398" s="264"/>
      <c r="D398" s="458" t="s">
        <v>918</v>
      </c>
      <c r="E398" s="54">
        <f t="shared" ref="E398:K398" si="243">IF(E392="","",E395*E394*E392)</f>
        <v>0</v>
      </c>
      <c r="F398" s="54">
        <f t="shared" si="243"/>
        <v>0</v>
      </c>
      <c r="G398" s="54">
        <f t="shared" si="243"/>
        <v>0</v>
      </c>
      <c r="H398" s="54">
        <f t="shared" si="243"/>
        <v>0</v>
      </c>
      <c r="I398" s="54">
        <f t="shared" si="243"/>
        <v>0</v>
      </c>
      <c r="J398" s="54">
        <f t="shared" si="243"/>
        <v>0</v>
      </c>
      <c r="K398" s="54">
        <f t="shared" si="243"/>
        <v>0</v>
      </c>
      <c r="L398" s="264"/>
      <c r="M398" s="264"/>
      <c r="N398" s="264"/>
      <c r="O398" s="264"/>
      <c r="P398" s="264"/>
      <c r="Q398" s="264"/>
      <c r="R398" s="264"/>
      <c r="S398" s="264"/>
      <c r="T398" s="264"/>
      <c r="U398" s="264"/>
      <c r="V398" s="264"/>
      <c r="W398" s="597"/>
      <c r="X398" s="13"/>
      <c r="Y398" s="13"/>
      <c r="Z398" s="13"/>
      <c r="AA398" s="13"/>
      <c r="AB398" s="10"/>
      <c r="AC398" s="10"/>
      <c r="AD398" s="10"/>
      <c r="AE398" s="10"/>
      <c r="AF398" s="10"/>
      <c r="AG398" s="10"/>
      <c r="AH398" s="10"/>
      <c r="AI398" s="10"/>
      <c r="AJ398" s="10"/>
      <c r="AK398" s="10"/>
      <c r="AL398" s="10"/>
      <c r="AM398" s="10"/>
      <c r="AN398" s="10"/>
      <c r="AO398" s="10"/>
      <c r="AP398" s="10"/>
      <c r="AQ398" s="10"/>
      <c r="AR398" s="10"/>
      <c r="AS398" s="10"/>
      <c r="AT398" s="10"/>
    </row>
    <row r="399" spans="1:46" outlineLevel="1" x14ac:dyDescent="0.2">
      <c r="A399" s="220"/>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572"/>
      <c r="X399" s="13"/>
      <c r="Y399" s="13"/>
      <c r="Z399" s="13"/>
      <c r="AA399" s="13"/>
      <c r="AB399" s="4"/>
      <c r="AC399" s="4"/>
      <c r="AD399" s="4"/>
      <c r="AE399" s="4"/>
      <c r="AF399" s="4"/>
      <c r="AG399" s="4"/>
      <c r="AH399" s="4"/>
      <c r="AI399" s="4"/>
      <c r="AJ399" s="4"/>
      <c r="AK399" s="4"/>
      <c r="AL399" s="4"/>
      <c r="AM399" s="4"/>
      <c r="AN399" s="4"/>
      <c r="AO399" s="4"/>
      <c r="AP399" s="4"/>
      <c r="AQ399" s="4"/>
      <c r="AR399" s="4"/>
      <c r="AS399" s="4"/>
      <c r="AT399" s="4"/>
    </row>
    <row r="400" spans="1:46" x14ac:dyDescent="0.2">
      <c r="A400" s="220"/>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572"/>
      <c r="X400" s="13"/>
      <c r="Y400" s="13"/>
      <c r="Z400" s="13"/>
      <c r="AA400" s="13"/>
      <c r="AB400" s="4"/>
      <c r="AC400" s="4"/>
      <c r="AD400" s="4"/>
      <c r="AE400" s="4"/>
      <c r="AF400" s="4"/>
      <c r="AG400" s="4"/>
      <c r="AH400" s="4"/>
      <c r="AI400" s="4"/>
      <c r="AJ400" s="4"/>
      <c r="AK400" s="4"/>
      <c r="AL400" s="4"/>
      <c r="AM400" s="4"/>
      <c r="AN400" s="4"/>
      <c r="AO400" s="4"/>
      <c r="AP400" s="4"/>
      <c r="AQ400" s="4"/>
      <c r="AR400" s="4"/>
      <c r="AS400" s="4"/>
      <c r="AT400" s="4"/>
    </row>
    <row r="401" spans="1:46" ht="15" x14ac:dyDescent="0.2">
      <c r="A401" s="172"/>
      <c r="B401" s="172"/>
      <c r="C401" s="405">
        <v>19</v>
      </c>
      <c r="D401" s="221" t="str">
        <f>D176</f>
        <v>** NOT USED **</v>
      </c>
      <c r="E401" s="207"/>
      <c r="F401" s="207"/>
      <c r="G401" s="207"/>
      <c r="H401" s="207"/>
      <c r="I401" s="782" t="str">
        <f>IF(D401&lt;&gt;MsgNotUsed,"Co-payment group " &amp; INDEX(CoPayBandMS,C401),"")</f>
        <v/>
      </c>
      <c r="J401" s="782"/>
      <c r="K401" s="207"/>
      <c r="L401" s="207"/>
      <c r="M401" s="207"/>
      <c r="N401" s="207"/>
      <c r="O401" s="207"/>
      <c r="P401" s="207"/>
      <c r="Q401" s="207"/>
      <c r="R401" s="207"/>
      <c r="S401" s="207"/>
      <c r="T401" s="207"/>
      <c r="U401" s="207"/>
      <c r="V401" s="207"/>
      <c r="W401" s="207"/>
      <c r="X401" s="13"/>
      <c r="Y401" s="13"/>
      <c r="Z401" s="13"/>
      <c r="AA401" s="13"/>
      <c r="AB401" s="453"/>
      <c r="AC401" s="453"/>
      <c r="AD401" s="453"/>
      <c r="AE401" s="453"/>
      <c r="AF401" s="453"/>
      <c r="AG401" s="453"/>
      <c r="AH401" s="453"/>
      <c r="AI401" s="453"/>
      <c r="AJ401" s="453"/>
      <c r="AK401" s="453"/>
      <c r="AL401" s="453"/>
      <c r="AM401" s="453"/>
      <c r="AN401" s="453"/>
      <c r="AO401" s="453"/>
      <c r="AP401" s="453"/>
      <c r="AQ401" s="453"/>
      <c r="AR401" s="453"/>
      <c r="AS401" s="453"/>
      <c r="AT401" s="453"/>
    </row>
    <row r="402" spans="1:46" ht="15.75" outlineLevel="1" x14ac:dyDescent="0.2">
      <c r="A402" s="192"/>
      <c r="B402" s="192"/>
      <c r="C402" s="192"/>
      <c r="D402" s="193"/>
      <c r="E402" s="192"/>
      <c r="F402" s="192"/>
      <c r="G402" s="192"/>
      <c r="H402" s="192"/>
      <c r="I402" s="192"/>
      <c r="J402" s="192"/>
      <c r="K402" s="192"/>
      <c r="L402" s="192"/>
      <c r="M402" s="192"/>
      <c r="N402" s="192"/>
      <c r="O402" s="192"/>
      <c r="P402" s="192"/>
      <c r="Q402" s="192"/>
      <c r="R402" s="192"/>
      <c r="S402" s="192"/>
      <c r="T402" s="192"/>
      <c r="U402" s="192"/>
      <c r="V402" s="192"/>
      <c r="W402" s="192"/>
      <c r="X402" s="13"/>
      <c r="Y402" s="13"/>
      <c r="Z402" s="13"/>
      <c r="AA402" s="13"/>
      <c r="AB402" s="3"/>
      <c r="AC402" s="3"/>
      <c r="AD402" s="3"/>
      <c r="AE402" s="3"/>
      <c r="AF402" s="3"/>
      <c r="AG402" s="3"/>
      <c r="AH402" s="3"/>
      <c r="AI402" s="3"/>
      <c r="AJ402" s="3"/>
      <c r="AK402" s="3"/>
      <c r="AL402" s="3"/>
      <c r="AM402" s="3"/>
      <c r="AN402" s="3"/>
      <c r="AO402" s="3"/>
      <c r="AP402" s="3"/>
      <c r="AQ402" s="3"/>
      <c r="AR402" s="3"/>
      <c r="AS402" s="3"/>
      <c r="AT402" s="3"/>
    </row>
    <row r="403" spans="1:46" ht="14.25" customHeight="1" outlineLevel="1" x14ac:dyDescent="0.2">
      <c r="A403" s="220"/>
      <c r="B403" s="220"/>
      <c r="C403" s="220"/>
      <c r="D403" s="15"/>
      <c r="E403" s="87">
        <f>F403-1</f>
        <v>-1</v>
      </c>
      <c r="F403" s="87">
        <f>FirstYear</f>
        <v>0</v>
      </c>
      <c r="G403" s="87">
        <f>F403+1</f>
        <v>1</v>
      </c>
      <c r="H403" s="87">
        <f>G403+1</f>
        <v>2</v>
      </c>
      <c r="I403" s="87">
        <f>H403+1</f>
        <v>3</v>
      </c>
      <c r="J403" s="87">
        <f>I403+1</f>
        <v>4</v>
      </c>
      <c r="K403" s="87">
        <f>J403+1</f>
        <v>5</v>
      </c>
      <c r="L403" s="220"/>
      <c r="M403" s="195"/>
      <c r="N403" s="220"/>
      <c r="O403" s="220"/>
      <c r="P403" s="195"/>
      <c r="Q403" s="220"/>
      <c r="R403" s="220"/>
      <c r="S403" s="220"/>
      <c r="T403" s="220"/>
      <c r="U403" s="220"/>
      <c r="V403" s="220"/>
      <c r="W403" s="572"/>
      <c r="X403" s="13"/>
      <c r="Y403" s="13"/>
      <c r="Z403" s="13"/>
      <c r="AA403" s="13"/>
      <c r="AB403" s="4"/>
      <c r="AC403" s="4"/>
      <c r="AD403" s="4"/>
      <c r="AE403" s="4"/>
      <c r="AF403" s="4"/>
      <c r="AG403" s="4"/>
      <c r="AH403" s="4"/>
      <c r="AI403" s="4"/>
      <c r="AJ403" s="4"/>
      <c r="AK403" s="4"/>
      <c r="AL403" s="4"/>
      <c r="AM403" s="4"/>
      <c r="AN403" s="4"/>
      <c r="AO403" s="4"/>
      <c r="AP403" s="4"/>
      <c r="AQ403" s="4"/>
      <c r="AR403" s="4"/>
      <c r="AS403" s="4"/>
      <c r="AT403" s="4"/>
    </row>
    <row r="404" spans="1:46" outlineLevel="1" x14ac:dyDescent="0.2">
      <c r="A404" s="220"/>
      <c r="B404" s="220"/>
      <c r="C404" s="220"/>
      <c r="D404" s="8" t="s">
        <v>132</v>
      </c>
      <c r="E404" s="53">
        <f>INDEX(ScriptsMSAdditional,$C401) * INDEX(NamesMSAdditional,$C401,3)</f>
        <v>0</v>
      </c>
      <c r="F404" s="53">
        <f t="shared" ref="F404" si="244">IF(E404="","",E404*(1+E405))</f>
        <v>0</v>
      </c>
      <c r="G404" s="53">
        <f t="shared" ref="G404" si="245">IF(F404="","",F404*(1+F405))</f>
        <v>0</v>
      </c>
      <c r="H404" s="53">
        <f t="shared" ref="H404" si="246">IF(G404="","",G404*(1+G405))</f>
        <v>0</v>
      </c>
      <c r="I404" s="53">
        <f t="shared" ref="I404" si="247">IF(H404="","",H404*(1+H405))</f>
        <v>0</v>
      </c>
      <c r="J404" s="53">
        <f>IF(I404="","",I404*(1+I405))</f>
        <v>0</v>
      </c>
      <c r="K404" s="53">
        <f t="shared" ref="K404" si="248">IF(J404="","",J404*(1+J405))</f>
        <v>0</v>
      </c>
      <c r="L404" s="220"/>
      <c r="M404" s="19" t="s">
        <v>292</v>
      </c>
      <c r="N404" s="220"/>
      <c r="O404" s="195"/>
      <c r="P404" s="220"/>
      <c r="Q404" s="220"/>
      <c r="R404" s="195"/>
      <c r="S404" s="195"/>
      <c r="T404" s="195"/>
      <c r="U404" s="195"/>
      <c r="V404" s="195"/>
      <c r="W404" s="595"/>
      <c r="X404" s="13"/>
      <c r="Y404" s="13"/>
      <c r="Z404" s="13"/>
      <c r="AA404" s="13"/>
      <c r="AB404" s="4"/>
      <c r="AC404" s="4"/>
      <c r="AD404" s="4"/>
      <c r="AE404" s="4"/>
      <c r="AF404" s="4"/>
      <c r="AG404" s="4"/>
      <c r="AH404" s="4"/>
      <c r="AI404" s="4"/>
      <c r="AJ404" s="4"/>
      <c r="AK404" s="4"/>
      <c r="AL404" s="4"/>
      <c r="AM404" s="4"/>
      <c r="AN404" s="4"/>
      <c r="AO404" s="4"/>
      <c r="AP404" s="4"/>
      <c r="AQ404" s="4"/>
      <c r="AR404" s="4"/>
      <c r="AS404" s="4"/>
      <c r="AT404" s="4"/>
    </row>
    <row r="405" spans="1:46" outlineLevel="1" x14ac:dyDescent="0.2">
      <c r="A405" s="220"/>
      <c r="B405" s="220"/>
      <c r="C405" s="220"/>
      <c r="D405" s="21" t="s">
        <v>27</v>
      </c>
      <c r="E405" s="49"/>
      <c r="F405" s="49"/>
      <c r="G405" s="49"/>
      <c r="H405" s="49"/>
      <c r="I405" s="49"/>
      <c r="J405" s="49"/>
      <c r="K405" s="48"/>
      <c r="L405" s="220"/>
      <c r="M405" s="838"/>
      <c r="N405" s="839"/>
      <c r="O405" s="839"/>
      <c r="P405" s="220"/>
      <c r="Q405" s="220"/>
      <c r="R405" s="220"/>
      <c r="S405" s="220"/>
      <c r="T405" s="220"/>
      <c r="U405" s="220"/>
      <c r="V405" s="220"/>
      <c r="W405" s="572"/>
      <c r="X405" s="13"/>
      <c r="Y405" s="13"/>
      <c r="Z405" s="13"/>
      <c r="AA405" s="13"/>
      <c r="AB405" s="4"/>
      <c r="AC405" s="4"/>
      <c r="AD405" s="4"/>
      <c r="AE405" s="4"/>
      <c r="AF405" s="4"/>
      <c r="AG405" s="4"/>
      <c r="AH405" s="4"/>
      <c r="AI405" s="4"/>
      <c r="AJ405" s="4"/>
      <c r="AK405" s="4"/>
      <c r="AL405" s="4"/>
      <c r="AM405" s="4"/>
      <c r="AN405" s="4"/>
      <c r="AO405" s="4"/>
      <c r="AP405" s="4"/>
      <c r="AQ405" s="4"/>
      <c r="AR405" s="4"/>
      <c r="AS405" s="4"/>
      <c r="AT405" s="4"/>
    </row>
    <row r="406" spans="1:46" outlineLevel="1" x14ac:dyDescent="0.2">
      <c r="A406" s="220"/>
      <c r="B406" s="220"/>
      <c r="C406" s="220"/>
      <c r="D406" s="21" t="s">
        <v>34</v>
      </c>
      <c r="E406" s="49"/>
      <c r="F406" s="49"/>
      <c r="G406" s="49"/>
      <c r="H406" s="49"/>
      <c r="I406" s="49"/>
      <c r="J406" s="49"/>
      <c r="K406" s="49"/>
      <c r="L406" s="220"/>
      <c r="M406" s="838"/>
      <c r="N406" s="839"/>
      <c r="O406" s="839"/>
      <c r="P406" s="220"/>
      <c r="Q406" s="220"/>
      <c r="R406" s="220"/>
      <c r="S406" s="220"/>
      <c r="T406" s="220"/>
      <c r="U406" s="220"/>
      <c r="V406" s="220"/>
      <c r="W406" s="572"/>
      <c r="X406" s="13"/>
      <c r="Y406" s="13"/>
      <c r="Z406" s="13"/>
      <c r="AA406" s="13"/>
      <c r="AB406" s="4"/>
      <c r="AC406" s="4"/>
      <c r="AD406" s="4"/>
      <c r="AE406" s="4"/>
      <c r="AF406" s="4"/>
      <c r="AG406" s="4"/>
      <c r="AH406" s="4"/>
      <c r="AI406" s="4"/>
      <c r="AJ406" s="4"/>
      <c r="AK406" s="4"/>
      <c r="AL406" s="4"/>
      <c r="AM406" s="4"/>
      <c r="AN406" s="4"/>
      <c r="AO406" s="4"/>
      <c r="AP406" s="4"/>
      <c r="AQ406" s="4"/>
      <c r="AR406" s="4"/>
      <c r="AS406" s="4"/>
      <c r="AT406" s="4"/>
    </row>
    <row r="407" spans="1:46" outlineLevel="1" x14ac:dyDescent="0.2">
      <c r="A407" s="220"/>
      <c r="B407" s="220"/>
      <c r="C407" s="220"/>
      <c r="D407" s="21" t="s">
        <v>923</v>
      </c>
      <c r="E407" s="49"/>
      <c r="F407" s="49"/>
      <c r="G407" s="49"/>
      <c r="H407" s="49"/>
      <c r="I407" s="49"/>
      <c r="J407" s="49"/>
      <c r="K407" s="49"/>
      <c r="L407" s="220"/>
      <c r="M407" s="838"/>
      <c r="N407" s="839"/>
      <c r="O407" s="839"/>
      <c r="P407" s="220"/>
      <c r="Q407" s="220"/>
      <c r="R407" s="220"/>
      <c r="S407" s="220"/>
      <c r="T407" s="220"/>
      <c r="U407" s="220"/>
      <c r="V407" s="220"/>
      <c r="W407" s="572"/>
      <c r="X407" s="13"/>
      <c r="Y407" s="13"/>
      <c r="Z407" s="13"/>
      <c r="AA407" s="13"/>
      <c r="AB407" s="4"/>
      <c r="AC407" s="4"/>
      <c r="AD407" s="4"/>
      <c r="AE407" s="4"/>
      <c r="AF407" s="4"/>
      <c r="AG407" s="4"/>
      <c r="AH407" s="4"/>
      <c r="AI407" s="4"/>
      <c r="AJ407" s="4"/>
      <c r="AK407" s="4"/>
      <c r="AL407" s="4"/>
      <c r="AM407" s="4"/>
      <c r="AN407" s="4"/>
      <c r="AO407" s="4"/>
      <c r="AP407" s="4"/>
      <c r="AQ407" s="4"/>
      <c r="AR407" s="4"/>
      <c r="AS407" s="4"/>
      <c r="AT407" s="4"/>
    </row>
    <row r="408" spans="1:46" outlineLevel="1" x14ac:dyDescent="0.2">
      <c r="A408" s="264"/>
      <c r="B408" s="264"/>
      <c r="C408" s="264"/>
      <c r="D408" s="23" t="s">
        <v>125</v>
      </c>
      <c r="E408" s="53">
        <f t="shared" ref="E408:K408" si="249">E410-E409</f>
        <v>0</v>
      </c>
      <c r="F408" s="53">
        <f t="shared" si="249"/>
        <v>0</v>
      </c>
      <c r="G408" s="53">
        <f t="shared" si="249"/>
        <v>0</v>
      </c>
      <c r="H408" s="53">
        <f t="shared" si="249"/>
        <v>0</v>
      </c>
      <c r="I408" s="53">
        <f t="shared" si="249"/>
        <v>0</v>
      </c>
      <c r="J408" s="53">
        <f t="shared" si="249"/>
        <v>0</v>
      </c>
      <c r="K408" s="53">
        <f t="shared" si="249"/>
        <v>0</v>
      </c>
      <c r="L408" s="264"/>
      <c r="M408" s="264"/>
      <c r="N408" s="264"/>
      <c r="O408" s="264"/>
      <c r="P408" s="264"/>
      <c r="Q408" s="264"/>
      <c r="R408" s="264"/>
      <c r="S408" s="264"/>
      <c r="T408" s="264"/>
      <c r="U408" s="264"/>
      <c r="V408" s="264"/>
      <c r="W408" s="597"/>
      <c r="X408" s="13"/>
      <c r="Y408" s="13"/>
      <c r="Z408" s="13"/>
      <c r="AA408" s="13"/>
      <c r="AB408" s="10"/>
      <c r="AC408" s="10"/>
      <c r="AD408" s="10"/>
      <c r="AE408" s="10"/>
      <c r="AF408" s="10"/>
      <c r="AG408" s="10"/>
      <c r="AH408" s="10"/>
      <c r="AI408" s="10"/>
      <c r="AJ408" s="10"/>
      <c r="AK408" s="10"/>
      <c r="AL408" s="10"/>
      <c r="AM408" s="10"/>
      <c r="AN408" s="10"/>
      <c r="AO408" s="10"/>
      <c r="AP408" s="10"/>
      <c r="AQ408" s="10"/>
      <c r="AR408" s="10"/>
      <c r="AS408" s="10"/>
      <c r="AT408" s="10"/>
    </row>
    <row r="409" spans="1:46" outlineLevel="1" x14ac:dyDescent="0.2">
      <c r="A409" s="264"/>
      <c r="B409" s="264"/>
      <c r="C409" s="264"/>
      <c r="D409" s="23" t="s">
        <v>126</v>
      </c>
      <c r="E409" s="53">
        <f t="shared" ref="E409:K409" si="250">ROUND(E410*$T$167,0)</f>
        <v>0</v>
      </c>
      <c r="F409" s="53">
        <f t="shared" si="250"/>
        <v>0</v>
      </c>
      <c r="G409" s="53">
        <f t="shared" si="250"/>
        <v>0</v>
      </c>
      <c r="H409" s="53">
        <f t="shared" si="250"/>
        <v>0</v>
      </c>
      <c r="I409" s="53">
        <f t="shared" si="250"/>
        <v>0</v>
      </c>
      <c r="J409" s="53">
        <f t="shared" si="250"/>
        <v>0</v>
      </c>
      <c r="K409" s="53">
        <f t="shared" si="250"/>
        <v>0</v>
      </c>
      <c r="L409" s="264"/>
      <c r="M409" s="264"/>
      <c r="N409" s="264"/>
      <c r="O409" s="264"/>
      <c r="P409" s="264"/>
      <c r="Q409" s="264"/>
      <c r="R409" s="264"/>
      <c r="S409" s="264"/>
      <c r="T409" s="264"/>
      <c r="U409" s="264"/>
      <c r="V409" s="264"/>
      <c r="W409" s="597"/>
      <c r="X409" s="13"/>
      <c r="Y409" s="13"/>
      <c r="Z409" s="13"/>
      <c r="AA409" s="13"/>
      <c r="AB409" s="10"/>
      <c r="AC409" s="10"/>
      <c r="AD409" s="10"/>
      <c r="AE409" s="10"/>
      <c r="AF409" s="10"/>
      <c r="AG409" s="10"/>
      <c r="AH409" s="10"/>
      <c r="AI409" s="10"/>
      <c r="AJ409" s="10"/>
      <c r="AK409" s="10"/>
      <c r="AL409" s="10"/>
      <c r="AM409" s="10"/>
      <c r="AN409" s="10"/>
      <c r="AO409" s="10"/>
      <c r="AP409" s="10"/>
      <c r="AQ409" s="10"/>
      <c r="AR409" s="10"/>
      <c r="AS409" s="10"/>
      <c r="AT409" s="10"/>
    </row>
    <row r="410" spans="1:46" outlineLevel="1" x14ac:dyDescent="0.2">
      <c r="A410" s="264"/>
      <c r="B410" s="264"/>
      <c r="C410" s="264"/>
      <c r="D410" s="458" t="s">
        <v>918</v>
      </c>
      <c r="E410" s="54">
        <f t="shared" ref="E410:K410" si="251">IF(E404="","",E407*E406*E404)</f>
        <v>0</v>
      </c>
      <c r="F410" s="54">
        <f t="shared" si="251"/>
        <v>0</v>
      </c>
      <c r="G410" s="54">
        <f t="shared" si="251"/>
        <v>0</v>
      </c>
      <c r="H410" s="54">
        <f t="shared" si="251"/>
        <v>0</v>
      </c>
      <c r="I410" s="54">
        <f t="shared" si="251"/>
        <v>0</v>
      </c>
      <c r="J410" s="54">
        <f t="shared" si="251"/>
        <v>0</v>
      </c>
      <c r="K410" s="54">
        <f t="shared" si="251"/>
        <v>0</v>
      </c>
      <c r="L410" s="264"/>
      <c r="M410" s="264"/>
      <c r="N410" s="264"/>
      <c r="O410" s="264"/>
      <c r="P410" s="264"/>
      <c r="Q410" s="264"/>
      <c r="R410" s="264"/>
      <c r="S410" s="264"/>
      <c r="T410" s="264"/>
      <c r="U410" s="264"/>
      <c r="V410" s="264"/>
      <c r="W410" s="597"/>
      <c r="X410" s="13"/>
      <c r="Y410" s="13"/>
      <c r="Z410" s="13"/>
      <c r="AA410" s="13"/>
      <c r="AB410" s="10"/>
      <c r="AC410" s="10"/>
      <c r="AD410" s="10"/>
      <c r="AE410" s="10"/>
      <c r="AF410" s="10"/>
      <c r="AG410" s="10"/>
      <c r="AH410" s="10"/>
      <c r="AI410" s="10"/>
      <c r="AJ410" s="10"/>
      <c r="AK410" s="10"/>
      <c r="AL410" s="10"/>
      <c r="AM410" s="10"/>
      <c r="AN410" s="10"/>
      <c r="AO410" s="10"/>
      <c r="AP410" s="10"/>
      <c r="AQ410" s="10"/>
      <c r="AR410" s="10"/>
      <c r="AS410" s="10"/>
      <c r="AT410" s="10"/>
    </row>
    <row r="411" spans="1:46" outlineLevel="1" x14ac:dyDescent="0.2">
      <c r="A411" s="220"/>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572"/>
      <c r="X411" s="13"/>
      <c r="Y411" s="13"/>
      <c r="Z411" s="13"/>
      <c r="AA411" s="13"/>
      <c r="AB411" s="4"/>
      <c r="AC411" s="4"/>
      <c r="AD411" s="4"/>
      <c r="AE411" s="4"/>
      <c r="AF411" s="4"/>
      <c r="AG411" s="4"/>
      <c r="AH411" s="4"/>
      <c r="AI411" s="4"/>
      <c r="AJ411" s="4"/>
      <c r="AK411" s="4"/>
      <c r="AL411" s="4"/>
      <c r="AM411" s="4"/>
      <c r="AN411" s="4"/>
      <c r="AO411" s="4"/>
      <c r="AP411" s="4"/>
      <c r="AQ411" s="4"/>
      <c r="AR411" s="4"/>
      <c r="AS411" s="4"/>
      <c r="AT411" s="4"/>
    </row>
    <row r="412" spans="1:46" x14ac:dyDescent="0.2">
      <c r="A412" s="220"/>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572"/>
      <c r="X412" s="13"/>
      <c r="Y412" s="13"/>
      <c r="Z412" s="13"/>
      <c r="AA412" s="13"/>
      <c r="AB412" s="4"/>
      <c r="AC412" s="4"/>
      <c r="AD412" s="4"/>
      <c r="AE412" s="4"/>
      <c r="AF412" s="4"/>
      <c r="AG412" s="4"/>
      <c r="AH412" s="4"/>
      <c r="AI412" s="4"/>
      <c r="AJ412" s="4"/>
      <c r="AK412" s="4"/>
      <c r="AL412" s="4"/>
      <c r="AM412" s="4"/>
      <c r="AN412" s="4"/>
      <c r="AO412" s="4"/>
      <c r="AP412" s="4"/>
      <c r="AQ412" s="4"/>
      <c r="AR412" s="4"/>
      <c r="AS412" s="4"/>
      <c r="AT412" s="4"/>
    </row>
    <row r="413" spans="1:46" ht="15" x14ac:dyDescent="0.2">
      <c r="A413" s="172"/>
      <c r="B413" s="172"/>
      <c r="C413" s="405">
        <v>20</v>
      </c>
      <c r="D413" s="221" t="str">
        <f>D177</f>
        <v>** NOT USED **</v>
      </c>
      <c r="E413" s="207"/>
      <c r="F413" s="207"/>
      <c r="G413" s="207"/>
      <c r="H413" s="207"/>
      <c r="I413" s="782" t="str">
        <f>IF(D413&lt;&gt;MsgNotUsed,"Co-payment group " &amp; INDEX(CoPayBandMS,C413),"")</f>
        <v/>
      </c>
      <c r="J413" s="782"/>
      <c r="K413" s="207"/>
      <c r="L413" s="207"/>
      <c r="M413" s="207"/>
      <c r="N413" s="207"/>
      <c r="O413" s="207"/>
      <c r="P413" s="207"/>
      <c r="Q413" s="207"/>
      <c r="R413" s="207"/>
      <c r="S413" s="207"/>
      <c r="T413" s="207"/>
      <c r="U413" s="207"/>
      <c r="V413" s="207"/>
      <c r="W413" s="207"/>
      <c r="X413" s="13"/>
      <c r="Y413" s="13"/>
      <c r="Z413" s="13"/>
      <c r="AA413" s="13"/>
      <c r="AB413" s="453"/>
      <c r="AC413" s="453"/>
      <c r="AD413" s="453"/>
      <c r="AE413" s="453"/>
      <c r="AF413" s="453"/>
      <c r="AG413" s="453"/>
      <c r="AH413" s="453"/>
      <c r="AI413" s="453"/>
      <c r="AJ413" s="453"/>
      <c r="AK413" s="453"/>
      <c r="AL413" s="453"/>
      <c r="AM413" s="453"/>
      <c r="AN413" s="453"/>
      <c r="AO413" s="453"/>
      <c r="AP413" s="453"/>
      <c r="AQ413" s="453"/>
      <c r="AR413" s="453"/>
      <c r="AS413" s="453"/>
      <c r="AT413" s="453"/>
    </row>
    <row r="414" spans="1:46" ht="15.75" outlineLevel="1" x14ac:dyDescent="0.2">
      <c r="A414" s="192"/>
      <c r="B414" s="192"/>
      <c r="C414" s="192"/>
      <c r="D414" s="193"/>
      <c r="E414" s="192"/>
      <c r="F414" s="192"/>
      <c r="G414" s="192"/>
      <c r="H414" s="192"/>
      <c r="I414" s="192"/>
      <c r="J414" s="192"/>
      <c r="K414" s="192"/>
      <c r="L414" s="192"/>
      <c r="M414" s="192"/>
      <c r="N414" s="192"/>
      <c r="O414" s="192"/>
      <c r="P414" s="192"/>
      <c r="Q414" s="192"/>
      <c r="R414" s="192"/>
      <c r="S414" s="192"/>
      <c r="T414" s="192"/>
      <c r="U414" s="192"/>
      <c r="V414" s="192"/>
      <c r="W414" s="192"/>
      <c r="X414" s="13"/>
      <c r="Y414" s="13"/>
      <c r="Z414" s="13"/>
      <c r="AA414" s="13"/>
      <c r="AB414" s="3"/>
      <c r="AC414" s="3"/>
      <c r="AD414" s="3"/>
      <c r="AE414" s="3"/>
      <c r="AF414" s="3"/>
      <c r="AG414" s="3"/>
      <c r="AH414" s="3"/>
      <c r="AI414" s="3"/>
      <c r="AJ414" s="3"/>
      <c r="AK414" s="3"/>
      <c r="AL414" s="3"/>
      <c r="AM414" s="3"/>
      <c r="AN414" s="3"/>
      <c r="AO414" s="3"/>
      <c r="AP414" s="3"/>
      <c r="AQ414" s="3"/>
      <c r="AR414" s="3"/>
      <c r="AS414" s="3"/>
      <c r="AT414" s="3"/>
    </row>
    <row r="415" spans="1:46" ht="14.25" customHeight="1" outlineLevel="1" x14ac:dyDescent="0.2">
      <c r="A415" s="220"/>
      <c r="B415" s="220"/>
      <c r="C415" s="220"/>
      <c r="D415" s="15"/>
      <c r="E415" s="87">
        <f>F415-1</f>
        <v>-1</v>
      </c>
      <c r="F415" s="87">
        <f>FirstYear</f>
        <v>0</v>
      </c>
      <c r="G415" s="87">
        <f>F415+1</f>
        <v>1</v>
      </c>
      <c r="H415" s="87">
        <f>G415+1</f>
        <v>2</v>
      </c>
      <c r="I415" s="87">
        <f>H415+1</f>
        <v>3</v>
      </c>
      <c r="J415" s="87">
        <f>I415+1</f>
        <v>4</v>
      </c>
      <c r="K415" s="87">
        <f>J415+1</f>
        <v>5</v>
      </c>
      <c r="L415" s="220"/>
      <c r="M415" s="195"/>
      <c r="N415" s="220"/>
      <c r="O415" s="220"/>
      <c r="P415" s="195"/>
      <c r="Q415" s="220"/>
      <c r="R415" s="220"/>
      <c r="S415" s="220"/>
      <c r="T415" s="220"/>
      <c r="U415" s="220"/>
      <c r="V415" s="220"/>
      <c r="W415" s="572"/>
      <c r="X415" s="13"/>
      <c r="Y415" s="13"/>
      <c r="Z415" s="13"/>
      <c r="AA415" s="13"/>
      <c r="AB415" s="4"/>
      <c r="AC415" s="4"/>
      <c r="AD415" s="4"/>
      <c r="AE415" s="4"/>
      <c r="AF415" s="4"/>
      <c r="AG415" s="4"/>
      <c r="AH415" s="4"/>
      <c r="AI415" s="4"/>
      <c r="AJ415" s="4"/>
      <c r="AK415" s="4"/>
      <c r="AL415" s="4"/>
      <c r="AM415" s="4"/>
      <c r="AN415" s="4"/>
      <c r="AO415" s="4"/>
      <c r="AP415" s="4"/>
      <c r="AQ415" s="4"/>
      <c r="AR415" s="4"/>
      <c r="AS415" s="4"/>
      <c r="AT415" s="4"/>
    </row>
    <row r="416" spans="1:46" outlineLevel="1" x14ac:dyDescent="0.2">
      <c r="A416" s="220"/>
      <c r="B416" s="220"/>
      <c r="C416" s="220"/>
      <c r="D416" s="8" t="s">
        <v>132</v>
      </c>
      <c r="E416" s="53">
        <f>INDEX(ScriptsMSAdditional,$C413) * INDEX(NamesMSAdditional,$C413,3)</f>
        <v>0</v>
      </c>
      <c r="F416" s="53">
        <f t="shared" ref="F416" si="252">IF(E416="","",E416*(1+E417))</f>
        <v>0</v>
      </c>
      <c r="G416" s="53">
        <f t="shared" ref="G416" si="253">IF(F416="","",F416*(1+F417))</f>
        <v>0</v>
      </c>
      <c r="H416" s="53">
        <f t="shared" ref="H416" si="254">IF(G416="","",G416*(1+G417))</f>
        <v>0</v>
      </c>
      <c r="I416" s="53">
        <f t="shared" ref="I416" si="255">IF(H416="","",H416*(1+H417))</f>
        <v>0</v>
      </c>
      <c r="J416" s="53">
        <f>IF(I416="","",I416*(1+I417))</f>
        <v>0</v>
      </c>
      <c r="K416" s="53">
        <f t="shared" ref="K416" si="256">IF(J416="","",J416*(1+J417))</f>
        <v>0</v>
      </c>
      <c r="L416" s="220"/>
      <c r="M416" s="19" t="s">
        <v>292</v>
      </c>
      <c r="N416" s="220"/>
      <c r="O416" s="195"/>
      <c r="P416" s="220"/>
      <c r="Q416" s="220"/>
      <c r="R416" s="195"/>
      <c r="S416" s="195"/>
      <c r="T416" s="195"/>
      <c r="U416" s="195"/>
      <c r="V416" s="195"/>
      <c r="W416" s="595"/>
      <c r="X416" s="13"/>
      <c r="Y416" s="13"/>
      <c r="Z416" s="13"/>
      <c r="AA416" s="13"/>
      <c r="AB416" s="4"/>
      <c r="AC416" s="4"/>
      <c r="AD416" s="4"/>
      <c r="AE416" s="4"/>
      <c r="AF416" s="4"/>
      <c r="AG416" s="4"/>
      <c r="AH416" s="4"/>
      <c r="AI416" s="4"/>
      <c r="AJ416" s="4"/>
      <c r="AK416" s="4"/>
      <c r="AL416" s="4"/>
      <c r="AM416" s="4"/>
      <c r="AN416" s="4"/>
      <c r="AO416" s="4"/>
      <c r="AP416" s="4"/>
      <c r="AQ416" s="4"/>
      <c r="AR416" s="4"/>
      <c r="AS416" s="4"/>
      <c r="AT416" s="4"/>
    </row>
    <row r="417" spans="1:46" outlineLevel="1" x14ac:dyDescent="0.2">
      <c r="A417" s="220"/>
      <c r="B417" s="220"/>
      <c r="C417" s="220"/>
      <c r="D417" s="21" t="s">
        <v>27</v>
      </c>
      <c r="E417" s="49"/>
      <c r="F417" s="49"/>
      <c r="G417" s="49"/>
      <c r="H417" s="49"/>
      <c r="I417" s="49"/>
      <c r="J417" s="49"/>
      <c r="K417" s="48"/>
      <c r="L417" s="220"/>
      <c r="M417" s="838"/>
      <c r="N417" s="839"/>
      <c r="O417" s="839"/>
      <c r="P417" s="220"/>
      <c r="Q417" s="220"/>
      <c r="R417" s="220"/>
      <c r="S417" s="220"/>
      <c r="T417" s="220"/>
      <c r="U417" s="220"/>
      <c r="V417" s="220"/>
      <c r="W417" s="572"/>
      <c r="X417" s="13"/>
      <c r="Y417" s="13"/>
      <c r="Z417" s="13"/>
      <c r="AA417" s="13"/>
      <c r="AB417" s="4"/>
      <c r="AC417" s="4"/>
      <c r="AD417" s="4"/>
      <c r="AE417" s="4"/>
      <c r="AF417" s="4"/>
      <c r="AG417" s="4"/>
      <c r="AH417" s="4"/>
      <c r="AI417" s="4"/>
      <c r="AJ417" s="4"/>
      <c r="AK417" s="4"/>
      <c r="AL417" s="4"/>
      <c r="AM417" s="4"/>
      <c r="AN417" s="4"/>
      <c r="AO417" s="4"/>
      <c r="AP417" s="4"/>
      <c r="AQ417" s="4"/>
      <c r="AR417" s="4"/>
      <c r="AS417" s="4"/>
      <c r="AT417" s="4"/>
    </row>
    <row r="418" spans="1:46" outlineLevel="1" x14ac:dyDescent="0.2">
      <c r="A418" s="220"/>
      <c r="B418" s="220"/>
      <c r="C418" s="220"/>
      <c r="D418" s="21" t="s">
        <v>34</v>
      </c>
      <c r="E418" s="49"/>
      <c r="F418" s="49"/>
      <c r="G418" s="49"/>
      <c r="H418" s="49"/>
      <c r="I418" s="49"/>
      <c r="J418" s="49"/>
      <c r="K418" s="49"/>
      <c r="L418" s="220"/>
      <c r="M418" s="838"/>
      <c r="N418" s="839"/>
      <c r="O418" s="839"/>
      <c r="P418" s="220"/>
      <c r="Q418" s="220"/>
      <c r="R418" s="220"/>
      <c r="S418" s="220"/>
      <c r="T418" s="220"/>
      <c r="U418" s="220"/>
      <c r="V418" s="220"/>
      <c r="W418" s="572"/>
      <c r="X418" s="13"/>
      <c r="Y418" s="13"/>
      <c r="Z418" s="13"/>
      <c r="AA418" s="13"/>
      <c r="AB418" s="4"/>
      <c r="AC418" s="4"/>
      <c r="AD418" s="4"/>
      <c r="AE418" s="4"/>
      <c r="AF418" s="4"/>
      <c r="AG418" s="4"/>
      <c r="AH418" s="4"/>
      <c r="AI418" s="4"/>
      <c r="AJ418" s="4"/>
      <c r="AK418" s="4"/>
      <c r="AL418" s="4"/>
      <c r="AM418" s="4"/>
      <c r="AN418" s="4"/>
      <c r="AO418" s="4"/>
      <c r="AP418" s="4"/>
      <c r="AQ418" s="4"/>
      <c r="AR418" s="4"/>
      <c r="AS418" s="4"/>
      <c r="AT418" s="4"/>
    </row>
    <row r="419" spans="1:46" outlineLevel="1" x14ac:dyDescent="0.2">
      <c r="A419" s="220"/>
      <c r="B419" s="220"/>
      <c r="C419" s="220"/>
      <c r="D419" s="21" t="s">
        <v>923</v>
      </c>
      <c r="E419" s="49"/>
      <c r="F419" s="49"/>
      <c r="G419" s="49"/>
      <c r="H419" s="49"/>
      <c r="I419" s="49"/>
      <c r="J419" s="49"/>
      <c r="K419" s="49"/>
      <c r="L419" s="220"/>
      <c r="M419" s="838"/>
      <c r="N419" s="839"/>
      <c r="O419" s="839"/>
      <c r="P419" s="220"/>
      <c r="Q419" s="220"/>
      <c r="R419" s="220"/>
      <c r="S419" s="220"/>
      <c r="T419" s="220"/>
      <c r="U419" s="220"/>
      <c r="V419" s="220"/>
      <c r="W419" s="572"/>
      <c r="X419" s="13"/>
      <c r="Y419" s="13"/>
      <c r="Z419" s="13"/>
      <c r="AA419" s="13"/>
      <c r="AB419" s="4"/>
      <c r="AC419" s="4"/>
      <c r="AD419" s="4"/>
      <c r="AE419" s="4"/>
      <c r="AF419" s="4"/>
      <c r="AG419" s="4"/>
      <c r="AH419" s="4"/>
      <c r="AI419" s="4"/>
      <c r="AJ419" s="4"/>
      <c r="AK419" s="4"/>
      <c r="AL419" s="4"/>
      <c r="AM419" s="4"/>
      <c r="AN419" s="4"/>
      <c r="AO419" s="4"/>
      <c r="AP419" s="4"/>
      <c r="AQ419" s="4"/>
      <c r="AR419" s="4"/>
      <c r="AS419" s="4"/>
      <c r="AT419" s="4"/>
    </row>
    <row r="420" spans="1:46" outlineLevel="1" x14ac:dyDescent="0.2">
      <c r="A420" s="264"/>
      <c r="B420" s="264"/>
      <c r="C420" s="264"/>
      <c r="D420" s="23" t="s">
        <v>125</v>
      </c>
      <c r="E420" s="53">
        <f t="shared" ref="E420:K420" si="257">E422-E421</f>
        <v>0</v>
      </c>
      <c r="F420" s="53">
        <f t="shared" si="257"/>
        <v>0</v>
      </c>
      <c r="G420" s="53">
        <f t="shared" si="257"/>
        <v>0</v>
      </c>
      <c r="H420" s="53">
        <f t="shared" si="257"/>
        <v>0</v>
      </c>
      <c r="I420" s="53">
        <f t="shared" si="257"/>
        <v>0</v>
      </c>
      <c r="J420" s="53">
        <f t="shared" si="257"/>
        <v>0</v>
      </c>
      <c r="K420" s="53">
        <f t="shared" si="257"/>
        <v>0</v>
      </c>
      <c r="L420" s="264"/>
      <c r="M420" s="264"/>
      <c r="N420" s="264"/>
      <c r="O420" s="264"/>
      <c r="P420" s="264"/>
      <c r="Q420" s="264"/>
      <c r="R420" s="264"/>
      <c r="S420" s="264"/>
      <c r="T420" s="264"/>
      <c r="U420" s="264"/>
      <c r="V420" s="264"/>
      <c r="W420" s="597"/>
      <c r="X420" s="13"/>
      <c r="Y420" s="13"/>
      <c r="Z420" s="13"/>
      <c r="AA420" s="13"/>
      <c r="AB420" s="10"/>
      <c r="AC420" s="10"/>
      <c r="AD420" s="10"/>
      <c r="AE420" s="10"/>
      <c r="AF420" s="10"/>
      <c r="AG420" s="10"/>
      <c r="AH420" s="10"/>
      <c r="AI420" s="10"/>
      <c r="AJ420" s="10"/>
      <c r="AK420" s="10"/>
      <c r="AL420" s="10"/>
      <c r="AM420" s="10"/>
      <c r="AN420" s="10"/>
      <c r="AO420" s="10"/>
      <c r="AP420" s="10"/>
      <c r="AQ420" s="10"/>
      <c r="AR420" s="10"/>
      <c r="AS420" s="10"/>
      <c r="AT420" s="10"/>
    </row>
    <row r="421" spans="1:46" outlineLevel="1" x14ac:dyDescent="0.2">
      <c r="A421" s="264"/>
      <c r="B421" s="264"/>
      <c r="C421" s="264"/>
      <c r="D421" s="23" t="s">
        <v>126</v>
      </c>
      <c r="E421" s="53">
        <f t="shared" ref="E421:K421" si="258">ROUND(E422*$T$167,0)</f>
        <v>0</v>
      </c>
      <c r="F421" s="53">
        <f t="shared" si="258"/>
        <v>0</v>
      </c>
      <c r="G421" s="53">
        <f t="shared" si="258"/>
        <v>0</v>
      </c>
      <c r="H421" s="53">
        <f t="shared" si="258"/>
        <v>0</v>
      </c>
      <c r="I421" s="53">
        <f t="shared" si="258"/>
        <v>0</v>
      </c>
      <c r="J421" s="53">
        <f t="shared" si="258"/>
        <v>0</v>
      </c>
      <c r="K421" s="53">
        <f t="shared" si="258"/>
        <v>0</v>
      </c>
      <c r="L421" s="264"/>
      <c r="M421" s="264"/>
      <c r="N421" s="264"/>
      <c r="O421" s="264"/>
      <c r="P421" s="264"/>
      <c r="Q421" s="264"/>
      <c r="R421" s="264"/>
      <c r="S421" s="264"/>
      <c r="T421" s="264"/>
      <c r="U421" s="264"/>
      <c r="V421" s="264"/>
      <c r="W421" s="597"/>
      <c r="X421" s="13"/>
      <c r="Y421" s="13"/>
      <c r="Z421" s="13"/>
      <c r="AA421" s="13"/>
      <c r="AB421" s="10"/>
      <c r="AC421" s="10"/>
      <c r="AD421" s="10"/>
      <c r="AE421" s="10"/>
      <c r="AF421" s="10"/>
      <c r="AG421" s="10"/>
      <c r="AH421" s="10"/>
      <c r="AI421" s="10"/>
      <c r="AJ421" s="10"/>
      <c r="AK421" s="10"/>
      <c r="AL421" s="10"/>
      <c r="AM421" s="10"/>
      <c r="AN421" s="10"/>
      <c r="AO421" s="10"/>
      <c r="AP421" s="10"/>
      <c r="AQ421" s="10"/>
      <c r="AR421" s="10"/>
      <c r="AS421" s="10"/>
      <c r="AT421" s="10"/>
    </row>
    <row r="422" spans="1:46" outlineLevel="1" x14ac:dyDescent="0.2">
      <c r="A422" s="264"/>
      <c r="B422" s="264"/>
      <c r="C422" s="264"/>
      <c r="D422" s="458" t="s">
        <v>918</v>
      </c>
      <c r="E422" s="54">
        <f t="shared" ref="E422:K422" si="259">IF(E416="","",E419*E418*E416)</f>
        <v>0</v>
      </c>
      <c r="F422" s="54">
        <f t="shared" si="259"/>
        <v>0</v>
      </c>
      <c r="G422" s="54">
        <f t="shared" si="259"/>
        <v>0</v>
      </c>
      <c r="H422" s="54">
        <f t="shared" si="259"/>
        <v>0</v>
      </c>
      <c r="I422" s="54">
        <f t="shared" si="259"/>
        <v>0</v>
      </c>
      <c r="J422" s="54">
        <f t="shared" si="259"/>
        <v>0</v>
      </c>
      <c r="K422" s="54">
        <f t="shared" si="259"/>
        <v>0</v>
      </c>
      <c r="L422" s="264"/>
      <c r="M422" s="264"/>
      <c r="N422" s="264"/>
      <c r="O422" s="264"/>
      <c r="P422" s="264"/>
      <c r="Q422" s="264"/>
      <c r="R422" s="264"/>
      <c r="S422" s="264"/>
      <c r="T422" s="264"/>
      <c r="U422" s="264"/>
      <c r="V422" s="264"/>
      <c r="W422" s="597"/>
      <c r="X422" s="13"/>
      <c r="Y422" s="13"/>
      <c r="Z422" s="13"/>
      <c r="AA422" s="13"/>
      <c r="AB422" s="10"/>
      <c r="AC422" s="10"/>
      <c r="AD422" s="10"/>
      <c r="AE422" s="10"/>
      <c r="AF422" s="10"/>
      <c r="AG422" s="10"/>
      <c r="AH422" s="10"/>
      <c r="AI422" s="10"/>
      <c r="AJ422" s="10"/>
      <c r="AK422" s="10"/>
      <c r="AL422" s="10"/>
      <c r="AM422" s="10"/>
      <c r="AN422" s="10"/>
      <c r="AO422" s="10"/>
      <c r="AP422" s="10"/>
      <c r="AQ422" s="10"/>
      <c r="AR422" s="10"/>
      <c r="AS422" s="10"/>
      <c r="AT422" s="10"/>
    </row>
    <row r="423" spans="1:46" outlineLevel="1" x14ac:dyDescent="0.2">
      <c r="A423" s="220"/>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572"/>
      <c r="X423" s="13"/>
      <c r="Y423" s="13"/>
      <c r="Z423" s="13"/>
      <c r="AA423" s="13"/>
      <c r="AB423" s="4"/>
      <c r="AC423" s="4"/>
      <c r="AD423" s="4"/>
      <c r="AE423" s="4"/>
      <c r="AF423" s="4"/>
      <c r="AG423" s="4"/>
      <c r="AH423" s="4"/>
      <c r="AI423" s="4"/>
      <c r="AJ423" s="4"/>
      <c r="AK423" s="4"/>
      <c r="AL423" s="4"/>
      <c r="AM423" s="4"/>
      <c r="AN423" s="4"/>
      <c r="AO423" s="4"/>
      <c r="AP423" s="4"/>
      <c r="AQ423" s="4"/>
      <c r="AR423" s="4"/>
      <c r="AS423" s="4"/>
      <c r="AT423" s="4"/>
    </row>
    <row r="424" spans="1:46" x14ac:dyDescent="0.2">
      <c r="A424" s="220"/>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572"/>
      <c r="X424" s="13"/>
      <c r="Y424" s="13"/>
      <c r="Z424" s="13"/>
      <c r="AA424" s="13"/>
      <c r="AB424" s="4"/>
      <c r="AC424" s="4"/>
      <c r="AD424" s="4"/>
      <c r="AE424" s="4"/>
      <c r="AF424" s="4"/>
      <c r="AG424" s="4"/>
      <c r="AH424" s="4"/>
      <c r="AI424" s="4"/>
      <c r="AJ424" s="4"/>
      <c r="AK424" s="4"/>
      <c r="AL424" s="4"/>
      <c r="AM424" s="4"/>
      <c r="AN424" s="4"/>
      <c r="AO424" s="4"/>
      <c r="AP424" s="4"/>
      <c r="AQ424" s="4"/>
      <c r="AR424" s="4"/>
      <c r="AS424" s="4"/>
      <c r="AT424" s="4"/>
    </row>
    <row r="425" spans="1:46" ht="15.75" x14ac:dyDescent="0.2">
      <c r="A425" s="104"/>
      <c r="B425" s="247"/>
      <c r="C425" s="104"/>
      <c r="D425" s="174" t="s">
        <v>950</v>
      </c>
      <c r="E425" s="175"/>
      <c r="F425" s="175"/>
      <c r="G425" s="175"/>
      <c r="H425" s="175"/>
      <c r="I425" s="175"/>
      <c r="J425" s="175"/>
      <c r="K425" s="175"/>
      <c r="L425" s="175"/>
      <c r="M425" s="175"/>
      <c r="N425" s="175"/>
      <c r="O425" s="175"/>
      <c r="P425" s="175"/>
      <c r="Q425" s="175"/>
      <c r="R425" s="175"/>
      <c r="S425" s="175"/>
      <c r="T425" s="175"/>
      <c r="U425" s="175"/>
      <c r="V425" s="175"/>
      <c r="W425" s="175"/>
      <c r="X425" s="13"/>
      <c r="Y425" s="13"/>
      <c r="Z425" s="13"/>
      <c r="AA425" s="13"/>
      <c r="AB425" s="9"/>
      <c r="AC425" s="9"/>
      <c r="AD425" s="9"/>
      <c r="AE425" s="9"/>
      <c r="AF425" s="9"/>
      <c r="AG425" s="9"/>
      <c r="AH425" s="9"/>
      <c r="AI425" s="9"/>
      <c r="AJ425" s="9"/>
      <c r="AK425" s="9"/>
      <c r="AL425" s="9"/>
      <c r="AM425" s="9"/>
      <c r="AN425" s="9"/>
      <c r="AO425" s="9"/>
      <c r="AP425" s="9"/>
      <c r="AQ425" s="9"/>
      <c r="AR425" s="9"/>
      <c r="AS425" s="9"/>
      <c r="AT425" s="9"/>
    </row>
    <row r="426" spans="1:46" x14ac:dyDescent="0.2">
      <c r="A426" s="1"/>
      <c r="B426" s="4"/>
      <c r="C426" s="1"/>
      <c r="D426" s="1"/>
      <c r="E426" s="1"/>
      <c r="F426" s="1"/>
      <c r="G426" s="1"/>
      <c r="H426" s="1"/>
      <c r="I426" s="1"/>
      <c r="J426" s="1"/>
      <c r="K426" s="1"/>
      <c r="L426" s="1"/>
      <c r="M426" s="1"/>
      <c r="N426" s="1"/>
      <c r="O426" s="1"/>
      <c r="P426" s="1"/>
      <c r="Q426" s="1"/>
      <c r="R426" s="1"/>
      <c r="S426" s="1"/>
      <c r="T426" s="1"/>
      <c r="U426" s="1"/>
      <c r="V426" s="4"/>
      <c r="W426" s="571"/>
      <c r="X426" s="13"/>
      <c r="Y426" s="13"/>
      <c r="Z426" s="13"/>
      <c r="AA426" s="13"/>
      <c r="AB426" s="1"/>
      <c r="AC426" s="1"/>
      <c r="AD426" s="1"/>
      <c r="AE426" s="1"/>
      <c r="AF426" s="1"/>
      <c r="AG426" s="1"/>
      <c r="AH426" s="1"/>
      <c r="AI426" s="1"/>
      <c r="AJ426" s="1"/>
      <c r="AK426" s="1"/>
      <c r="AL426" s="1"/>
      <c r="AM426" s="1"/>
      <c r="AN426" s="1"/>
      <c r="AO426" s="1"/>
      <c r="AP426" s="1"/>
      <c r="AQ426" s="1"/>
      <c r="AR426" s="1"/>
      <c r="AS426" s="1"/>
      <c r="AT426" s="1"/>
    </row>
    <row r="427" spans="1:46" x14ac:dyDescent="0.2">
      <c r="A427" s="1"/>
      <c r="B427" s="4"/>
      <c r="C427" s="1"/>
      <c r="D427" s="1" t="s">
        <v>24</v>
      </c>
      <c r="E427" s="1"/>
      <c r="F427" s="1"/>
      <c r="G427" s="1"/>
      <c r="H427" s="1"/>
      <c r="I427" s="1"/>
      <c r="J427" s="1"/>
      <c r="K427" s="1"/>
      <c r="L427" s="1"/>
      <c r="M427" s="1"/>
      <c r="N427" s="1"/>
      <c r="O427" s="1"/>
      <c r="P427" s="1"/>
      <c r="Q427" s="1"/>
      <c r="R427" s="1"/>
      <c r="S427" s="1"/>
      <c r="T427" s="1"/>
      <c r="U427" s="1"/>
      <c r="V427" s="4"/>
      <c r="W427" s="571"/>
      <c r="X427" s="13"/>
      <c r="Y427" s="13"/>
      <c r="Z427" s="13"/>
      <c r="AA427" s="13"/>
      <c r="AB427" s="1"/>
      <c r="AC427" s="1"/>
      <c r="AD427" s="1"/>
      <c r="AE427" s="1"/>
      <c r="AF427" s="1"/>
      <c r="AG427" s="1"/>
      <c r="AH427" s="1"/>
      <c r="AI427" s="1"/>
      <c r="AJ427" s="1"/>
      <c r="AK427" s="1"/>
      <c r="AL427" s="1"/>
      <c r="AM427" s="1"/>
      <c r="AN427" s="1"/>
      <c r="AO427" s="1"/>
      <c r="AP427" s="1"/>
      <c r="AQ427" s="1"/>
      <c r="AR427" s="1"/>
      <c r="AS427" s="1"/>
      <c r="AT427" s="1"/>
    </row>
  </sheetData>
  <mergeCells count="196">
    <mergeCell ref="H1:N1"/>
    <mergeCell ref="Q131:R131"/>
    <mergeCell ref="I181:J181"/>
    <mergeCell ref="M405:O405"/>
    <mergeCell ref="M406:O406"/>
    <mergeCell ref="M407:O407"/>
    <mergeCell ref="M417:O417"/>
    <mergeCell ref="M418:O418"/>
    <mergeCell ref="M333:O333"/>
    <mergeCell ref="M334:O334"/>
    <mergeCell ref="M335:O335"/>
    <mergeCell ref="M345:O345"/>
    <mergeCell ref="M346:O346"/>
    <mergeCell ref="M347:O347"/>
    <mergeCell ref="M357:O357"/>
    <mergeCell ref="M358:O358"/>
    <mergeCell ref="M359:O359"/>
    <mergeCell ref="M311:O311"/>
    <mergeCell ref="M321:O321"/>
    <mergeCell ref="M322:O322"/>
    <mergeCell ref="M323:O323"/>
    <mergeCell ref="M309:O309"/>
    <mergeCell ref="M310:O310"/>
    <mergeCell ref="M213:O213"/>
    <mergeCell ref="M419:O419"/>
    <mergeCell ref="M369:O369"/>
    <mergeCell ref="M370:O370"/>
    <mergeCell ref="M371:O371"/>
    <mergeCell ref="M381:O381"/>
    <mergeCell ref="M382:O382"/>
    <mergeCell ref="M383:O383"/>
    <mergeCell ref="M393:O393"/>
    <mergeCell ref="M394:O394"/>
    <mergeCell ref="M395:O395"/>
    <mergeCell ref="E175:G175"/>
    <mergeCell ref="M189:O189"/>
    <mergeCell ref="E172:G172"/>
    <mergeCell ref="E173:G173"/>
    <mergeCell ref="E174:G174"/>
    <mergeCell ref="E176:G176"/>
    <mergeCell ref="I185:J185"/>
    <mergeCell ref="I197:J197"/>
    <mergeCell ref="I209:J209"/>
    <mergeCell ref="E177:G177"/>
    <mergeCell ref="E152:G152"/>
    <mergeCell ref="E166:G166"/>
    <mergeCell ref="E167:G167"/>
    <mergeCell ref="E168:G168"/>
    <mergeCell ref="E169:G169"/>
    <mergeCell ref="E170:G170"/>
    <mergeCell ref="E171:G171"/>
    <mergeCell ref="E158:G158"/>
    <mergeCell ref="E159:G159"/>
    <mergeCell ref="E165:G165"/>
    <mergeCell ref="E160:G160"/>
    <mergeCell ref="T107:W107"/>
    <mergeCell ref="E107:G107"/>
    <mergeCell ref="E108:G108"/>
    <mergeCell ref="E112:G112"/>
    <mergeCell ref="E157:G157"/>
    <mergeCell ref="E109:G109"/>
    <mergeCell ref="E110:G110"/>
    <mergeCell ref="E111:G111"/>
    <mergeCell ref="T111:W111"/>
    <mergeCell ref="T112:W112"/>
    <mergeCell ref="T109:W109"/>
    <mergeCell ref="T110:W110"/>
    <mergeCell ref="E143:G143"/>
    <mergeCell ref="E144:G144"/>
    <mergeCell ref="E145:G145"/>
    <mergeCell ref="E146:G146"/>
    <mergeCell ref="E142:G142"/>
    <mergeCell ref="T123:W123"/>
    <mergeCell ref="T124:W124"/>
    <mergeCell ref="E115:G115"/>
    <mergeCell ref="E134:G134"/>
    <mergeCell ref="E133:G133"/>
    <mergeCell ref="E140:G140"/>
    <mergeCell ref="E141:G141"/>
    <mergeCell ref="AI45:AT45"/>
    <mergeCell ref="AI46:AN46"/>
    <mergeCell ref="AO46:AT46"/>
    <mergeCell ref="P71:Q71"/>
    <mergeCell ref="E75:J75"/>
    <mergeCell ref="L75:Q75"/>
    <mergeCell ref="I100:J100"/>
    <mergeCell ref="E106:G106"/>
    <mergeCell ref="AO103:AT103"/>
    <mergeCell ref="R102:U102"/>
    <mergeCell ref="T106:W106"/>
    <mergeCell ref="T104:W104"/>
    <mergeCell ref="E104:G104"/>
    <mergeCell ref="E105:G105"/>
    <mergeCell ref="T105:W105"/>
    <mergeCell ref="AI101:AT101"/>
    <mergeCell ref="AI103:AN103"/>
    <mergeCell ref="I102:O102"/>
    <mergeCell ref="I71:J71"/>
    <mergeCell ref="AO71:AT71"/>
    <mergeCell ref="AI70:AT70"/>
    <mergeCell ref="E46:J46"/>
    <mergeCell ref="L46:Q46"/>
    <mergeCell ref="AI71:AN71"/>
    <mergeCell ref="T116:W116"/>
    <mergeCell ref="I129:O129"/>
    <mergeCell ref="T113:W113"/>
    <mergeCell ref="T108:W108"/>
    <mergeCell ref="T117:W117"/>
    <mergeCell ref="T118:W118"/>
    <mergeCell ref="T119:W119"/>
    <mergeCell ref="E120:G120"/>
    <mergeCell ref="T120:W120"/>
    <mergeCell ref="E114:G114"/>
    <mergeCell ref="T114:W114"/>
    <mergeCell ref="E117:G117"/>
    <mergeCell ref="E118:G118"/>
    <mergeCell ref="E119:G119"/>
    <mergeCell ref="T121:W121"/>
    <mergeCell ref="T122:W122"/>
    <mergeCell ref="E123:G123"/>
    <mergeCell ref="E124:G124"/>
    <mergeCell ref="T115:W115"/>
    <mergeCell ref="I12:O12"/>
    <mergeCell ref="E14:J14"/>
    <mergeCell ref="E164:G164"/>
    <mergeCell ref="E113:G113"/>
    <mergeCell ref="E161:G161"/>
    <mergeCell ref="E163:G163"/>
    <mergeCell ref="E162:G162"/>
    <mergeCell ref="E121:G121"/>
    <mergeCell ref="E147:G147"/>
    <mergeCell ref="E148:G148"/>
    <mergeCell ref="E149:G149"/>
    <mergeCell ref="E150:G150"/>
    <mergeCell ref="E151:G151"/>
    <mergeCell ref="E122:G122"/>
    <mergeCell ref="E138:G138"/>
    <mergeCell ref="E132:G132"/>
    <mergeCell ref="E139:G139"/>
    <mergeCell ref="E116:G116"/>
    <mergeCell ref="I42:J42"/>
    <mergeCell ref="I155:J155"/>
    <mergeCell ref="E135:G135"/>
    <mergeCell ref="E136:G136"/>
    <mergeCell ref="E137:G137"/>
    <mergeCell ref="L14:Q14"/>
    <mergeCell ref="M261:O261"/>
    <mergeCell ref="M262:O262"/>
    <mergeCell ref="M263:O263"/>
    <mergeCell ref="M273:O273"/>
    <mergeCell ref="M274:O274"/>
    <mergeCell ref="M238:O238"/>
    <mergeCell ref="M239:O239"/>
    <mergeCell ref="M249:O249"/>
    <mergeCell ref="M250:O250"/>
    <mergeCell ref="M251:O251"/>
    <mergeCell ref="N131:O131"/>
    <mergeCell ref="J131:M131"/>
    <mergeCell ref="I127:J127"/>
    <mergeCell ref="M227:O227"/>
    <mergeCell ref="M237:O237"/>
    <mergeCell ref="M201:O201"/>
    <mergeCell ref="M202:O202"/>
    <mergeCell ref="P42:Q42"/>
    <mergeCell ref="M203:O203"/>
    <mergeCell ref="M191:O191"/>
    <mergeCell ref="M214:O214"/>
    <mergeCell ref="M226:O226"/>
    <mergeCell ref="M215:O215"/>
    <mergeCell ref="M225:O225"/>
    <mergeCell ref="M190:O190"/>
    <mergeCell ref="I221:J221"/>
    <mergeCell ref="I341:J341"/>
    <mergeCell ref="I353:J353"/>
    <mergeCell ref="I365:J365"/>
    <mergeCell ref="I377:J377"/>
    <mergeCell ref="I389:J389"/>
    <mergeCell ref="I401:J401"/>
    <mergeCell ref="I413:J413"/>
    <mergeCell ref="Y14:Y15"/>
    <mergeCell ref="I233:J233"/>
    <mergeCell ref="I245:J245"/>
    <mergeCell ref="I257:J257"/>
    <mergeCell ref="I269:J269"/>
    <mergeCell ref="I281:J281"/>
    <mergeCell ref="I293:J293"/>
    <mergeCell ref="I305:J305"/>
    <mergeCell ref="I317:J317"/>
    <mergeCell ref="I329:J329"/>
    <mergeCell ref="M298:O298"/>
    <mergeCell ref="M299:O299"/>
    <mergeCell ref="M275:O275"/>
    <mergeCell ref="M285:O285"/>
    <mergeCell ref="M286:O286"/>
    <mergeCell ref="M287:O287"/>
    <mergeCell ref="M297:O297"/>
  </mergeCells>
  <conditionalFormatting sqref="E105:W105">
    <cfRule type="expression" dxfId="480" priority="128">
      <formula>$D105=""</formula>
    </cfRule>
  </conditionalFormatting>
  <conditionalFormatting sqref="K190:K191 M189:O191 E189:J191">
    <cfRule type="expression" dxfId="479" priority="122">
      <formula>$D$185=MsgNotUsed</formula>
    </cfRule>
  </conditionalFormatting>
  <conditionalFormatting sqref="K202:K203 M201:O203 E201:J203">
    <cfRule type="expression" dxfId="478" priority="121">
      <formula>$D$197=MsgNotUsed</formula>
    </cfRule>
  </conditionalFormatting>
  <conditionalFormatting sqref="K214:K215 M213:O215 E213:J215">
    <cfRule type="expression" dxfId="477" priority="120">
      <formula>$D$209=MsgNotUsed</formula>
    </cfRule>
  </conditionalFormatting>
  <conditionalFormatting sqref="K226:K227 M225:O227 E225:J227">
    <cfRule type="expression" dxfId="476" priority="119">
      <formula>$D$221=MsgNotUsed</formula>
    </cfRule>
  </conditionalFormatting>
  <conditionalFormatting sqref="K238:K239 M237:O239 E237:J239">
    <cfRule type="expression" dxfId="475" priority="118">
      <formula>$D$233=MsgNotUsed</formula>
    </cfRule>
  </conditionalFormatting>
  <conditionalFormatting sqref="K250:K251 M249:O251 E249:J251">
    <cfRule type="expression" dxfId="474" priority="117">
      <formula>$D$245=MsgNotUsed</formula>
    </cfRule>
  </conditionalFormatting>
  <conditionalFormatting sqref="K262:K263 M261:O263 E261:J263">
    <cfRule type="expression" dxfId="473" priority="116">
      <formula>$D$257=MsgNotUsed</formula>
    </cfRule>
  </conditionalFormatting>
  <conditionalFormatting sqref="K274:K275 M273:O275 E273:J275">
    <cfRule type="expression" dxfId="472" priority="115">
      <formula>$D$269=MsgNotUsed</formula>
    </cfRule>
  </conditionalFormatting>
  <conditionalFormatting sqref="K286:K287 M285:O287 E285:J287">
    <cfRule type="expression" dxfId="471" priority="114">
      <formula>$D$281=MsgNotUsed</formula>
    </cfRule>
  </conditionalFormatting>
  <conditionalFormatting sqref="K298:K299 M297:O299 E297:J299">
    <cfRule type="expression" dxfId="470" priority="113">
      <formula>$D$293=MsgNotUsed</formula>
    </cfRule>
  </conditionalFormatting>
  <conditionalFormatting sqref="E135:O135 Q135:S135">
    <cfRule type="expression" dxfId="469" priority="112">
      <formula>$D$135=""</formula>
    </cfRule>
  </conditionalFormatting>
  <conditionalFormatting sqref="E136:O136 Q136:S136">
    <cfRule type="expression" dxfId="468" priority="111">
      <formula>$D$136=""</formula>
    </cfRule>
  </conditionalFormatting>
  <conditionalFormatting sqref="E137:O137 Q137:S137">
    <cfRule type="expression" dxfId="467" priority="110">
      <formula>$D$137=""</formula>
    </cfRule>
  </conditionalFormatting>
  <conditionalFormatting sqref="E138:O138 Q138:S138">
    <cfRule type="expression" dxfId="466" priority="109">
      <formula>$D$138=""</formula>
    </cfRule>
  </conditionalFormatting>
  <conditionalFormatting sqref="E139:O139 Q139:S139">
    <cfRule type="expression" dxfId="465" priority="108">
      <formula>$D$139=""</formula>
    </cfRule>
  </conditionalFormatting>
  <conditionalFormatting sqref="E140:O140 Q140:S140">
    <cfRule type="expression" dxfId="464" priority="107">
      <formula>$D$140=""</formula>
    </cfRule>
  </conditionalFormatting>
  <conditionalFormatting sqref="E141:O141 Q141:S141">
    <cfRule type="expression" dxfId="463" priority="106">
      <formula>$D$141=""</formula>
    </cfRule>
  </conditionalFormatting>
  <conditionalFormatting sqref="E142:O142 Q142:S142">
    <cfRule type="expression" dxfId="462" priority="105">
      <formula>$D$142=""</formula>
    </cfRule>
  </conditionalFormatting>
  <conditionalFormatting sqref="E108:W108">
    <cfRule type="expression" dxfId="461" priority="102">
      <formula>$D$108=""</formula>
    </cfRule>
  </conditionalFormatting>
  <conditionalFormatting sqref="E109:W109">
    <cfRule type="expression" dxfId="460" priority="101">
      <formula>$D$109=""</formula>
    </cfRule>
  </conditionalFormatting>
  <conditionalFormatting sqref="E110:W110">
    <cfRule type="expression" dxfId="459" priority="100">
      <formula>$D$110=""</formula>
    </cfRule>
  </conditionalFormatting>
  <conditionalFormatting sqref="E111:W111">
    <cfRule type="expression" dxfId="458" priority="99">
      <formula>$D$111=""</formula>
    </cfRule>
  </conditionalFormatting>
  <conditionalFormatting sqref="E112:W112">
    <cfRule type="expression" dxfId="457" priority="98">
      <formula>$D$112=""</formula>
    </cfRule>
  </conditionalFormatting>
  <conditionalFormatting sqref="E113:W113">
    <cfRule type="expression" dxfId="456" priority="97">
      <formula>$D$113=""</formula>
    </cfRule>
  </conditionalFormatting>
  <conditionalFormatting sqref="E114:W114">
    <cfRule type="expression" dxfId="455" priority="96">
      <formula>$D$114=""</formula>
    </cfRule>
  </conditionalFormatting>
  <conditionalFormatting sqref="E106:W106">
    <cfRule type="expression" dxfId="454" priority="94">
      <formula>$D$106=""</formula>
    </cfRule>
  </conditionalFormatting>
  <conditionalFormatting sqref="E107:W107">
    <cfRule type="expression" dxfId="453" priority="93">
      <formula>$D$107=""</formula>
    </cfRule>
  </conditionalFormatting>
  <conditionalFormatting sqref="E158:T158">
    <cfRule type="expression" dxfId="452" priority="81">
      <formula>$D$158=MsgNotUsed</formula>
    </cfRule>
  </conditionalFormatting>
  <conditionalFormatting sqref="E159:T159">
    <cfRule type="expression" dxfId="451" priority="80">
      <formula>$D$159=MsgNotUsed</formula>
    </cfRule>
  </conditionalFormatting>
  <conditionalFormatting sqref="E160:T160">
    <cfRule type="expression" dxfId="450" priority="79">
      <formula>$D$160=MsgNotUsed</formula>
    </cfRule>
  </conditionalFormatting>
  <conditionalFormatting sqref="E161:T161">
    <cfRule type="expression" dxfId="449" priority="78">
      <formula>$D$161=MsgNotUsed</formula>
    </cfRule>
  </conditionalFormatting>
  <conditionalFormatting sqref="E162:T162">
    <cfRule type="expression" dxfId="448" priority="77">
      <formula>$D$162=MsgNotUsed</formula>
    </cfRule>
  </conditionalFormatting>
  <conditionalFormatting sqref="E163:T163">
    <cfRule type="expression" dxfId="447" priority="76">
      <formula>$D$163=MsgNotUsed</formula>
    </cfRule>
  </conditionalFormatting>
  <conditionalFormatting sqref="E164:T164">
    <cfRule type="expression" dxfId="446" priority="75">
      <formula>$D$164=MsgNotUsed</formula>
    </cfRule>
  </conditionalFormatting>
  <conditionalFormatting sqref="E165:T165">
    <cfRule type="expression" dxfId="445" priority="74">
      <formula>$D$165=MsgNotUsed</formula>
    </cfRule>
  </conditionalFormatting>
  <conditionalFormatting sqref="E166:T166">
    <cfRule type="expression" dxfId="444" priority="73">
      <formula>$D$166=MsgNotUsed</formula>
    </cfRule>
  </conditionalFormatting>
  <conditionalFormatting sqref="E167:T167">
    <cfRule type="expression" dxfId="443" priority="72">
      <formula>$D$167=MsgNotUsed</formula>
    </cfRule>
  </conditionalFormatting>
  <conditionalFormatting sqref="I129:O129 I12:O12">
    <cfRule type="notContainsBlanks" dxfId="442" priority="130">
      <formula>LEN(TRIM(I12))&gt;0</formula>
    </cfRule>
  </conditionalFormatting>
  <conditionalFormatting sqref="E143:O143 Q143:S143">
    <cfRule type="expression" dxfId="441" priority="69">
      <formula>$D$143=""</formula>
    </cfRule>
  </conditionalFormatting>
  <conditionalFormatting sqref="E144:O144 Q144:S144">
    <cfRule type="expression" dxfId="440" priority="68">
      <formula>$D$144=""</formula>
    </cfRule>
  </conditionalFormatting>
  <conditionalFormatting sqref="E145:O145 Q145:S145">
    <cfRule type="expression" dxfId="439" priority="67">
      <formula>$D$145=""</formula>
    </cfRule>
  </conditionalFormatting>
  <conditionalFormatting sqref="E146:O146 Q146:S146">
    <cfRule type="expression" dxfId="438" priority="66">
      <formula>$D$146=""</formula>
    </cfRule>
  </conditionalFormatting>
  <conditionalFormatting sqref="E147:O147 Q147:S147">
    <cfRule type="expression" dxfId="437" priority="65">
      <formula>$D$147=""</formula>
    </cfRule>
  </conditionalFormatting>
  <conditionalFormatting sqref="E148:O148 Q148:S148">
    <cfRule type="expression" dxfId="436" priority="64">
      <formula>$D$148=""</formula>
    </cfRule>
  </conditionalFormatting>
  <conditionalFormatting sqref="E149:O149 Q149:S149">
    <cfRule type="expression" dxfId="435" priority="63">
      <formula>$D$149=""</formula>
    </cfRule>
  </conditionalFormatting>
  <conditionalFormatting sqref="E150:O150 Q150:S150">
    <cfRule type="expression" dxfId="434" priority="62">
      <formula>$D$150=""</formula>
    </cfRule>
  </conditionalFormatting>
  <conditionalFormatting sqref="E151:O151 Q151:S151">
    <cfRule type="expression" dxfId="433" priority="61">
      <formula>$D$151=""</formula>
    </cfRule>
  </conditionalFormatting>
  <conditionalFormatting sqref="E152:O152 Q152:S152">
    <cfRule type="expression" dxfId="432" priority="60">
      <formula>$D$152=""</formula>
    </cfRule>
  </conditionalFormatting>
  <conditionalFormatting sqref="E115:W115">
    <cfRule type="expression" dxfId="431" priority="59">
      <formula>$D$115=""</formula>
    </cfRule>
  </conditionalFormatting>
  <conditionalFormatting sqref="E116:W116">
    <cfRule type="expression" dxfId="430" priority="58">
      <formula>$D$116=""</formula>
    </cfRule>
  </conditionalFormatting>
  <conditionalFormatting sqref="E117:W117">
    <cfRule type="expression" dxfId="429" priority="57">
      <formula>$D$117=""</formula>
    </cfRule>
  </conditionalFormatting>
  <conditionalFormatting sqref="E118:W118">
    <cfRule type="expression" dxfId="428" priority="56">
      <formula>$D$118=""</formula>
    </cfRule>
  </conditionalFormatting>
  <conditionalFormatting sqref="E119:W119">
    <cfRule type="expression" dxfId="427" priority="55">
      <formula>$D$119=""</formula>
    </cfRule>
  </conditionalFormatting>
  <conditionalFormatting sqref="E120:W120">
    <cfRule type="expression" dxfId="426" priority="54">
      <formula>$D$120=""</formula>
    </cfRule>
  </conditionalFormatting>
  <conditionalFormatting sqref="E121:W121">
    <cfRule type="expression" dxfId="425" priority="53">
      <formula>$D$121=""</formula>
    </cfRule>
  </conditionalFormatting>
  <conditionalFormatting sqref="E122:W122">
    <cfRule type="expression" dxfId="424" priority="52">
      <formula>$D$122=""</formula>
    </cfRule>
  </conditionalFormatting>
  <conditionalFormatting sqref="E123:W123">
    <cfRule type="expression" dxfId="423" priority="51">
      <formula>$D$123=""</formula>
    </cfRule>
  </conditionalFormatting>
  <conditionalFormatting sqref="E124:W124">
    <cfRule type="expression" dxfId="422" priority="50">
      <formula>$D$124=""</formula>
    </cfRule>
  </conditionalFormatting>
  <conditionalFormatting sqref="E134:O134 Q134:S134">
    <cfRule type="expression" dxfId="421" priority="49">
      <formula>$D$134=""</formula>
    </cfRule>
  </conditionalFormatting>
  <conditionalFormatting sqref="E168:T168">
    <cfRule type="expression" dxfId="420" priority="47">
      <formula>$D$168=MsgNotUsed</formula>
    </cfRule>
  </conditionalFormatting>
  <conditionalFormatting sqref="E169:T169">
    <cfRule type="expression" dxfId="419" priority="46">
      <formula>$D$169=MsgNotUsed</formula>
    </cfRule>
  </conditionalFormatting>
  <conditionalFormatting sqref="E170:T170">
    <cfRule type="expression" dxfId="418" priority="45">
      <formula>$D$170=MsgNotUsed</formula>
    </cfRule>
  </conditionalFormatting>
  <conditionalFormatting sqref="E171:T171">
    <cfRule type="expression" dxfId="417" priority="44">
      <formula>$D$171=MsgNotUsed</formula>
    </cfRule>
  </conditionalFormatting>
  <conditionalFormatting sqref="E172:T172">
    <cfRule type="expression" dxfId="416" priority="43">
      <formula>$D$172=MsgNotUsed</formula>
    </cfRule>
  </conditionalFormatting>
  <conditionalFormatting sqref="E173:T173">
    <cfRule type="expression" dxfId="415" priority="42">
      <formula>$D$173=MsgNotUsed</formula>
    </cfRule>
  </conditionalFormatting>
  <conditionalFormatting sqref="E174:T174">
    <cfRule type="expression" dxfId="414" priority="41">
      <formula>$D$174=MsgNotUsed</formula>
    </cfRule>
  </conditionalFormatting>
  <conditionalFormatting sqref="E175:T175">
    <cfRule type="expression" dxfId="413" priority="40">
      <formula>$D$175=MsgNotUsed</formula>
    </cfRule>
  </conditionalFormatting>
  <conditionalFormatting sqref="E176:T176">
    <cfRule type="expression" dxfId="412" priority="39">
      <formula>$D$176=MsgNotUsed</formula>
    </cfRule>
  </conditionalFormatting>
  <conditionalFormatting sqref="E177:T177">
    <cfRule type="expression" dxfId="411" priority="38">
      <formula>$D$177=MsgNotUsed</formula>
    </cfRule>
  </conditionalFormatting>
  <conditionalFormatting sqref="K310:K311 M309:O311 E309:J311">
    <cfRule type="expression" dxfId="410" priority="37">
      <formula>$D$305=MsgNotUsed</formula>
    </cfRule>
  </conditionalFormatting>
  <conditionalFormatting sqref="K322:K323 M321:O323 E321:J323">
    <cfRule type="expression" dxfId="409" priority="36">
      <formula>$D$317=MsgNotUsed</formula>
    </cfRule>
  </conditionalFormatting>
  <conditionalFormatting sqref="K334:K335 M333:O335 E333:J335">
    <cfRule type="expression" dxfId="408" priority="35">
      <formula>$D$329=MsgNotUsed</formula>
    </cfRule>
  </conditionalFormatting>
  <conditionalFormatting sqref="K346:K347 M345:O347 E345:J347">
    <cfRule type="expression" dxfId="407" priority="34">
      <formula>$D$341=MsgNotUsed</formula>
    </cfRule>
  </conditionalFormatting>
  <conditionalFormatting sqref="K358:K359 M357:O359 E357:J359">
    <cfRule type="expression" dxfId="406" priority="33">
      <formula>$D$353=MsgNotUsed</formula>
    </cfRule>
  </conditionalFormatting>
  <conditionalFormatting sqref="K370:K371 M369:O371 E369:J371">
    <cfRule type="expression" dxfId="405" priority="32">
      <formula>$D$365=MsgNotUsed</formula>
    </cfRule>
  </conditionalFormatting>
  <conditionalFormatting sqref="K382:K383 M381:O383 E381:J383">
    <cfRule type="expression" dxfId="404" priority="31">
      <formula>$D$377=MsgNotUsed</formula>
    </cfRule>
  </conditionalFormatting>
  <conditionalFormatting sqref="K394:K395 M393:O395 E393:J395">
    <cfRule type="expression" dxfId="403" priority="30">
      <formula>$D$389=MsgNotUsed</formula>
    </cfRule>
  </conditionalFormatting>
  <conditionalFormatting sqref="K406:K407 M405:O407 E405:J407">
    <cfRule type="expression" dxfId="402" priority="29">
      <formula>$D$401=MsgNotUsed</formula>
    </cfRule>
  </conditionalFormatting>
  <conditionalFormatting sqref="K418:K419 M417:O419 E417:J419">
    <cfRule type="expression" dxfId="401" priority="28">
      <formula>$D$413=MsgNotUsed</formula>
    </cfRule>
  </conditionalFormatting>
  <conditionalFormatting sqref="AO105:AT124">
    <cfRule type="expression" dxfId="400" priority="26">
      <formula>$AO$103=MsgNotUsed</formula>
    </cfRule>
  </conditionalFormatting>
  <conditionalFormatting sqref="AO48:AT67">
    <cfRule type="expression" dxfId="399" priority="25">
      <formula>$AO$46=MsgNotUsed</formula>
    </cfRule>
  </conditionalFormatting>
  <conditionalFormatting sqref="E133:O133 Q133:S133">
    <cfRule type="expression" dxfId="398" priority="23">
      <formula>$D$133=""</formula>
    </cfRule>
  </conditionalFormatting>
  <conditionalFormatting sqref="P102">
    <cfRule type="notContainsBlanks" dxfId="397" priority="22">
      <formula>LEN(TRIM(P102))&gt;0</formula>
    </cfRule>
  </conditionalFormatting>
  <conditionalFormatting sqref="P135">
    <cfRule type="expression" dxfId="396" priority="21">
      <formula>$D$135=""</formula>
    </cfRule>
  </conditionalFormatting>
  <conditionalFormatting sqref="P136">
    <cfRule type="expression" dxfId="395" priority="20">
      <formula>$D$136=""</formula>
    </cfRule>
  </conditionalFormatting>
  <conditionalFormatting sqref="P137">
    <cfRule type="expression" dxfId="394" priority="19">
      <formula>$D$137=""</formula>
    </cfRule>
  </conditionalFormatting>
  <conditionalFormatting sqref="P138">
    <cfRule type="expression" dxfId="393" priority="18">
      <formula>$D$138=""</formula>
    </cfRule>
  </conditionalFormatting>
  <conditionalFormatting sqref="P139">
    <cfRule type="expression" dxfId="392" priority="17">
      <formula>$D$139=""</formula>
    </cfRule>
  </conditionalFormatting>
  <conditionalFormatting sqref="P140">
    <cfRule type="expression" dxfId="391" priority="16">
      <formula>$D$140=""</formula>
    </cfRule>
  </conditionalFormatting>
  <conditionalFormatting sqref="P141">
    <cfRule type="expression" dxfId="390" priority="15">
      <formula>$D$141=""</formula>
    </cfRule>
  </conditionalFormatting>
  <conditionalFormatting sqref="P142">
    <cfRule type="expression" dxfId="389" priority="14">
      <formula>$D$142=""</formula>
    </cfRule>
  </conditionalFormatting>
  <conditionalFormatting sqref="P143">
    <cfRule type="expression" dxfId="388" priority="13">
      <formula>$D$143=""</formula>
    </cfRule>
  </conditionalFormatting>
  <conditionalFormatting sqref="P144">
    <cfRule type="expression" dxfId="387" priority="12">
      <formula>$D$144=""</formula>
    </cfRule>
  </conditionalFormatting>
  <conditionalFormatting sqref="P145">
    <cfRule type="expression" dxfId="386" priority="11">
      <formula>$D$145=""</formula>
    </cfRule>
  </conditionalFormatting>
  <conditionalFormatting sqref="P146">
    <cfRule type="expression" dxfId="385" priority="10">
      <formula>$D$146=""</formula>
    </cfRule>
  </conditionalFormatting>
  <conditionalFormatting sqref="P147">
    <cfRule type="expression" dxfId="384" priority="9">
      <formula>$D$147=""</formula>
    </cfRule>
  </conditionalFormatting>
  <conditionalFormatting sqref="P148">
    <cfRule type="expression" dxfId="383" priority="8">
      <formula>$D$148=""</formula>
    </cfRule>
  </conditionalFormatting>
  <conditionalFormatting sqref="P149">
    <cfRule type="expression" dxfId="382" priority="7">
      <formula>$D$149=""</formula>
    </cfRule>
  </conditionalFormatting>
  <conditionalFormatting sqref="P150">
    <cfRule type="expression" dxfId="381" priority="6">
      <formula>$D$150=""</formula>
    </cfRule>
  </conditionalFormatting>
  <conditionalFormatting sqref="P151">
    <cfRule type="expression" dxfId="380" priority="5">
      <formula>$D$151=""</formula>
    </cfRule>
  </conditionalFormatting>
  <conditionalFormatting sqref="P152">
    <cfRule type="expression" dxfId="379" priority="4">
      <formula>$D$152=""</formula>
    </cfRule>
  </conditionalFormatting>
  <conditionalFormatting sqref="P134">
    <cfRule type="expression" dxfId="378" priority="3">
      <formula>$D$134=""</formula>
    </cfRule>
  </conditionalFormatting>
  <conditionalFormatting sqref="P133">
    <cfRule type="expression" dxfId="377" priority="2">
      <formula>$D$133=""</formula>
    </cfRule>
  </conditionalFormatting>
  <conditionalFormatting sqref="I102:O102">
    <cfRule type="notContainsBlanks" dxfId="376" priority="1">
      <formula>LEN(TRIM(I102))&gt;0</formula>
    </cfRule>
  </conditionalFormatting>
  <dataValidations count="26">
    <dataValidation type="list" allowBlank="1" showInputMessage="1" showErrorMessage="1" sqref="S133:S152 Q105:Q124">
      <formula1>DisplaceType</formula1>
    </dataValidation>
    <dataValidation type="list" allowBlank="1" showInputMessage="1" showErrorMessage="1" sqref="S105:S124">
      <formula1>PxTxSource</formula1>
    </dataValidation>
    <dataValidation type="list" allowBlank="1" showInputMessage="1" showErrorMessage="1" sqref="M105:M124">
      <formula1>TimeUnit</formula1>
    </dataValidation>
    <dataValidation type="list" allowBlank="1" showInputMessage="1" showErrorMessage="1" sqref="I133:I152 I105:I124">
      <formula1>TPShort</formula1>
    </dataValidation>
    <dataValidation type="list" allowBlank="1" showInputMessage="1" showErrorMessage="1" sqref="T105:W105">
      <formula1>TxPopOld01</formula1>
    </dataValidation>
    <dataValidation type="list" allowBlank="1" showInputMessage="1" showErrorMessage="1" sqref="T106:W106">
      <formula1>TxPopOld02</formula1>
    </dataValidation>
    <dataValidation type="list" allowBlank="1" showInputMessage="1" showErrorMessage="1" sqref="T107:W107">
      <formula1>TxPopOld03</formula1>
    </dataValidation>
    <dataValidation type="list" allowBlank="1" showInputMessage="1" showErrorMessage="1" sqref="T108:W108">
      <formula1>TxPopOld04</formula1>
    </dataValidation>
    <dataValidation type="list" allowBlank="1" showInputMessage="1" showErrorMessage="1" sqref="T109:W109">
      <formula1>TxPopOld05</formula1>
    </dataValidation>
    <dataValidation type="list" allowBlank="1" showInputMessage="1" showErrorMessage="1" sqref="T110:W110">
      <formula1>TxPopOld06</formula1>
    </dataValidation>
    <dataValidation type="list" allowBlank="1" showInputMessage="1" showErrorMessage="1" sqref="T111:W111">
      <formula1>TxPopOld07</formula1>
    </dataValidation>
    <dataValidation type="list" allowBlank="1" showInputMessage="1" showErrorMessage="1" sqref="T112:W112">
      <formula1>TxPopOld08</formula1>
    </dataValidation>
    <dataValidation type="list" allowBlank="1" showInputMessage="1" showErrorMessage="1" sqref="T113:W113">
      <formula1>TxPopOld09</formula1>
    </dataValidation>
    <dataValidation type="list" allowBlank="1" showInputMessage="1" showErrorMessage="1" sqref="T114:W114">
      <formula1>TxPopOld10</formula1>
    </dataValidation>
    <dataValidation type="list" allowBlank="1" showInputMessage="1" showErrorMessage="1" sqref="T124:W124">
      <formula1>TxPopOld20</formula1>
    </dataValidation>
    <dataValidation type="list" allowBlank="1" showInputMessage="1" showErrorMessage="1" sqref="T123:W123">
      <formula1>TxPopOld19</formula1>
    </dataValidation>
    <dataValidation type="list" allowBlank="1" showInputMessage="1" showErrorMessage="1" sqref="T122:W122">
      <formula1>TxPopOld18</formula1>
    </dataValidation>
    <dataValidation type="list" allowBlank="1" showInputMessage="1" showErrorMessage="1" sqref="T121:W121">
      <formula1>TxPopOld17</formula1>
    </dataValidation>
    <dataValidation type="list" allowBlank="1" showInputMessage="1" showErrorMessage="1" sqref="T120:W120">
      <formula1>TxPopOld16</formula1>
    </dataValidation>
    <dataValidation type="list" allowBlank="1" showInputMessage="1" showErrorMessage="1" sqref="T119:W119">
      <formula1>TxPopOld15</formula1>
    </dataValidation>
    <dataValidation type="list" allowBlank="1" showInputMessage="1" showErrorMessage="1" sqref="T118:W118">
      <formula1>TxPopOld14</formula1>
    </dataValidation>
    <dataValidation type="list" allowBlank="1" showInputMessage="1" showErrorMessage="1" sqref="T117:W117">
      <formula1>TxPopOld13</formula1>
    </dataValidation>
    <dataValidation type="list" allowBlank="1" showInputMessage="1" showErrorMessage="1" sqref="T116:W116">
      <formula1>TxPopOld12</formula1>
    </dataValidation>
    <dataValidation type="list" allowBlank="1" showInputMessage="1" showErrorMessage="1" sqref="T115:W115">
      <formula1>TxPopOld11</formula1>
    </dataValidation>
    <dataValidation type="list" allowBlank="1" showInputMessage="1" showErrorMessage="1" sqref="Q133:R152">
      <formula1>Switch</formula1>
    </dataValidation>
    <dataValidation type="list" allowBlank="1" showInputMessage="1" showErrorMessage="1" sqref="P133:P152 P105:P124">
      <formula1>CoPayBands</formula1>
    </dataValidation>
  </dataValidations>
  <pageMargins left="0.11811023622047245" right="0.11811023622047245" top="0.19685039370078741" bottom="0.15748031496062992" header="0.31496062992125984" footer="0.31496062992125984"/>
  <pageSetup paperSize="9" scale="41"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pageSetUpPr fitToPage="1"/>
  </sheetPr>
  <dimension ref="A1:S29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9.140625" customWidth="1"/>
    <col min="15" max="15" width="10.7109375" style="570" hidden="1" customWidth="1"/>
    <col min="16" max="17" width="15.7109375" hidden="1" customWidth="1"/>
    <col min="18" max="19" width="9.140625" hidden="1" customWidth="1"/>
  </cols>
  <sheetData>
    <row r="1" spans="1:13" ht="23.25" x14ac:dyDescent="0.2">
      <c r="A1" s="477">
        <f>IF((SUM(D24:I24)&lt;&gt;0),2,0)</f>
        <v>0</v>
      </c>
      <c r="B1" s="473"/>
      <c r="C1" s="474" t="s">
        <v>1022</v>
      </c>
      <c r="D1" s="474"/>
      <c r="E1" s="474"/>
      <c r="F1" s="473"/>
      <c r="G1" s="473"/>
      <c r="H1" s="473"/>
      <c r="I1" s="473"/>
      <c r="J1" s="473"/>
      <c r="K1" s="835" t="str">
        <f>IF(A1=0,MsgNotUsed,"")</f>
        <v>** NOT USED **</v>
      </c>
      <c r="L1" s="835"/>
      <c r="M1" s="835"/>
    </row>
    <row r="2" spans="1:13" ht="15.75" x14ac:dyDescent="0.2">
      <c r="A2" s="473"/>
      <c r="B2" s="473"/>
      <c r="C2" s="475" t="str">
        <f>CONCATENATE("Name of medicine: ", MedicineBrand)</f>
        <v>Name of medicine:  (®)</v>
      </c>
      <c r="D2" s="476"/>
      <c r="E2" s="476"/>
      <c r="F2" s="473"/>
      <c r="G2" s="473"/>
      <c r="H2" s="473"/>
      <c r="I2" s="473"/>
      <c r="J2" s="473"/>
      <c r="K2" s="473"/>
      <c r="L2" s="473"/>
      <c r="M2" s="473"/>
    </row>
    <row r="3" spans="1:13" ht="15.75" x14ac:dyDescent="0.2">
      <c r="A3" s="473"/>
      <c r="B3" s="473"/>
      <c r="C3" s="475" t="str">
        <f>CONCATENATE("Indication: ",Indication)</f>
        <v xml:space="preserve">Indication: </v>
      </c>
      <c r="D3" s="476"/>
      <c r="E3" s="476"/>
      <c r="F3" s="473"/>
      <c r="G3" s="473"/>
      <c r="H3" s="473"/>
      <c r="I3" s="473"/>
      <c r="J3" s="473"/>
      <c r="K3" s="473"/>
      <c r="L3" s="473"/>
      <c r="M3" s="473"/>
    </row>
    <row r="4" spans="1:13" s="575" customFormat="1" x14ac:dyDescent="0.2">
      <c r="A4" s="600"/>
      <c r="B4" s="600"/>
      <c r="C4" s="714"/>
      <c r="D4" s="714"/>
      <c r="E4" s="714"/>
      <c r="F4" s="600"/>
      <c r="G4" s="600"/>
      <c r="H4" s="600"/>
      <c r="I4" s="600"/>
      <c r="J4" s="600"/>
      <c r="K4" s="600"/>
      <c r="L4" s="600"/>
      <c r="M4" s="600"/>
    </row>
    <row r="5" spans="1:13" ht="15.75" x14ac:dyDescent="0.2">
      <c r="A5" s="173"/>
      <c r="B5" s="173"/>
      <c r="C5" s="174" t="s">
        <v>2</v>
      </c>
      <c r="D5" s="174"/>
      <c r="E5" s="174"/>
      <c r="F5" s="214"/>
      <c r="G5" s="178"/>
      <c r="H5" s="178"/>
      <c r="I5" s="178"/>
      <c r="J5" s="178"/>
      <c r="K5" s="177"/>
      <c r="L5" s="177"/>
      <c r="M5" s="177"/>
    </row>
    <row r="6" spans="1:13" ht="14.25" x14ac:dyDescent="0.2">
      <c r="A6" s="171"/>
      <c r="B6" s="171"/>
      <c r="C6" s="209"/>
      <c r="D6" s="209"/>
      <c r="E6" s="209"/>
      <c r="F6" s="215"/>
      <c r="G6" s="171"/>
      <c r="H6" s="171"/>
      <c r="I6" s="171"/>
      <c r="J6" s="171"/>
      <c r="K6" s="171"/>
      <c r="L6" s="171"/>
      <c r="M6" s="171"/>
    </row>
    <row r="7" spans="1:13" x14ac:dyDescent="0.2">
      <c r="A7" s="171"/>
      <c r="B7" s="171"/>
      <c r="C7" s="572" t="s">
        <v>844</v>
      </c>
      <c r="D7" s="6"/>
      <c r="E7" s="6"/>
      <c r="F7" s="6"/>
      <c r="G7" s="6"/>
      <c r="H7" s="6"/>
      <c r="I7" s="6"/>
      <c r="J7" s="6"/>
      <c r="K7" s="6"/>
      <c r="L7" s="6"/>
      <c r="M7" s="6"/>
    </row>
    <row r="8" spans="1:13" x14ac:dyDescent="0.2">
      <c r="A8" s="171"/>
      <c r="B8" s="171"/>
      <c r="C8" s="36"/>
      <c r="D8" s="36"/>
      <c r="E8" s="36"/>
      <c r="F8" s="229"/>
      <c r="G8" s="229"/>
      <c r="H8" s="229"/>
      <c r="I8" s="229"/>
      <c r="J8" s="229"/>
      <c r="K8" s="229"/>
      <c r="L8" s="229"/>
      <c r="M8" s="229"/>
    </row>
    <row r="9" spans="1:13" x14ac:dyDescent="0.2">
      <c r="A9" s="171"/>
      <c r="B9" s="171"/>
      <c r="C9" s="6"/>
      <c r="D9" s="6"/>
      <c r="E9" s="6"/>
      <c r="F9" s="6"/>
      <c r="G9" s="6"/>
      <c r="H9" s="6"/>
      <c r="I9" s="6"/>
      <c r="J9" s="6"/>
      <c r="K9" s="6"/>
      <c r="L9" s="6"/>
      <c r="M9" s="6"/>
    </row>
    <row r="10" spans="1:13" ht="15.75" x14ac:dyDescent="0.2">
      <c r="A10" s="176"/>
      <c r="B10" s="176"/>
      <c r="C10" s="174" t="s">
        <v>946</v>
      </c>
      <c r="D10" s="174"/>
      <c r="E10" s="174"/>
      <c r="F10" s="214"/>
      <c r="G10" s="178"/>
      <c r="H10" s="178"/>
      <c r="I10" s="178"/>
      <c r="J10" s="178"/>
      <c r="K10" s="177"/>
      <c r="L10" s="177"/>
      <c r="M10" s="177"/>
    </row>
    <row r="11" spans="1:13" ht="15.75" x14ac:dyDescent="0.2">
      <c r="A11" s="171"/>
      <c r="B11" s="171"/>
      <c r="C11" s="193"/>
      <c r="D11" s="193"/>
      <c r="E11" s="193"/>
      <c r="F11" s="215"/>
      <c r="G11" s="171"/>
      <c r="H11" s="171"/>
      <c r="I11" s="171"/>
      <c r="J11" s="171"/>
      <c r="K11" s="171"/>
      <c r="L11" s="171"/>
      <c r="M11" s="171"/>
    </row>
    <row r="12" spans="1:13" x14ac:dyDescent="0.2">
      <c r="A12" s="171"/>
      <c r="B12" s="171"/>
      <c r="C12" s="211" t="s">
        <v>904</v>
      </c>
      <c r="D12" s="211"/>
      <c r="E12" s="211"/>
      <c r="F12" s="211"/>
      <c r="G12" s="211"/>
      <c r="H12" s="211"/>
      <c r="I12" s="211"/>
      <c r="J12" s="211"/>
      <c r="K12" s="211"/>
      <c r="L12" s="211"/>
      <c r="M12" s="211"/>
    </row>
    <row r="13" spans="1:13" x14ac:dyDescent="0.2">
      <c r="A13" s="171"/>
      <c r="B13" s="171"/>
      <c r="C13" s="213"/>
      <c r="D13" s="213"/>
      <c r="E13" s="213"/>
      <c r="F13" s="171"/>
      <c r="G13" s="171"/>
      <c r="H13" s="171"/>
      <c r="I13" s="171"/>
      <c r="J13" s="171"/>
      <c r="K13" s="171"/>
      <c r="L13" s="213"/>
      <c r="M13" s="213"/>
    </row>
    <row r="14" spans="1:13" ht="15.75" x14ac:dyDescent="0.2">
      <c r="A14" s="171"/>
      <c r="B14" s="171"/>
      <c r="C14" s="193" t="s">
        <v>119</v>
      </c>
      <c r="D14" s="112">
        <f>FirstYear</f>
        <v>0</v>
      </c>
      <c r="E14" s="112">
        <f>D14+1</f>
        <v>1</v>
      </c>
      <c r="F14" s="112">
        <f>E14+1</f>
        <v>2</v>
      </c>
      <c r="G14" s="112">
        <f>F14+1</f>
        <v>3</v>
      </c>
      <c r="H14" s="112">
        <f>G14+1</f>
        <v>4</v>
      </c>
      <c r="I14" s="112">
        <f>H14+1</f>
        <v>5</v>
      </c>
      <c r="J14" s="171"/>
      <c r="K14" s="171"/>
      <c r="L14" s="171"/>
      <c r="M14" s="171"/>
    </row>
    <row r="15" spans="1:13" x14ac:dyDescent="0.2">
      <c r="A15" s="171"/>
      <c r="B15" s="171"/>
      <c r="C15" s="115" t="s">
        <v>104</v>
      </c>
      <c r="D15" s="397">
        <f>D31+D43+D55+D67+D79+D91+D103+D115+D127+D139+D151+D163+D175+D187+D199+D211+D223+D235+D247+D259</f>
        <v>0</v>
      </c>
      <c r="E15" s="397">
        <f t="shared" ref="E15:I16" si="0">E31+E43+E55+E67+E79+E91+E103+E115+E127+E139+E151+E163+E175+E187+E199+E211+E223+E235+E247+E259</f>
        <v>0</v>
      </c>
      <c r="F15" s="397">
        <f t="shared" si="0"/>
        <v>0</v>
      </c>
      <c r="G15" s="397">
        <f t="shared" si="0"/>
        <v>0</v>
      </c>
      <c r="H15" s="397">
        <f t="shared" si="0"/>
        <v>0</v>
      </c>
      <c r="I15" s="397">
        <f t="shared" si="0"/>
        <v>0</v>
      </c>
      <c r="J15" s="171"/>
      <c r="K15" s="171"/>
      <c r="L15" s="171"/>
      <c r="M15" s="171"/>
    </row>
    <row r="16" spans="1:13" x14ac:dyDescent="0.2">
      <c r="A16" s="171"/>
      <c r="B16" s="171"/>
      <c r="C16" s="11" t="s">
        <v>129</v>
      </c>
      <c r="D16" s="397">
        <f>D32+D44+D56+D68+D80+D92+D104+D116+D128+D140+D152+D164+D176+D188+D200+D212+D224+D236+D248+D260</f>
        <v>0</v>
      </c>
      <c r="E16" s="397">
        <f t="shared" si="0"/>
        <v>0</v>
      </c>
      <c r="F16" s="397">
        <f t="shared" si="0"/>
        <v>0</v>
      </c>
      <c r="G16" s="397">
        <f t="shared" si="0"/>
        <v>0</v>
      </c>
      <c r="H16" s="397">
        <f t="shared" si="0"/>
        <v>0</v>
      </c>
      <c r="I16" s="397">
        <f t="shared" si="0"/>
        <v>0</v>
      </c>
      <c r="J16" s="171"/>
      <c r="K16" s="171"/>
      <c r="L16" s="171"/>
      <c r="M16" s="171"/>
    </row>
    <row r="17" spans="1:13" x14ac:dyDescent="0.2">
      <c r="A17" s="171"/>
      <c r="B17" s="171"/>
      <c r="C17" s="11" t="s">
        <v>106</v>
      </c>
      <c r="D17" s="398">
        <f t="shared" ref="D17:I17" si="1">D15+D16</f>
        <v>0</v>
      </c>
      <c r="E17" s="398">
        <f t="shared" si="1"/>
        <v>0</v>
      </c>
      <c r="F17" s="398">
        <f t="shared" si="1"/>
        <v>0</v>
      </c>
      <c r="G17" s="398">
        <f t="shared" si="1"/>
        <v>0</v>
      </c>
      <c r="H17" s="398">
        <f t="shared" si="1"/>
        <v>0</v>
      </c>
      <c r="I17" s="398">
        <f t="shared" si="1"/>
        <v>0</v>
      </c>
      <c r="J17" s="171"/>
      <c r="K17" s="171"/>
      <c r="L17" s="171"/>
      <c r="M17" s="171"/>
    </row>
    <row r="18" spans="1:13" x14ac:dyDescent="0.2">
      <c r="A18" s="171"/>
      <c r="B18" s="171"/>
      <c r="C18" s="20"/>
      <c r="D18" s="20"/>
      <c r="E18" s="20"/>
      <c r="F18" s="19"/>
      <c r="G18" s="19"/>
      <c r="H18" s="19"/>
      <c r="I18" s="19"/>
      <c r="J18" s="19"/>
      <c r="K18" s="19"/>
      <c r="L18" s="171"/>
      <c r="M18" s="171"/>
    </row>
    <row r="19" spans="1:13" ht="15.75" x14ac:dyDescent="0.2">
      <c r="A19" s="171"/>
      <c r="B19" s="171"/>
      <c r="C19" s="193" t="s">
        <v>120</v>
      </c>
      <c r="D19" s="112">
        <f>FirstYear</f>
        <v>0</v>
      </c>
      <c r="E19" s="112">
        <f>D19+1</f>
        <v>1</v>
      </c>
      <c r="F19" s="112">
        <f>E19+1</f>
        <v>2</v>
      </c>
      <c r="G19" s="112">
        <f>F19+1</f>
        <v>3</v>
      </c>
      <c r="H19" s="112">
        <f>G19+1</f>
        <v>4</v>
      </c>
      <c r="I19" s="112">
        <f>H19+1</f>
        <v>5</v>
      </c>
      <c r="J19" s="171"/>
      <c r="K19" s="171"/>
      <c r="L19" s="171"/>
      <c r="M19" s="171"/>
    </row>
    <row r="20" spans="1:13" x14ac:dyDescent="0.2">
      <c r="A20" s="171"/>
      <c r="B20" s="171"/>
      <c r="C20" s="115" t="s">
        <v>105</v>
      </c>
      <c r="D20" s="396">
        <f>D36+D48+D60+D72+D84+D96+D108+D120+D132+D144+D156+D168+D180+D192+D204+D216+D228+D240+D252+D264</f>
        <v>0</v>
      </c>
      <c r="E20" s="396">
        <f t="shared" ref="E20:I21" si="2">E36+E48+E60+E72+E84+E96+E108+E120+E132+E144+E156+E168+E180+E192+E204+E216+E228+E240+E252+E264</f>
        <v>0</v>
      </c>
      <c r="F20" s="396">
        <f t="shared" si="2"/>
        <v>0</v>
      </c>
      <c r="G20" s="396">
        <f t="shared" si="2"/>
        <v>0</v>
      </c>
      <c r="H20" s="396">
        <f t="shared" si="2"/>
        <v>0</v>
      </c>
      <c r="I20" s="396">
        <f t="shared" si="2"/>
        <v>0</v>
      </c>
      <c r="J20" s="171"/>
      <c r="K20" s="171"/>
      <c r="L20" s="171"/>
      <c r="M20" s="171"/>
    </row>
    <row r="21" spans="1:13" x14ac:dyDescent="0.2">
      <c r="A21" s="171"/>
      <c r="B21" s="171"/>
      <c r="C21" s="11" t="s">
        <v>129</v>
      </c>
      <c r="D21" s="396">
        <f>D37+D49+D61+D73+D85+D97+D109+D121+D133+D145+D157+D169+D181+D193+D205+D217+D229+D241+D253+D265</f>
        <v>0</v>
      </c>
      <c r="E21" s="396">
        <f t="shared" si="2"/>
        <v>0</v>
      </c>
      <c r="F21" s="396">
        <f t="shared" si="2"/>
        <v>0</v>
      </c>
      <c r="G21" s="396">
        <f t="shared" si="2"/>
        <v>0</v>
      </c>
      <c r="H21" s="396">
        <f t="shared" si="2"/>
        <v>0</v>
      </c>
      <c r="I21" s="396">
        <f t="shared" si="2"/>
        <v>0</v>
      </c>
      <c r="J21" s="171"/>
      <c r="K21" s="171"/>
      <c r="L21" s="171"/>
      <c r="M21" s="171"/>
    </row>
    <row r="22" spans="1:13" x14ac:dyDescent="0.2">
      <c r="A22" s="171"/>
      <c r="B22" s="171"/>
      <c r="C22" s="11" t="s">
        <v>107</v>
      </c>
      <c r="D22" s="400">
        <f t="shared" ref="D22:I22" si="3">D20+D21</f>
        <v>0</v>
      </c>
      <c r="E22" s="400">
        <f t="shared" si="3"/>
        <v>0</v>
      </c>
      <c r="F22" s="400">
        <f t="shared" si="3"/>
        <v>0</v>
      </c>
      <c r="G22" s="400">
        <f t="shared" si="3"/>
        <v>0</v>
      </c>
      <c r="H22" s="400">
        <f t="shared" si="3"/>
        <v>0</v>
      </c>
      <c r="I22" s="400">
        <f t="shared" si="3"/>
        <v>0</v>
      </c>
      <c r="J22" s="171"/>
      <c r="K22" s="171"/>
      <c r="L22" s="171"/>
      <c r="M22" s="171"/>
    </row>
    <row r="23" spans="1:13" x14ac:dyDescent="0.2">
      <c r="A23" s="171"/>
      <c r="B23" s="171"/>
      <c r="C23" s="20"/>
      <c r="D23" s="20"/>
      <c r="E23" s="20"/>
      <c r="F23" s="19"/>
      <c r="G23" s="19"/>
      <c r="H23" s="19"/>
      <c r="I23" s="19"/>
      <c r="J23" s="19"/>
      <c r="K23" s="19"/>
      <c r="L23" s="171"/>
      <c r="M23" s="171"/>
    </row>
    <row r="24" spans="1:13" x14ac:dyDescent="0.2">
      <c r="A24" s="171"/>
      <c r="B24" s="171"/>
      <c r="C24" s="386" t="s">
        <v>919</v>
      </c>
      <c r="D24" s="399">
        <f>D22+D17</f>
        <v>0</v>
      </c>
      <c r="E24" s="399">
        <f t="shared" ref="E24:I24" si="4">E22+E17</f>
        <v>0</v>
      </c>
      <c r="F24" s="399">
        <f t="shared" si="4"/>
        <v>0</v>
      </c>
      <c r="G24" s="399">
        <f t="shared" si="4"/>
        <v>0</v>
      </c>
      <c r="H24" s="399">
        <f t="shared" si="4"/>
        <v>0</v>
      </c>
      <c r="I24" s="399">
        <f t="shared" si="4"/>
        <v>0</v>
      </c>
      <c r="J24" s="19"/>
      <c r="K24" s="19"/>
      <c r="L24" s="171"/>
      <c r="M24" s="171"/>
    </row>
    <row r="25" spans="1:13" x14ac:dyDescent="0.2">
      <c r="A25" s="171"/>
      <c r="B25" s="171"/>
      <c r="C25" s="20"/>
      <c r="D25" s="20"/>
      <c r="E25" s="20"/>
      <c r="F25" s="19"/>
      <c r="G25" s="19"/>
      <c r="H25" s="19"/>
      <c r="I25" s="19"/>
      <c r="J25" s="19"/>
      <c r="K25" s="19"/>
      <c r="L25" s="171"/>
      <c r="M25" s="171"/>
    </row>
    <row r="26" spans="1:13" ht="15.75" x14ac:dyDescent="0.2">
      <c r="A26" s="171"/>
      <c r="B26" s="171"/>
      <c r="C26" s="174" t="s">
        <v>947</v>
      </c>
      <c r="D26" s="174"/>
      <c r="E26" s="174"/>
      <c r="F26" s="188"/>
      <c r="G26" s="188"/>
      <c r="H26" s="188"/>
      <c r="I26" s="188"/>
      <c r="J26" s="188"/>
      <c r="K26" s="188"/>
      <c r="L26" s="188"/>
      <c r="M26" s="178"/>
    </row>
    <row r="27" spans="1:13" x14ac:dyDescent="0.2">
      <c r="A27" s="171"/>
      <c r="B27" s="171"/>
      <c r="C27" s="20"/>
      <c r="D27" s="20"/>
      <c r="E27" s="20"/>
      <c r="F27" s="19"/>
      <c r="G27" s="19"/>
      <c r="H27" s="19"/>
      <c r="I27" s="19"/>
      <c r="J27" s="19"/>
      <c r="K27" s="19"/>
      <c r="L27" s="19"/>
      <c r="M27" s="19"/>
    </row>
    <row r="28" spans="1:13" ht="15" x14ac:dyDescent="0.2">
      <c r="A28" s="171"/>
      <c r="B28" s="422">
        <v>1</v>
      </c>
      <c r="C28" s="221" t="str">
        <f>INDEX(PBSScriptsChanged,B28,1)</f>
        <v>** NOT USED **</v>
      </c>
      <c r="D28" s="207"/>
      <c r="E28" s="207"/>
      <c r="F28" s="207"/>
      <c r="G28" s="207"/>
      <c r="H28" s="207"/>
      <c r="I28" s="207"/>
      <c r="J28" s="188"/>
      <c r="K28" s="188"/>
      <c r="L28" s="782" t="str">
        <f>IF(C28&lt;&gt;MsgNotUsed,"Co-payment group " &amp; INDEX(CoPayBandChanged,B28),"")</f>
        <v/>
      </c>
      <c r="M28" s="782"/>
    </row>
    <row r="29" spans="1:13" ht="12.75" customHeight="1" outlineLevel="1" x14ac:dyDescent="0.2">
      <c r="A29" s="171"/>
      <c r="B29" s="352">
        <f>INDEX(SAChanged,B28,5)</f>
        <v>0</v>
      </c>
      <c r="C29" s="20"/>
      <c r="D29" s="419">
        <v>2</v>
      </c>
      <c r="E29" s="419">
        <v>3</v>
      </c>
      <c r="F29" s="201">
        <v>4</v>
      </c>
      <c r="G29" s="201">
        <v>5</v>
      </c>
      <c r="H29" s="201">
        <v>6</v>
      </c>
      <c r="I29" s="201">
        <v>7</v>
      </c>
      <c r="J29" s="19"/>
      <c r="K29" s="19"/>
      <c r="L29" s="19"/>
      <c r="M29" s="19"/>
    </row>
    <row r="30" spans="1:13" ht="12.75" customHeight="1" outlineLevel="1" x14ac:dyDescent="0.2">
      <c r="A30" s="171"/>
      <c r="B30" s="224"/>
      <c r="C30" s="171"/>
      <c r="D30" s="112">
        <f>FirstYear</f>
        <v>0</v>
      </c>
      <c r="E30" s="112">
        <f>D30+1</f>
        <v>1</v>
      </c>
      <c r="F30" s="112">
        <f>E30+1</f>
        <v>2</v>
      </c>
      <c r="G30" s="112">
        <f>F30+1</f>
        <v>3</v>
      </c>
      <c r="H30" s="112">
        <f>G30+1</f>
        <v>4</v>
      </c>
      <c r="I30" s="112">
        <f>H30+1</f>
        <v>5</v>
      </c>
      <c r="J30" s="171"/>
      <c r="K30" s="171"/>
      <c r="L30" s="171"/>
      <c r="M30" s="176"/>
    </row>
    <row r="31" spans="1:13" ht="12.75" customHeight="1" outlineLevel="1" x14ac:dyDescent="0.2">
      <c r="A31" s="171"/>
      <c r="B31" s="422">
        <v>1</v>
      </c>
      <c r="C31" s="115" t="s">
        <v>104</v>
      </c>
      <c r="D31" s="396">
        <f t="shared" ref="D31:I31" si="5">INDEX(PBSScriptsChanged,$B28,D29)*INDEX(DPMQCoPayChangedPub,$B28,$B31)</f>
        <v>0</v>
      </c>
      <c r="E31" s="396">
        <f t="shared" si="5"/>
        <v>0</v>
      </c>
      <c r="F31" s="396">
        <f t="shared" si="5"/>
        <v>0</v>
      </c>
      <c r="G31" s="396">
        <f t="shared" si="5"/>
        <v>0</v>
      </c>
      <c r="H31" s="396">
        <f t="shared" si="5"/>
        <v>0</v>
      </c>
      <c r="I31" s="396">
        <f t="shared" si="5"/>
        <v>0</v>
      </c>
      <c r="J31" s="171"/>
      <c r="K31" s="171"/>
      <c r="L31" s="171"/>
      <c r="M31" s="176"/>
    </row>
    <row r="32" spans="1:13" ht="12.75" customHeight="1" outlineLevel="1" x14ac:dyDescent="0.2">
      <c r="A32" s="171"/>
      <c r="B32" s="422">
        <v>3</v>
      </c>
      <c r="C32" s="11" t="s">
        <v>129</v>
      </c>
      <c r="D32" s="396">
        <f t="shared" ref="D32:I32" si="6">INDEX(PBSScriptsChanged,$B28,D29)*(INDEX(DPMQCoPayChangedPub,$B28,$B32)/INDEX(CoPayCountChanged,$B28))</f>
        <v>0</v>
      </c>
      <c r="E32" s="396">
        <f t="shared" si="6"/>
        <v>0</v>
      </c>
      <c r="F32" s="396">
        <f t="shared" si="6"/>
        <v>0</v>
      </c>
      <c r="G32" s="396">
        <f t="shared" si="6"/>
        <v>0</v>
      </c>
      <c r="H32" s="396">
        <f t="shared" si="6"/>
        <v>0</v>
      </c>
      <c r="I32" s="396">
        <f t="shared" si="6"/>
        <v>0</v>
      </c>
      <c r="J32" s="171"/>
      <c r="K32" s="763" t="str">
        <f>IF(B29&lt;&gt;0,MsgNote&amp;IF(B29="Yes",INDEX(CoPayMethod,1),INDEX(CoPayMethod,2)),"")</f>
        <v/>
      </c>
      <c r="L32" s="763"/>
      <c r="M32" s="763"/>
    </row>
    <row r="33" spans="1:13" ht="12.75" customHeight="1" outlineLevel="1" x14ac:dyDescent="0.2">
      <c r="A33" s="171"/>
      <c r="B33" s="224"/>
      <c r="C33" s="11" t="s">
        <v>106</v>
      </c>
      <c r="D33" s="396">
        <f t="shared" ref="D33:I33" si="7">D31+D32</f>
        <v>0</v>
      </c>
      <c r="E33" s="396">
        <f t="shared" si="7"/>
        <v>0</v>
      </c>
      <c r="F33" s="396">
        <f t="shared" si="7"/>
        <v>0</v>
      </c>
      <c r="G33" s="396">
        <f t="shared" si="7"/>
        <v>0</v>
      </c>
      <c r="H33" s="396">
        <f t="shared" si="7"/>
        <v>0</v>
      </c>
      <c r="I33" s="396">
        <f t="shared" si="7"/>
        <v>0</v>
      </c>
      <c r="J33" s="171"/>
      <c r="K33" s="171"/>
      <c r="L33" s="171"/>
      <c r="M33" s="176"/>
    </row>
    <row r="34" spans="1:13" ht="12.75" customHeight="1" outlineLevel="1" x14ac:dyDescent="0.2">
      <c r="A34" s="172"/>
      <c r="B34" s="202"/>
      <c r="C34" s="172"/>
      <c r="D34" s="172"/>
      <c r="E34" s="172"/>
      <c r="F34" s="172"/>
      <c r="G34" s="172"/>
      <c r="H34" s="172"/>
      <c r="I34" s="172"/>
      <c r="J34" s="171"/>
      <c r="K34" s="171"/>
      <c r="L34" s="171"/>
      <c r="M34" s="176"/>
    </row>
    <row r="35" spans="1:13" ht="15.75" customHeight="1" outlineLevel="1" x14ac:dyDescent="0.2">
      <c r="A35" s="172"/>
      <c r="B35" s="202"/>
      <c r="C35" s="193"/>
      <c r="D35" s="112">
        <f>FirstYear</f>
        <v>0</v>
      </c>
      <c r="E35" s="112">
        <f>D35+1</f>
        <v>1</v>
      </c>
      <c r="F35" s="112">
        <f>E35+1</f>
        <v>2</v>
      </c>
      <c r="G35" s="112">
        <f>F35+1</f>
        <v>3</v>
      </c>
      <c r="H35" s="112">
        <f>G35+1</f>
        <v>4</v>
      </c>
      <c r="I35" s="112">
        <f>H35+1</f>
        <v>5</v>
      </c>
      <c r="J35" s="171"/>
      <c r="K35" s="171"/>
      <c r="L35" s="171"/>
      <c r="M35" s="176"/>
    </row>
    <row r="36" spans="1:13" ht="12.75" customHeight="1" outlineLevel="1" x14ac:dyDescent="0.2">
      <c r="A36" s="172"/>
      <c r="B36" s="422">
        <v>1</v>
      </c>
      <c r="C36" s="115" t="s">
        <v>105</v>
      </c>
      <c r="D36" s="396">
        <f t="shared" ref="D36:I36" si="8">INDEX(RPBSScriptsChanged,$B28,D29)*INDEX(DPMQCoPayChangedPub,$B28,$B36)</f>
        <v>0</v>
      </c>
      <c r="E36" s="396">
        <f t="shared" si="8"/>
        <v>0</v>
      </c>
      <c r="F36" s="396">
        <f t="shared" si="8"/>
        <v>0</v>
      </c>
      <c r="G36" s="396">
        <f t="shared" si="8"/>
        <v>0</v>
      </c>
      <c r="H36" s="396">
        <f t="shared" si="8"/>
        <v>0</v>
      </c>
      <c r="I36" s="396">
        <f t="shared" si="8"/>
        <v>0</v>
      </c>
      <c r="J36" s="171"/>
      <c r="K36" s="171"/>
      <c r="L36" s="171"/>
      <c r="M36" s="176"/>
    </row>
    <row r="37" spans="1:13" ht="12.75" customHeight="1" outlineLevel="1" x14ac:dyDescent="0.2">
      <c r="A37" s="172"/>
      <c r="B37" s="422">
        <v>4</v>
      </c>
      <c r="C37" s="11" t="s">
        <v>129</v>
      </c>
      <c r="D37" s="396">
        <f t="shared" ref="D37:I37" si="9">INDEX(RPBSScriptsChanged,$B28,D29)*(INDEX(DPMQCoPayChangedPub,$B28,$B37)/INDEX(CoPayCountChanged,$B28))</f>
        <v>0</v>
      </c>
      <c r="E37" s="396">
        <f t="shared" si="9"/>
        <v>0</v>
      </c>
      <c r="F37" s="396">
        <f t="shared" si="9"/>
        <v>0</v>
      </c>
      <c r="G37" s="396">
        <f t="shared" si="9"/>
        <v>0</v>
      </c>
      <c r="H37" s="396">
        <f t="shared" si="9"/>
        <v>0</v>
      </c>
      <c r="I37" s="396">
        <f t="shared" si="9"/>
        <v>0</v>
      </c>
      <c r="J37" s="171"/>
      <c r="K37" s="171"/>
      <c r="L37" s="171"/>
      <c r="M37" s="176"/>
    </row>
    <row r="38" spans="1:13" ht="12.75" customHeight="1" outlineLevel="1" x14ac:dyDescent="0.2">
      <c r="A38" s="172"/>
      <c r="B38" s="202"/>
      <c r="C38" s="11" t="s">
        <v>107</v>
      </c>
      <c r="D38" s="396">
        <f t="shared" ref="D38:I38" si="10">D36+D37</f>
        <v>0</v>
      </c>
      <c r="E38" s="396">
        <f t="shared" si="10"/>
        <v>0</v>
      </c>
      <c r="F38" s="396">
        <f t="shared" si="10"/>
        <v>0</v>
      </c>
      <c r="G38" s="396">
        <f t="shared" si="10"/>
        <v>0</v>
      </c>
      <c r="H38" s="396">
        <f t="shared" si="10"/>
        <v>0</v>
      </c>
      <c r="I38" s="396">
        <f t="shared" si="10"/>
        <v>0</v>
      </c>
      <c r="J38" s="171"/>
      <c r="K38" s="171"/>
      <c r="L38" s="171"/>
      <c r="M38" s="176"/>
    </row>
    <row r="39" spans="1:13" ht="12.75" customHeight="1" x14ac:dyDescent="0.2">
      <c r="A39" s="171"/>
      <c r="B39" s="224"/>
      <c r="C39" s="20"/>
      <c r="D39" s="20"/>
      <c r="E39" s="20"/>
      <c r="F39" s="19"/>
      <c r="G39" s="19"/>
      <c r="H39" s="19"/>
      <c r="I39" s="19"/>
      <c r="J39" s="19"/>
      <c r="K39" s="19"/>
      <c r="L39" s="19"/>
      <c r="M39" s="577"/>
    </row>
    <row r="40" spans="1:13" ht="15" x14ac:dyDescent="0.2">
      <c r="A40" s="171"/>
      <c r="B40" s="423">
        <v>2</v>
      </c>
      <c r="C40" s="221" t="str">
        <f>INDEX(PBSScriptsChanged,B40,1)</f>
        <v>** NOT USED **</v>
      </c>
      <c r="D40" s="207"/>
      <c r="E40" s="207"/>
      <c r="F40" s="207"/>
      <c r="G40" s="207"/>
      <c r="H40" s="207"/>
      <c r="I40" s="207"/>
      <c r="J40" s="188"/>
      <c r="K40" s="188"/>
      <c r="L40" s="782" t="str">
        <f>IF(C40&lt;&gt;MsgNotUsed,"Co-payment group " &amp; INDEX(CoPayBandChanged,B40),"")</f>
        <v/>
      </c>
      <c r="M40" s="782"/>
    </row>
    <row r="41" spans="1:13" ht="12.75" customHeight="1" outlineLevel="1" x14ac:dyDescent="0.2">
      <c r="A41" s="171"/>
      <c r="B41" s="352">
        <f>INDEX(SAChanged,B40,5)</f>
        <v>0</v>
      </c>
      <c r="C41" s="20"/>
      <c r="D41" s="419">
        <v>2</v>
      </c>
      <c r="E41" s="419">
        <v>3</v>
      </c>
      <c r="F41" s="201">
        <v>4</v>
      </c>
      <c r="G41" s="201">
        <v>5</v>
      </c>
      <c r="H41" s="201">
        <v>6</v>
      </c>
      <c r="I41" s="201">
        <v>7</v>
      </c>
      <c r="J41" s="19"/>
      <c r="K41" s="19"/>
      <c r="L41" s="19"/>
      <c r="M41" s="19"/>
    </row>
    <row r="42" spans="1:13" ht="12.75" customHeight="1" outlineLevel="1" x14ac:dyDescent="0.2">
      <c r="A42" s="171"/>
      <c r="B42" s="224"/>
      <c r="C42" s="171"/>
      <c r="D42" s="112">
        <f>FirstYear</f>
        <v>0</v>
      </c>
      <c r="E42" s="112">
        <f>D42+1</f>
        <v>1</v>
      </c>
      <c r="F42" s="112">
        <f>E42+1</f>
        <v>2</v>
      </c>
      <c r="G42" s="112">
        <f>F42+1</f>
        <v>3</v>
      </c>
      <c r="H42" s="112">
        <f>G42+1</f>
        <v>4</v>
      </c>
      <c r="I42" s="112">
        <f>H42+1</f>
        <v>5</v>
      </c>
      <c r="J42" s="171"/>
      <c r="K42" s="171"/>
      <c r="L42" s="171"/>
      <c r="M42" s="176"/>
    </row>
    <row r="43" spans="1:13" ht="12.75" customHeight="1" outlineLevel="1" x14ac:dyDescent="0.2">
      <c r="A43" s="171"/>
      <c r="B43" s="422">
        <v>1</v>
      </c>
      <c r="C43" s="115" t="s">
        <v>104</v>
      </c>
      <c r="D43" s="396">
        <f t="shared" ref="D43:I43" si="11">INDEX(PBSScriptsChanged,$B40,D41)*INDEX(DPMQCoPayChangedPub,$B40,$B43)</f>
        <v>0</v>
      </c>
      <c r="E43" s="396">
        <f t="shared" si="11"/>
        <v>0</v>
      </c>
      <c r="F43" s="396">
        <f t="shared" si="11"/>
        <v>0</v>
      </c>
      <c r="G43" s="396">
        <f t="shared" si="11"/>
        <v>0</v>
      </c>
      <c r="H43" s="396">
        <f t="shared" si="11"/>
        <v>0</v>
      </c>
      <c r="I43" s="396">
        <f t="shared" si="11"/>
        <v>0</v>
      </c>
      <c r="J43" s="171"/>
      <c r="K43" s="171"/>
      <c r="L43" s="171"/>
      <c r="M43" s="176"/>
    </row>
    <row r="44" spans="1:13" ht="12.75" customHeight="1" outlineLevel="1" x14ac:dyDescent="0.2">
      <c r="A44" s="171"/>
      <c r="B44" s="422">
        <v>3</v>
      </c>
      <c r="C44" s="11" t="s">
        <v>129</v>
      </c>
      <c r="D44" s="396">
        <f t="shared" ref="D44:I44" si="12">INDEX(PBSScriptsChanged,$B40,D41)*(INDEX(DPMQCoPayChangedPub,$B40,$B44)/INDEX(CoPayCountChanged,$B40))</f>
        <v>0</v>
      </c>
      <c r="E44" s="396">
        <f t="shared" si="12"/>
        <v>0</v>
      </c>
      <c r="F44" s="396">
        <f t="shared" si="12"/>
        <v>0</v>
      </c>
      <c r="G44" s="396">
        <f t="shared" si="12"/>
        <v>0</v>
      </c>
      <c r="H44" s="396">
        <f t="shared" si="12"/>
        <v>0</v>
      </c>
      <c r="I44" s="396">
        <f t="shared" si="12"/>
        <v>0</v>
      </c>
      <c r="J44" s="171"/>
      <c r="K44" s="763" t="str">
        <f>IF(B41&lt;&gt;0,MsgNote&amp;IF(B41="Yes",INDEX(CoPayMethod,1),INDEX(CoPayMethod,2)),"")</f>
        <v/>
      </c>
      <c r="L44" s="763"/>
      <c r="M44" s="763"/>
    </row>
    <row r="45" spans="1:13" ht="12.75" customHeight="1" outlineLevel="1" x14ac:dyDescent="0.2">
      <c r="A45" s="171"/>
      <c r="B45" s="224"/>
      <c r="C45" s="11" t="s">
        <v>106</v>
      </c>
      <c r="D45" s="396">
        <f t="shared" ref="D45:I45" si="13">D43+D44</f>
        <v>0</v>
      </c>
      <c r="E45" s="396">
        <f t="shared" si="13"/>
        <v>0</v>
      </c>
      <c r="F45" s="396">
        <f t="shared" si="13"/>
        <v>0</v>
      </c>
      <c r="G45" s="396">
        <f t="shared" si="13"/>
        <v>0</v>
      </c>
      <c r="H45" s="396">
        <f t="shared" si="13"/>
        <v>0</v>
      </c>
      <c r="I45" s="396">
        <f t="shared" si="13"/>
        <v>0</v>
      </c>
      <c r="J45" s="171"/>
      <c r="K45" s="171"/>
      <c r="L45" s="171"/>
      <c r="M45" s="176"/>
    </row>
    <row r="46" spans="1:13" ht="12.75" customHeight="1" outlineLevel="1" x14ac:dyDescent="0.2">
      <c r="A46" s="171"/>
      <c r="B46" s="202"/>
      <c r="C46" s="19"/>
      <c r="D46" s="19"/>
      <c r="E46" s="19"/>
      <c r="F46" s="19"/>
      <c r="G46" s="19"/>
      <c r="H46" s="19"/>
      <c r="I46" s="19"/>
      <c r="J46" s="171"/>
      <c r="K46" s="171"/>
      <c r="L46" s="171"/>
      <c r="M46" s="176"/>
    </row>
    <row r="47" spans="1:13" ht="15.75" customHeight="1" outlineLevel="1" x14ac:dyDescent="0.2">
      <c r="A47" s="171"/>
      <c r="B47" s="202"/>
      <c r="C47" s="193"/>
      <c r="D47" s="112">
        <f>FirstYear</f>
        <v>0</v>
      </c>
      <c r="E47" s="112">
        <f>D47+1</f>
        <v>1</v>
      </c>
      <c r="F47" s="112">
        <f>E47+1</f>
        <v>2</v>
      </c>
      <c r="G47" s="112">
        <f>F47+1</f>
        <v>3</v>
      </c>
      <c r="H47" s="112">
        <f>G47+1</f>
        <v>4</v>
      </c>
      <c r="I47" s="112">
        <f>H47+1</f>
        <v>5</v>
      </c>
      <c r="J47" s="171"/>
      <c r="K47" s="171"/>
      <c r="L47" s="171"/>
      <c r="M47" s="176"/>
    </row>
    <row r="48" spans="1:13" ht="12.75" customHeight="1" outlineLevel="1" x14ac:dyDescent="0.2">
      <c r="A48" s="171"/>
      <c r="B48" s="422">
        <v>1</v>
      </c>
      <c r="C48" s="115" t="s">
        <v>105</v>
      </c>
      <c r="D48" s="396">
        <f t="shared" ref="D48:I48" si="14">INDEX(RPBSScriptsChanged,$B40,D41)*INDEX(DPMQCoPayChangedPub,$B40,$B48)</f>
        <v>0</v>
      </c>
      <c r="E48" s="396">
        <f t="shared" si="14"/>
        <v>0</v>
      </c>
      <c r="F48" s="396">
        <f t="shared" si="14"/>
        <v>0</v>
      </c>
      <c r="G48" s="396">
        <f t="shared" si="14"/>
        <v>0</v>
      </c>
      <c r="H48" s="396">
        <f t="shared" si="14"/>
        <v>0</v>
      </c>
      <c r="I48" s="396">
        <f t="shared" si="14"/>
        <v>0</v>
      </c>
      <c r="J48" s="171"/>
      <c r="K48" s="171"/>
      <c r="L48" s="171"/>
      <c r="M48" s="176"/>
    </row>
    <row r="49" spans="1:13" ht="12.75" customHeight="1" outlineLevel="1" x14ac:dyDescent="0.2">
      <c r="A49" s="171"/>
      <c r="B49" s="422">
        <v>4</v>
      </c>
      <c r="C49" s="11" t="s">
        <v>129</v>
      </c>
      <c r="D49" s="396">
        <f t="shared" ref="D49:I49" si="15">INDEX(RPBSScriptsChanged,$B40,D41)*(INDEX(DPMQCoPayChangedPub,$B40,$B49)/INDEX(CoPayCountChanged,$B40))</f>
        <v>0</v>
      </c>
      <c r="E49" s="396">
        <f t="shared" si="15"/>
        <v>0</v>
      </c>
      <c r="F49" s="396">
        <f t="shared" si="15"/>
        <v>0</v>
      </c>
      <c r="G49" s="396">
        <f t="shared" si="15"/>
        <v>0</v>
      </c>
      <c r="H49" s="396">
        <f t="shared" si="15"/>
        <v>0</v>
      </c>
      <c r="I49" s="396">
        <f t="shared" si="15"/>
        <v>0</v>
      </c>
      <c r="J49" s="171"/>
      <c r="K49" s="171"/>
      <c r="L49" s="171"/>
      <c r="M49" s="176"/>
    </row>
    <row r="50" spans="1:13" ht="12.75" customHeight="1" outlineLevel="1" x14ac:dyDescent="0.2">
      <c r="A50" s="171"/>
      <c r="B50" s="224"/>
      <c r="C50" s="11" t="s">
        <v>107</v>
      </c>
      <c r="D50" s="396">
        <f t="shared" ref="D50:I50" si="16">D48+D49</f>
        <v>0</v>
      </c>
      <c r="E50" s="396">
        <f t="shared" si="16"/>
        <v>0</v>
      </c>
      <c r="F50" s="396">
        <f t="shared" si="16"/>
        <v>0</v>
      </c>
      <c r="G50" s="396">
        <f t="shared" si="16"/>
        <v>0</v>
      </c>
      <c r="H50" s="396">
        <f t="shared" si="16"/>
        <v>0</v>
      </c>
      <c r="I50" s="396">
        <f t="shared" si="16"/>
        <v>0</v>
      </c>
      <c r="J50" s="171"/>
      <c r="K50" s="171"/>
      <c r="L50" s="171"/>
      <c r="M50" s="176"/>
    </row>
    <row r="51" spans="1:13" ht="12.75" customHeight="1" x14ac:dyDescent="0.2">
      <c r="A51" s="171"/>
      <c r="B51" s="224"/>
      <c r="C51" s="19"/>
      <c r="D51" s="19"/>
      <c r="E51" s="19"/>
      <c r="F51" s="19"/>
      <c r="G51" s="19"/>
      <c r="H51" s="19"/>
      <c r="I51" s="19"/>
      <c r="J51" s="19"/>
      <c r="K51" s="19"/>
      <c r="L51" s="19"/>
      <c r="M51" s="577"/>
    </row>
    <row r="52" spans="1:13" ht="15" x14ac:dyDescent="0.2">
      <c r="A52" s="171"/>
      <c r="B52" s="423">
        <v>3</v>
      </c>
      <c r="C52" s="221" t="str">
        <f>INDEX(PBSScriptsChanged,B52,1)</f>
        <v>** NOT USED **</v>
      </c>
      <c r="D52" s="207"/>
      <c r="E52" s="207"/>
      <c r="F52" s="207"/>
      <c r="G52" s="207"/>
      <c r="H52" s="207"/>
      <c r="I52" s="207"/>
      <c r="J52" s="188"/>
      <c r="K52" s="188"/>
      <c r="L52" s="782" t="str">
        <f>IF(C52&lt;&gt;MsgNotUsed,"Co-payment group " &amp; INDEX(CoPayBandChanged,B52),"")</f>
        <v/>
      </c>
      <c r="M52" s="782"/>
    </row>
    <row r="53" spans="1:13" ht="12.75" customHeight="1" outlineLevel="1" x14ac:dyDescent="0.2">
      <c r="A53" s="171"/>
      <c r="B53" s="352">
        <f>INDEX(SAChanged,B52,5)</f>
        <v>0</v>
      </c>
      <c r="C53" s="20"/>
      <c r="D53" s="419">
        <v>2</v>
      </c>
      <c r="E53" s="419">
        <v>3</v>
      </c>
      <c r="F53" s="201">
        <v>4</v>
      </c>
      <c r="G53" s="201">
        <v>5</v>
      </c>
      <c r="H53" s="201">
        <v>6</v>
      </c>
      <c r="I53" s="201">
        <v>7</v>
      </c>
      <c r="J53" s="19"/>
      <c r="K53" s="19"/>
      <c r="L53" s="19"/>
      <c r="M53" s="19"/>
    </row>
    <row r="54" spans="1:13" ht="12.75" customHeight="1" outlineLevel="1" x14ac:dyDescent="0.2">
      <c r="A54" s="171"/>
      <c r="B54" s="224"/>
      <c r="C54" s="171"/>
      <c r="D54" s="112">
        <f>FirstYear</f>
        <v>0</v>
      </c>
      <c r="E54" s="112">
        <f>D54+1</f>
        <v>1</v>
      </c>
      <c r="F54" s="112">
        <f>E54+1</f>
        <v>2</v>
      </c>
      <c r="G54" s="112">
        <f>F54+1</f>
        <v>3</v>
      </c>
      <c r="H54" s="112">
        <f>G54+1</f>
        <v>4</v>
      </c>
      <c r="I54" s="112">
        <f>H54+1</f>
        <v>5</v>
      </c>
      <c r="J54" s="171"/>
      <c r="K54" s="171"/>
      <c r="L54" s="171"/>
      <c r="M54" s="176"/>
    </row>
    <row r="55" spans="1:13" ht="12.75" customHeight="1" outlineLevel="1" x14ac:dyDescent="0.2">
      <c r="A55" s="171"/>
      <c r="B55" s="422">
        <v>1</v>
      </c>
      <c r="C55" s="115" t="s">
        <v>104</v>
      </c>
      <c r="D55" s="396">
        <f t="shared" ref="D55:I55" si="17">INDEX(PBSScriptsChanged,$B52,D53)*INDEX(DPMQCoPayChangedPub,$B52,$B55)</f>
        <v>0</v>
      </c>
      <c r="E55" s="396">
        <f t="shared" si="17"/>
        <v>0</v>
      </c>
      <c r="F55" s="396">
        <f t="shared" si="17"/>
        <v>0</v>
      </c>
      <c r="G55" s="396">
        <f t="shared" si="17"/>
        <v>0</v>
      </c>
      <c r="H55" s="396">
        <f t="shared" si="17"/>
        <v>0</v>
      </c>
      <c r="I55" s="396">
        <f t="shared" si="17"/>
        <v>0</v>
      </c>
      <c r="J55" s="171"/>
      <c r="K55" s="171"/>
      <c r="L55" s="171"/>
      <c r="M55" s="176"/>
    </row>
    <row r="56" spans="1:13" ht="12.75" customHeight="1" outlineLevel="1" x14ac:dyDescent="0.2">
      <c r="A56" s="171"/>
      <c r="B56" s="422">
        <v>3</v>
      </c>
      <c r="C56" s="11" t="s">
        <v>129</v>
      </c>
      <c r="D56" s="396">
        <f t="shared" ref="D56:I56" si="18">INDEX(PBSScriptsChanged,$B52,D53)*(INDEX(DPMQCoPayChangedPub,$B52,$B56)/INDEX(CoPayCountChanged,$B52))</f>
        <v>0</v>
      </c>
      <c r="E56" s="396">
        <f t="shared" si="18"/>
        <v>0</v>
      </c>
      <c r="F56" s="396">
        <f t="shared" si="18"/>
        <v>0</v>
      </c>
      <c r="G56" s="396">
        <f t="shared" si="18"/>
        <v>0</v>
      </c>
      <c r="H56" s="396">
        <f t="shared" si="18"/>
        <v>0</v>
      </c>
      <c r="I56" s="396">
        <f t="shared" si="18"/>
        <v>0</v>
      </c>
      <c r="J56" s="171"/>
      <c r="K56" s="763" t="str">
        <f>IF(B53&lt;&gt;0,MsgNote&amp;IF(B53="Yes",INDEX(CoPayMethod,1),INDEX(CoPayMethod,2)),"")</f>
        <v/>
      </c>
      <c r="L56" s="763"/>
      <c r="M56" s="763"/>
    </row>
    <row r="57" spans="1:13" ht="12.75" customHeight="1" outlineLevel="1" x14ac:dyDescent="0.2">
      <c r="A57" s="171"/>
      <c r="B57" s="224"/>
      <c r="C57" s="11" t="s">
        <v>106</v>
      </c>
      <c r="D57" s="396">
        <f t="shared" ref="D57:I57" si="19">D55+D56</f>
        <v>0</v>
      </c>
      <c r="E57" s="396">
        <f t="shared" si="19"/>
        <v>0</v>
      </c>
      <c r="F57" s="396">
        <f t="shared" si="19"/>
        <v>0</v>
      </c>
      <c r="G57" s="396">
        <f t="shared" si="19"/>
        <v>0</v>
      </c>
      <c r="H57" s="396">
        <f t="shared" si="19"/>
        <v>0</v>
      </c>
      <c r="I57" s="396">
        <f t="shared" si="19"/>
        <v>0</v>
      </c>
      <c r="J57" s="171"/>
      <c r="K57" s="171"/>
      <c r="L57" s="171"/>
      <c r="M57" s="176"/>
    </row>
    <row r="58" spans="1:13" ht="12.75" customHeight="1" outlineLevel="1" x14ac:dyDescent="0.2">
      <c r="A58" s="172"/>
      <c r="B58" s="202"/>
      <c r="C58" s="172"/>
      <c r="D58" s="172"/>
      <c r="E58" s="172"/>
      <c r="F58" s="172"/>
      <c r="G58" s="172"/>
      <c r="H58" s="172"/>
      <c r="I58" s="172"/>
      <c r="J58" s="172"/>
      <c r="K58" s="498"/>
      <c r="L58" s="498"/>
      <c r="M58" s="176"/>
    </row>
    <row r="59" spans="1:13" ht="15.75" customHeight="1" outlineLevel="1" x14ac:dyDescent="0.2">
      <c r="A59" s="172"/>
      <c r="B59" s="202"/>
      <c r="C59" s="193"/>
      <c r="D59" s="112">
        <f>FirstYear</f>
        <v>0</v>
      </c>
      <c r="E59" s="112">
        <f>D59+1</f>
        <v>1</v>
      </c>
      <c r="F59" s="112">
        <f>E59+1</f>
        <v>2</v>
      </c>
      <c r="G59" s="112">
        <f>F59+1</f>
        <v>3</v>
      </c>
      <c r="H59" s="112">
        <f>G59+1</f>
        <v>4</v>
      </c>
      <c r="I59" s="112">
        <f>H59+1</f>
        <v>5</v>
      </c>
      <c r="J59" s="172"/>
      <c r="K59" s="498"/>
      <c r="L59" s="498"/>
      <c r="M59" s="176"/>
    </row>
    <row r="60" spans="1:13" ht="12.75" customHeight="1" outlineLevel="1" x14ac:dyDescent="0.2">
      <c r="A60" s="172"/>
      <c r="B60" s="422">
        <v>1</v>
      </c>
      <c r="C60" s="115" t="s">
        <v>105</v>
      </c>
      <c r="D60" s="396">
        <f t="shared" ref="D60:I60" si="20">INDEX(RPBSScriptsChanged,$B52,D53)*INDEX(DPMQCoPayChangedPub,$B52,$B60)</f>
        <v>0</v>
      </c>
      <c r="E60" s="396">
        <f t="shared" si="20"/>
        <v>0</v>
      </c>
      <c r="F60" s="396">
        <f t="shared" si="20"/>
        <v>0</v>
      </c>
      <c r="G60" s="396">
        <f t="shared" si="20"/>
        <v>0</v>
      </c>
      <c r="H60" s="396">
        <f t="shared" si="20"/>
        <v>0</v>
      </c>
      <c r="I60" s="396">
        <f t="shared" si="20"/>
        <v>0</v>
      </c>
      <c r="J60" s="172"/>
      <c r="K60" s="498"/>
      <c r="L60" s="498"/>
      <c r="M60" s="176"/>
    </row>
    <row r="61" spans="1:13" ht="12.75" customHeight="1" outlineLevel="1" x14ac:dyDescent="0.2">
      <c r="A61" s="172"/>
      <c r="B61" s="422">
        <v>4</v>
      </c>
      <c r="C61" s="11" t="s">
        <v>129</v>
      </c>
      <c r="D61" s="396">
        <f t="shared" ref="D61:I61" si="21">INDEX(RPBSScriptsChanged,$B52,D53)*(INDEX(DPMQCoPayChangedPub,$B52,$B61)/INDEX(CoPayCountChanged,$B52))</f>
        <v>0</v>
      </c>
      <c r="E61" s="396">
        <f t="shared" si="21"/>
        <v>0</v>
      </c>
      <c r="F61" s="396">
        <f t="shared" si="21"/>
        <v>0</v>
      </c>
      <c r="G61" s="396">
        <f t="shared" si="21"/>
        <v>0</v>
      </c>
      <c r="H61" s="396">
        <f t="shared" si="21"/>
        <v>0</v>
      </c>
      <c r="I61" s="396">
        <f t="shared" si="21"/>
        <v>0</v>
      </c>
      <c r="J61" s="172"/>
      <c r="K61" s="498"/>
      <c r="L61" s="498"/>
      <c r="M61" s="176"/>
    </row>
    <row r="62" spans="1:13" ht="12.75" customHeight="1" outlineLevel="1" x14ac:dyDescent="0.2">
      <c r="A62" s="172"/>
      <c r="B62" s="202"/>
      <c r="C62" s="11" t="s">
        <v>107</v>
      </c>
      <c r="D62" s="396">
        <f t="shared" ref="D62:I62" si="22">D60+D61</f>
        <v>0</v>
      </c>
      <c r="E62" s="396">
        <f t="shared" si="22"/>
        <v>0</v>
      </c>
      <c r="F62" s="396">
        <f t="shared" si="22"/>
        <v>0</v>
      </c>
      <c r="G62" s="396">
        <f t="shared" si="22"/>
        <v>0</v>
      </c>
      <c r="H62" s="396">
        <f t="shared" si="22"/>
        <v>0</v>
      </c>
      <c r="I62" s="396">
        <f t="shared" si="22"/>
        <v>0</v>
      </c>
      <c r="J62" s="172"/>
      <c r="K62" s="498"/>
      <c r="L62" s="498"/>
      <c r="M62" s="176"/>
    </row>
    <row r="63" spans="1:13" ht="12.75" customHeight="1" x14ac:dyDescent="0.2">
      <c r="A63" s="171"/>
      <c r="B63" s="224"/>
      <c r="C63" s="20"/>
      <c r="D63" s="20"/>
      <c r="E63" s="20"/>
      <c r="F63" s="19"/>
      <c r="G63" s="19"/>
      <c r="H63" s="19"/>
      <c r="I63" s="19"/>
      <c r="J63" s="19"/>
      <c r="K63" s="19"/>
      <c r="L63" s="19"/>
      <c r="M63" s="577"/>
    </row>
    <row r="64" spans="1:13" ht="15" x14ac:dyDescent="0.2">
      <c r="A64" s="171"/>
      <c r="B64" s="423">
        <v>4</v>
      </c>
      <c r="C64" s="221" t="str">
        <f>INDEX(PBSScriptsChanged,B64,1)</f>
        <v>** NOT USED **</v>
      </c>
      <c r="D64" s="207"/>
      <c r="E64" s="207"/>
      <c r="F64" s="207"/>
      <c r="G64" s="207"/>
      <c r="H64" s="207"/>
      <c r="I64" s="207"/>
      <c r="J64" s="188"/>
      <c r="K64" s="188"/>
      <c r="L64" s="782" t="str">
        <f>IF(C64&lt;&gt;MsgNotUsed,"Co-payment group " &amp; INDEX(CoPayBandChanged,B64),"")</f>
        <v/>
      </c>
      <c r="M64" s="782"/>
    </row>
    <row r="65" spans="1:13" ht="12.75" customHeight="1" outlineLevel="1" x14ac:dyDescent="0.2">
      <c r="A65" s="171"/>
      <c r="B65" s="352">
        <f>INDEX(SAChanged,B64,5)</f>
        <v>0</v>
      </c>
      <c r="C65" s="20"/>
      <c r="D65" s="419">
        <v>2</v>
      </c>
      <c r="E65" s="419">
        <v>3</v>
      </c>
      <c r="F65" s="201">
        <v>4</v>
      </c>
      <c r="G65" s="201">
        <v>5</v>
      </c>
      <c r="H65" s="201">
        <v>6</v>
      </c>
      <c r="I65" s="201">
        <v>7</v>
      </c>
      <c r="J65" s="19"/>
      <c r="K65" s="19"/>
      <c r="L65" s="19"/>
      <c r="M65" s="19"/>
    </row>
    <row r="66" spans="1:13" ht="12.75" customHeight="1" outlineLevel="1" x14ac:dyDescent="0.2">
      <c r="A66" s="171"/>
      <c r="B66" s="224"/>
      <c r="C66" s="171"/>
      <c r="D66" s="112">
        <f>FirstYear</f>
        <v>0</v>
      </c>
      <c r="E66" s="112">
        <f>D66+1</f>
        <v>1</v>
      </c>
      <c r="F66" s="112">
        <f>E66+1</f>
        <v>2</v>
      </c>
      <c r="G66" s="112">
        <f>F66+1</f>
        <v>3</v>
      </c>
      <c r="H66" s="112">
        <f>G66+1</f>
        <v>4</v>
      </c>
      <c r="I66" s="112">
        <f>H66+1</f>
        <v>5</v>
      </c>
      <c r="J66" s="171"/>
      <c r="K66" s="171"/>
      <c r="L66" s="171"/>
      <c r="M66" s="176"/>
    </row>
    <row r="67" spans="1:13" ht="12.75" customHeight="1" outlineLevel="1" x14ac:dyDescent="0.2">
      <c r="A67" s="171"/>
      <c r="B67" s="422">
        <v>1</v>
      </c>
      <c r="C67" s="115" t="s">
        <v>104</v>
      </c>
      <c r="D67" s="396">
        <f t="shared" ref="D67:I67" si="23">INDEX(PBSScriptsChanged,$B64,D65)*INDEX(DPMQCoPayChangedPub,$B64,$B67)</f>
        <v>0</v>
      </c>
      <c r="E67" s="396">
        <f t="shared" si="23"/>
        <v>0</v>
      </c>
      <c r="F67" s="396">
        <f t="shared" si="23"/>
        <v>0</v>
      </c>
      <c r="G67" s="396">
        <f t="shared" si="23"/>
        <v>0</v>
      </c>
      <c r="H67" s="396">
        <f t="shared" si="23"/>
        <v>0</v>
      </c>
      <c r="I67" s="396">
        <f t="shared" si="23"/>
        <v>0</v>
      </c>
      <c r="J67" s="171"/>
      <c r="K67" s="171"/>
      <c r="L67" s="171"/>
      <c r="M67" s="176"/>
    </row>
    <row r="68" spans="1:13" ht="12.75" customHeight="1" outlineLevel="1" x14ac:dyDescent="0.2">
      <c r="A68" s="171"/>
      <c r="B68" s="422">
        <v>3</v>
      </c>
      <c r="C68" s="11" t="s">
        <v>129</v>
      </c>
      <c r="D68" s="396">
        <f t="shared" ref="D68:I68" si="24">INDEX(PBSScriptsChanged,$B64,D65)*(INDEX(DPMQCoPayChangedPub,$B64,$B68)/INDEX(CoPayCountChanged,$B64))</f>
        <v>0</v>
      </c>
      <c r="E68" s="396">
        <f t="shared" si="24"/>
        <v>0</v>
      </c>
      <c r="F68" s="396">
        <f t="shared" si="24"/>
        <v>0</v>
      </c>
      <c r="G68" s="396">
        <f t="shared" si="24"/>
        <v>0</v>
      </c>
      <c r="H68" s="396">
        <f t="shared" si="24"/>
        <v>0</v>
      </c>
      <c r="I68" s="396">
        <f t="shared" si="24"/>
        <v>0</v>
      </c>
      <c r="J68" s="171"/>
      <c r="K68" s="763" t="str">
        <f>IF(B65&lt;&gt;0,MsgNote&amp;IF(B65="Yes",INDEX(CoPayMethod,1),INDEX(CoPayMethod,2)),"")</f>
        <v/>
      </c>
      <c r="L68" s="763"/>
      <c r="M68" s="763"/>
    </row>
    <row r="69" spans="1:13" ht="12.75" customHeight="1" outlineLevel="1" x14ac:dyDescent="0.2">
      <c r="A69" s="171"/>
      <c r="B69" s="224"/>
      <c r="C69" s="11" t="s">
        <v>106</v>
      </c>
      <c r="D69" s="396">
        <f t="shared" ref="D69:I69" si="25">D67+D68</f>
        <v>0</v>
      </c>
      <c r="E69" s="396">
        <f t="shared" si="25"/>
        <v>0</v>
      </c>
      <c r="F69" s="396">
        <f t="shared" si="25"/>
        <v>0</v>
      </c>
      <c r="G69" s="396">
        <f t="shared" si="25"/>
        <v>0</v>
      </c>
      <c r="H69" s="396">
        <f t="shared" si="25"/>
        <v>0</v>
      </c>
      <c r="I69" s="396">
        <f t="shared" si="25"/>
        <v>0</v>
      </c>
      <c r="J69" s="171"/>
      <c r="K69" s="171"/>
      <c r="L69" s="171"/>
      <c r="M69" s="176"/>
    </row>
    <row r="70" spans="1:13" ht="12.75" customHeight="1" outlineLevel="1" x14ac:dyDescent="0.2">
      <c r="A70" s="171"/>
      <c r="B70" s="202"/>
      <c r="C70" s="19"/>
      <c r="D70" s="19"/>
      <c r="E70" s="19"/>
      <c r="F70" s="19"/>
      <c r="G70" s="19"/>
      <c r="H70" s="19"/>
      <c r="I70" s="19"/>
      <c r="J70" s="19"/>
      <c r="K70" s="19"/>
      <c r="L70" s="19"/>
      <c r="M70" s="51"/>
    </row>
    <row r="71" spans="1:13" ht="15.75" customHeight="1" outlineLevel="1" x14ac:dyDescent="0.2">
      <c r="A71" s="171"/>
      <c r="B71" s="202"/>
      <c r="C71" s="193"/>
      <c r="D71" s="112">
        <f>FirstYear</f>
        <v>0</v>
      </c>
      <c r="E71" s="112">
        <f>D71+1</f>
        <v>1</v>
      </c>
      <c r="F71" s="112">
        <f>E71+1</f>
        <v>2</v>
      </c>
      <c r="G71" s="112">
        <f>F71+1</f>
        <v>3</v>
      </c>
      <c r="H71" s="112">
        <f>G71+1</f>
        <v>4</v>
      </c>
      <c r="I71" s="112">
        <f>H71+1</f>
        <v>5</v>
      </c>
      <c r="J71" s="19"/>
      <c r="K71" s="19"/>
      <c r="L71" s="19"/>
      <c r="M71" s="51"/>
    </row>
    <row r="72" spans="1:13" ht="12.75" customHeight="1" outlineLevel="1" x14ac:dyDescent="0.2">
      <c r="A72" s="171"/>
      <c r="B72" s="422">
        <v>1</v>
      </c>
      <c r="C72" s="115" t="s">
        <v>105</v>
      </c>
      <c r="D72" s="396">
        <f t="shared" ref="D72:I72" si="26">INDEX(RPBSScriptsChanged,$B64,D65)*INDEX(DPMQCoPayChangedPub,$B64,$B72)</f>
        <v>0</v>
      </c>
      <c r="E72" s="396">
        <f t="shared" si="26"/>
        <v>0</v>
      </c>
      <c r="F72" s="396">
        <f t="shared" si="26"/>
        <v>0</v>
      </c>
      <c r="G72" s="396">
        <f t="shared" si="26"/>
        <v>0</v>
      </c>
      <c r="H72" s="396">
        <f t="shared" si="26"/>
        <v>0</v>
      </c>
      <c r="I72" s="396">
        <f t="shared" si="26"/>
        <v>0</v>
      </c>
      <c r="J72" s="19"/>
      <c r="K72" s="19"/>
      <c r="L72" s="19"/>
      <c r="M72" s="51"/>
    </row>
    <row r="73" spans="1:13" ht="12.75" customHeight="1" outlineLevel="1" x14ac:dyDescent="0.2">
      <c r="A73" s="171"/>
      <c r="B73" s="422">
        <v>4</v>
      </c>
      <c r="C73" s="11" t="s">
        <v>129</v>
      </c>
      <c r="D73" s="396">
        <f t="shared" ref="D73:I73" si="27">INDEX(RPBSScriptsChanged,$B64,D65)*(INDEX(DPMQCoPayChangedPub,$B64,$B73)/INDEX(CoPayCountChanged,$B64))</f>
        <v>0</v>
      </c>
      <c r="E73" s="396">
        <f t="shared" si="27"/>
        <v>0</v>
      </c>
      <c r="F73" s="396">
        <f t="shared" si="27"/>
        <v>0</v>
      </c>
      <c r="G73" s="396">
        <f t="shared" si="27"/>
        <v>0</v>
      </c>
      <c r="H73" s="396">
        <f t="shared" si="27"/>
        <v>0</v>
      </c>
      <c r="I73" s="396">
        <f t="shared" si="27"/>
        <v>0</v>
      </c>
      <c r="J73" s="19"/>
      <c r="K73" s="19"/>
      <c r="L73" s="19"/>
      <c r="M73" s="51"/>
    </row>
    <row r="74" spans="1:13" ht="12.75" customHeight="1" outlineLevel="1" x14ac:dyDescent="0.2">
      <c r="A74" s="171"/>
      <c r="B74" s="224"/>
      <c r="C74" s="11" t="s">
        <v>107</v>
      </c>
      <c r="D74" s="396">
        <f t="shared" ref="D74:I74" si="28">D72+D73</f>
        <v>0</v>
      </c>
      <c r="E74" s="396">
        <f t="shared" si="28"/>
        <v>0</v>
      </c>
      <c r="F74" s="396">
        <f t="shared" si="28"/>
        <v>0</v>
      </c>
      <c r="G74" s="396">
        <f t="shared" si="28"/>
        <v>0</v>
      </c>
      <c r="H74" s="396">
        <f t="shared" si="28"/>
        <v>0</v>
      </c>
      <c r="I74" s="396">
        <f t="shared" si="28"/>
        <v>0</v>
      </c>
      <c r="J74" s="19"/>
      <c r="K74" s="19"/>
      <c r="L74" s="19"/>
      <c r="M74" s="51"/>
    </row>
    <row r="75" spans="1:13" ht="12.75" customHeight="1" x14ac:dyDescent="0.2">
      <c r="A75" s="171"/>
      <c r="B75" s="224"/>
      <c r="C75" s="20"/>
      <c r="D75" s="20"/>
      <c r="E75" s="20"/>
      <c r="F75" s="19"/>
      <c r="G75" s="19"/>
      <c r="H75" s="19"/>
      <c r="I75" s="19"/>
      <c r="J75" s="19"/>
      <c r="K75" s="19"/>
      <c r="L75" s="19"/>
      <c r="M75" s="577"/>
    </row>
    <row r="76" spans="1:13" ht="15" x14ac:dyDescent="0.2">
      <c r="A76" s="171"/>
      <c r="B76" s="423">
        <v>5</v>
      </c>
      <c r="C76" s="221" t="str">
        <f>INDEX(PBSScriptsChanged,B76,1)</f>
        <v>** NOT USED **</v>
      </c>
      <c r="D76" s="207"/>
      <c r="E76" s="207"/>
      <c r="F76" s="207"/>
      <c r="G76" s="207"/>
      <c r="H76" s="207"/>
      <c r="I76" s="207"/>
      <c r="J76" s="188"/>
      <c r="K76" s="188"/>
      <c r="L76" s="782" t="str">
        <f>IF(C76&lt;&gt;MsgNotUsed,"Co-payment group " &amp; INDEX(CoPayBandChanged,B76),"")</f>
        <v/>
      </c>
      <c r="M76" s="782"/>
    </row>
    <row r="77" spans="1:13" ht="12.75" customHeight="1" outlineLevel="1" x14ac:dyDescent="0.2">
      <c r="A77" s="171"/>
      <c r="B77" s="352">
        <f>INDEX(SAChanged,B76,5)</f>
        <v>0</v>
      </c>
      <c r="C77" s="20"/>
      <c r="D77" s="419">
        <v>2</v>
      </c>
      <c r="E77" s="419">
        <v>3</v>
      </c>
      <c r="F77" s="201">
        <v>4</v>
      </c>
      <c r="G77" s="201">
        <v>5</v>
      </c>
      <c r="H77" s="201">
        <v>6</v>
      </c>
      <c r="I77" s="201">
        <v>7</v>
      </c>
      <c r="J77" s="19"/>
      <c r="K77" s="19"/>
      <c r="L77" s="19"/>
      <c r="M77" s="19"/>
    </row>
    <row r="78" spans="1:13" ht="12.75" customHeight="1" outlineLevel="1" x14ac:dyDescent="0.2">
      <c r="A78" s="171"/>
      <c r="B78" s="224"/>
      <c r="C78" s="171"/>
      <c r="D78" s="112">
        <f>FirstYear</f>
        <v>0</v>
      </c>
      <c r="E78" s="112">
        <f>D78+1</f>
        <v>1</v>
      </c>
      <c r="F78" s="112">
        <f>E78+1</f>
        <v>2</v>
      </c>
      <c r="G78" s="112">
        <f>F78+1</f>
        <v>3</v>
      </c>
      <c r="H78" s="112">
        <f>G78+1</f>
        <v>4</v>
      </c>
      <c r="I78" s="112">
        <f>H78+1</f>
        <v>5</v>
      </c>
      <c r="J78" s="171"/>
      <c r="K78" s="171"/>
      <c r="L78" s="171"/>
      <c r="M78" s="176"/>
    </row>
    <row r="79" spans="1:13" ht="12.75" customHeight="1" outlineLevel="1" x14ac:dyDescent="0.2">
      <c r="A79" s="171"/>
      <c r="B79" s="422">
        <v>1</v>
      </c>
      <c r="C79" s="115" t="s">
        <v>104</v>
      </c>
      <c r="D79" s="396">
        <f t="shared" ref="D79:I79" si="29">INDEX(PBSScriptsChanged,$B76,D77)*INDEX(DPMQCoPayChangedPub,$B76,$B79)</f>
        <v>0</v>
      </c>
      <c r="E79" s="396">
        <f t="shared" si="29"/>
        <v>0</v>
      </c>
      <c r="F79" s="396">
        <f t="shared" si="29"/>
        <v>0</v>
      </c>
      <c r="G79" s="396">
        <f t="shared" si="29"/>
        <v>0</v>
      </c>
      <c r="H79" s="396">
        <f t="shared" si="29"/>
        <v>0</v>
      </c>
      <c r="I79" s="396">
        <f t="shared" si="29"/>
        <v>0</v>
      </c>
      <c r="J79" s="171"/>
      <c r="K79" s="171"/>
      <c r="L79" s="171"/>
      <c r="M79" s="176"/>
    </row>
    <row r="80" spans="1:13" ht="12.75" customHeight="1" outlineLevel="1" x14ac:dyDescent="0.2">
      <c r="A80" s="171"/>
      <c r="B80" s="422">
        <v>3</v>
      </c>
      <c r="C80" s="11" t="s">
        <v>129</v>
      </c>
      <c r="D80" s="396">
        <f t="shared" ref="D80:I80" si="30">INDEX(PBSScriptsChanged,$B76,D77)*(INDEX(DPMQCoPayChangedPub,$B76,$B80)/INDEX(CoPayCountChanged,$B76))</f>
        <v>0</v>
      </c>
      <c r="E80" s="396">
        <f t="shared" si="30"/>
        <v>0</v>
      </c>
      <c r="F80" s="396">
        <f t="shared" si="30"/>
        <v>0</v>
      </c>
      <c r="G80" s="396">
        <f t="shared" si="30"/>
        <v>0</v>
      </c>
      <c r="H80" s="396">
        <f t="shared" si="30"/>
        <v>0</v>
      </c>
      <c r="I80" s="396">
        <f t="shared" si="30"/>
        <v>0</v>
      </c>
      <c r="J80" s="171"/>
      <c r="K80" s="763" t="str">
        <f>IF(B77&lt;&gt;0,MsgNote&amp;IF(B77="Yes",INDEX(CoPayMethod,1),INDEX(CoPayMethod,2)),"")</f>
        <v/>
      </c>
      <c r="L80" s="763"/>
      <c r="M80" s="763"/>
    </row>
    <row r="81" spans="1:13" ht="12.75" customHeight="1" outlineLevel="1" x14ac:dyDescent="0.2">
      <c r="A81" s="171"/>
      <c r="B81" s="224"/>
      <c r="C81" s="11" t="s">
        <v>106</v>
      </c>
      <c r="D81" s="396">
        <f t="shared" ref="D81:I81" si="31">D79+D80</f>
        <v>0</v>
      </c>
      <c r="E81" s="396">
        <f t="shared" si="31"/>
        <v>0</v>
      </c>
      <c r="F81" s="396">
        <f t="shared" si="31"/>
        <v>0</v>
      </c>
      <c r="G81" s="396">
        <f t="shared" si="31"/>
        <v>0</v>
      </c>
      <c r="H81" s="396">
        <f t="shared" si="31"/>
        <v>0</v>
      </c>
      <c r="I81" s="396">
        <f t="shared" si="31"/>
        <v>0</v>
      </c>
      <c r="J81" s="171"/>
      <c r="K81" s="19"/>
      <c r="L81" s="19"/>
      <c r="M81" s="51"/>
    </row>
    <row r="82" spans="1:13" ht="12.75" customHeight="1" outlineLevel="1" x14ac:dyDescent="0.2">
      <c r="A82" s="171"/>
      <c r="B82" s="202"/>
      <c r="C82" s="20"/>
      <c r="D82" s="20"/>
      <c r="E82" s="20"/>
      <c r="F82" s="19"/>
      <c r="G82" s="19"/>
      <c r="H82" s="19"/>
      <c r="I82" s="19"/>
      <c r="J82" s="19"/>
      <c r="K82" s="19"/>
      <c r="L82" s="19"/>
      <c r="M82" s="51"/>
    </row>
    <row r="83" spans="1:13" ht="15.75" customHeight="1" outlineLevel="1" x14ac:dyDescent="0.2">
      <c r="A83" s="171"/>
      <c r="B83" s="202"/>
      <c r="C83" s="193"/>
      <c r="D83" s="112">
        <f>FirstYear</f>
        <v>0</v>
      </c>
      <c r="E83" s="112">
        <f>D83+1</f>
        <v>1</v>
      </c>
      <c r="F83" s="112">
        <f>E83+1</f>
        <v>2</v>
      </c>
      <c r="G83" s="112">
        <f>F83+1</f>
        <v>3</v>
      </c>
      <c r="H83" s="112">
        <f>G83+1</f>
        <v>4</v>
      </c>
      <c r="I83" s="112">
        <f>H83+1</f>
        <v>5</v>
      </c>
      <c r="J83" s="19"/>
      <c r="K83" s="19"/>
      <c r="L83" s="19"/>
      <c r="M83" s="51"/>
    </row>
    <row r="84" spans="1:13" ht="12.75" customHeight="1" outlineLevel="1" x14ac:dyDescent="0.2">
      <c r="A84" s="171"/>
      <c r="B84" s="422">
        <v>1</v>
      </c>
      <c r="C84" s="115" t="s">
        <v>105</v>
      </c>
      <c r="D84" s="396">
        <f t="shared" ref="D84:I84" si="32">INDEX(RPBSScriptsChanged,$B76,D77)*INDEX(DPMQCoPayChangedPub,$B76,$B84)</f>
        <v>0</v>
      </c>
      <c r="E84" s="396">
        <f t="shared" si="32"/>
        <v>0</v>
      </c>
      <c r="F84" s="396">
        <f t="shared" si="32"/>
        <v>0</v>
      </c>
      <c r="G84" s="396">
        <f t="shared" si="32"/>
        <v>0</v>
      </c>
      <c r="H84" s="396">
        <f t="shared" si="32"/>
        <v>0</v>
      </c>
      <c r="I84" s="396">
        <f t="shared" si="32"/>
        <v>0</v>
      </c>
      <c r="J84" s="19"/>
      <c r="K84" s="19"/>
      <c r="L84" s="19"/>
      <c r="M84" s="51"/>
    </row>
    <row r="85" spans="1:13" ht="12.75" customHeight="1" outlineLevel="1" x14ac:dyDescent="0.2">
      <c r="A85" s="171"/>
      <c r="B85" s="422">
        <v>4</v>
      </c>
      <c r="C85" s="11" t="s">
        <v>129</v>
      </c>
      <c r="D85" s="396">
        <f t="shared" ref="D85:I85" si="33">INDEX(RPBSScriptsChanged,$B76,D77)*(INDEX(DPMQCoPayChangedPub,$B76,$B85)/INDEX(CoPayCountChanged,$B76))</f>
        <v>0</v>
      </c>
      <c r="E85" s="396">
        <f t="shared" si="33"/>
        <v>0</v>
      </c>
      <c r="F85" s="396">
        <f t="shared" si="33"/>
        <v>0</v>
      </c>
      <c r="G85" s="396">
        <f t="shared" si="33"/>
        <v>0</v>
      </c>
      <c r="H85" s="396">
        <f t="shared" si="33"/>
        <v>0</v>
      </c>
      <c r="I85" s="396">
        <f t="shared" si="33"/>
        <v>0</v>
      </c>
      <c r="J85" s="19"/>
      <c r="K85" s="19"/>
      <c r="L85" s="19"/>
      <c r="M85" s="51"/>
    </row>
    <row r="86" spans="1:13" ht="12.75" customHeight="1" outlineLevel="1" x14ac:dyDescent="0.2">
      <c r="A86" s="171"/>
      <c r="B86" s="224"/>
      <c r="C86" s="11" t="s">
        <v>107</v>
      </c>
      <c r="D86" s="396">
        <f t="shared" ref="D86:I86" si="34">D84+D85</f>
        <v>0</v>
      </c>
      <c r="E86" s="396">
        <f t="shared" si="34"/>
        <v>0</v>
      </c>
      <c r="F86" s="396">
        <f t="shared" si="34"/>
        <v>0</v>
      </c>
      <c r="G86" s="396">
        <f t="shared" si="34"/>
        <v>0</v>
      </c>
      <c r="H86" s="396">
        <f t="shared" si="34"/>
        <v>0</v>
      </c>
      <c r="I86" s="396">
        <f t="shared" si="34"/>
        <v>0</v>
      </c>
      <c r="J86" s="19"/>
      <c r="K86" s="19"/>
      <c r="L86" s="19"/>
      <c r="M86" s="51"/>
    </row>
    <row r="87" spans="1:13" ht="12.75" customHeight="1" x14ac:dyDescent="0.2">
      <c r="A87" s="171"/>
      <c r="B87" s="224"/>
      <c r="C87" s="171"/>
      <c r="D87" s="171"/>
      <c r="E87" s="171"/>
      <c r="F87" s="171"/>
      <c r="G87" s="171"/>
      <c r="H87" s="171"/>
      <c r="I87" s="171"/>
      <c r="J87" s="171"/>
      <c r="K87" s="171"/>
      <c r="L87" s="171"/>
      <c r="M87" s="577"/>
    </row>
    <row r="88" spans="1:13" ht="15" x14ac:dyDescent="0.2">
      <c r="A88" s="171"/>
      <c r="B88" s="423">
        <v>6</v>
      </c>
      <c r="C88" s="221" t="str">
        <f>INDEX(PBSScriptsChanged,B88,1)</f>
        <v>** NOT USED **</v>
      </c>
      <c r="D88" s="207"/>
      <c r="E88" s="207"/>
      <c r="F88" s="207"/>
      <c r="G88" s="207"/>
      <c r="H88" s="207"/>
      <c r="I88" s="207"/>
      <c r="J88" s="188"/>
      <c r="K88" s="188"/>
      <c r="L88" s="782" t="str">
        <f>IF(C88&lt;&gt;MsgNotUsed,"Co-payment group " &amp; INDEX(CoPayBandChanged,B88),"")</f>
        <v/>
      </c>
      <c r="M88" s="782"/>
    </row>
    <row r="89" spans="1:13" ht="12.75" customHeight="1" outlineLevel="1" x14ac:dyDescent="0.2">
      <c r="A89" s="171"/>
      <c r="B89" s="352">
        <f>INDEX(SAChanged,B88,5)</f>
        <v>0</v>
      </c>
      <c r="C89" s="20"/>
      <c r="D89" s="419">
        <v>2</v>
      </c>
      <c r="E89" s="419">
        <v>3</v>
      </c>
      <c r="F89" s="201">
        <v>4</v>
      </c>
      <c r="G89" s="201">
        <v>5</v>
      </c>
      <c r="H89" s="201">
        <v>6</v>
      </c>
      <c r="I89" s="201">
        <v>7</v>
      </c>
      <c r="J89" s="19"/>
      <c r="K89" s="19"/>
      <c r="L89" s="19"/>
      <c r="M89" s="19"/>
    </row>
    <row r="90" spans="1:13" ht="12.75" customHeight="1" outlineLevel="1" x14ac:dyDescent="0.2">
      <c r="A90" s="171"/>
      <c r="B90" s="224"/>
      <c r="C90" s="171"/>
      <c r="D90" s="112">
        <f>FirstYear</f>
        <v>0</v>
      </c>
      <c r="E90" s="112">
        <f>D90+1</f>
        <v>1</v>
      </c>
      <c r="F90" s="112">
        <f>E90+1</f>
        <v>2</v>
      </c>
      <c r="G90" s="112">
        <f>F90+1</f>
        <v>3</v>
      </c>
      <c r="H90" s="112">
        <f>G90+1</f>
        <v>4</v>
      </c>
      <c r="I90" s="112">
        <f>H90+1</f>
        <v>5</v>
      </c>
      <c r="J90" s="171"/>
      <c r="K90" s="171"/>
      <c r="L90" s="171"/>
      <c r="M90" s="176"/>
    </row>
    <row r="91" spans="1:13" ht="12.75" customHeight="1" outlineLevel="1" x14ac:dyDescent="0.2">
      <c r="A91" s="171"/>
      <c r="B91" s="422">
        <v>1</v>
      </c>
      <c r="C91" s="115" t="s">
        <v>104</v>
      </c>
      <c r="D91" s="396">
        <f t="shared" ref="D91:I91" si="35">INDEX(PBSScriptsChanged,$B88,D89)*INDEX(DPMQCoPayChangedPub,$B88,$B91)</f>
        <v>0</v>
      </c>
      <c r="E91" s="396">
        <f t="shared" si="35"/>
        <v>0</v>
      </c>
      <c r="F91" s="396">
        <f t="shared" si="35"/>
        <v>0</v>
      </c>
      <c r="G91" s="396">
        <f t="shared" si="35"/>
        <v>0</v>
      </c>
      <c r="H91" s="396">
        <f t="shared" si="35"/>
        <v>0</v>
      </c>
      <c r="I91" s="396">
        <f t="shared" si="35"/>
        <v>0</v>
      </c>
      <c r="J91" s="171"/>
      <c r="K91" s="171"/>
      <c r="L91" s="171"/>
      <c r="M91" s="176"/>
    </row>
    <row r="92" spans="1:13" ht="12.75" customHeight="1" outlineLevel="1" x14ac:dyDescent="0.2">
      <c r="A92" s="171"/>
      <c r="B92" s="422">
        <v>3</v>
      </c>
      <c r="C92" s="11" t="s">
        <v>129</v>
      </c>
      <c r="D92" s="396">
        <f t="shared" ref="D92:I92" si="36">INDEX(PBSScriptsChanged,$B88,D89)*(INDEX(DPMQCoPayChangedPub,$B88,$B92)/INDEX(CoPayCountChanged,$B88))</f>
        <v>0</v>
      </c>
      <c r="E92" s="396">
        <f t="shared" si="36"/>
        <v>0</v>
      </c>
      <c r="F92" s="396">
        <f t="shared" si="36"/>
        <v>0</v>
      </c>
      <c r="G92" s="396">
        <f t="shared" si="36"/>
        <v>0</v>
      </c>
      <c r="H92" s="396">
        <f t="shared" si="36"/>
        <v>0</v>
      </c>
      <c r="I92" s="396">
        <f t="shared" si="36"/>
        <v>0</v>
      </c>
      <c r="J92" s="171"/>
      <c r="K92" s="763" t="str">
        <f>IF(B89&lt;&gt;0,MsgNote&amp;IF(B89="Yes",INDEX(CoPayMethod,1),INDEX(CoPayMethod,2)),"")</f>
        <v/>
      </c>
      <c r="L92" s="763"/>
      <c r="M92" s="763"/>
    </row>
    <row r="93" spans="1:13" ht="12.75" customHeight="1" outlineLevel="1" x14ac:dyDescent="0.2">
      <c r="A93" s="171"/>
      <c r="B93" s="224"/>
      <c r="C93" s="11" t="s">
        <v>106</v>
      </c>
      <c r="D93" s="396">
        <f t="shared" ref="D93:I93" si="37">D91+D92</f>
        <v>0</v>
      </c>
      <c r="E93" s="396">
        <f t="shared" si="37"/>
        <v>0</v>
      </c>
      <c r="F93" s="396">
        <f t="shared" si="37"/>
        <v>0</v>
      </c>
      <c r="G93" s="396">
        <f t="shared" si="37"/>
        <v>0</v>
      </c>
      <c r="H93" s="396">
        <f t="shared" si="37"/>
        <v>0</v>
      </c>
      <c r="I93" s="396">
        <f t="shared" si="37"/>
        <v>0</v>
      </c>
      <c r="J93" s="171"/>
      <c r="K93" s="171"/>
      <c r="L93" s="171"/>
      <c r="M93" s="176"/>
    </row>
    <row r="94" spans="1:13" ht="12.75" customHeight="1" outlineLevel="1" x14ac:dyDescent="0.2">
      <c r="A94" s="171"/>
      <c r="B94" s="202"/>
      <c r="C94" s="171"/>
      <c r="D94" s="171"/>
      <c r="E94" s="171"/>
      <c r="F94" s="171"/>
      <c r="G94" s="171"/>
      <c r="H94" s="171"/>
      <c r="I94" s="171"/>
      <c r="J94" s="171"/>
      <c r="K94" s="171"/>
      <c r="L94" s="171"/>
      <c r="M94" s="176"/>
    </row>
    <row r="95" spans="1:13" ht="15.75" customHeight="1" outlineLevel="1" x14ac:dyDescent="0.2">
      <c r="A95" s="171"/>
      <c r="B95" s="202"/>
      <c r="C95" s="193"/>
      <c r="D95" s="112">
        <f>FirstYear</f>
        <v>0</v>
      </c>
      <c r="E95" s="112">
        <f>D95+1</f>
        <v>1</v>
      </c>
      <c r="F95" s="112">
        <f>E95+1</f>
        <v>2</v>
      </c>
      <c r="G95" s="112">
        <f>F95+1</f>
        <v>3</v>
      </c>
      <c r="H95" s="112">
        <f>G95+1</f>
        <v>4</v>
      </c>
      <c r="I95" s="112">
        <f>H95+1</f>
        <v>5</v>
      </c>
      <c r="J95" s="171"/>
      <c r="K95" s="171"/>
      <c r="L95" s="171"/>
      <c r="M95" s="176"/>
    </row>
    <row r="96" spans="1:13" ht="12.75" customHeight="1" outlineLevel="1" x14ac:dyDescent="0.2">
      <c r="A96" s="171"/>
      <c r="B96" s="422">
        <v>1</v>
      </c>
      <c r="C96" s="115" t="s">
        <v>105</v>
      </c>
      <c r="D96" s="396">
        <f t="shared" ref="D96:I96" si="38">INDEX(RPBSScriptsChanged,$B88,D89)*INDEX(DPMQCoPayChangedPub,$B88,$B96)</f>
        <v>0</v>
      </c>
      <c r="E96" s="396">
        <f t="shared" si="38"/>
        <v>0</v>
      </c>
      <c r="F96" s="396">
        <f t="shared" si="38"/>
        <v>0</v>
      </c>
      <c r="G96" s="396">
        <f t="shared" si="38"/>
        <v>0</v>
      </c>
      <c r="H96" s="396">
        <f t="shared" si="38"/>
        <v>0</v>
      </c>
      <c r="I96" s="396">
        <f t="shared" si="38"/>
        <v>0</v>
      </c>
      <c r="J96" s="171"/>
      <c r="K96" s="171"/>
      <c r="L96" s="171"/>
      <c r="M96" s="176"/>
    </row>
    <row r="97" spans="1:13" ht="12.75" customHeight="1" outlineLevel="1" x14ac:dyDescent="0.2">
      <c r="A97" s="171"/>
      <c r="B97" s="422">
        <v>4</v>
      </c>
      <c r="C97" s="11" t="s">
        <v>129</v>
      </c>
      <c r="D97" s="396">
        <f t="shared" ref="D97:I97" si="39">INDEX(RPBSScriptsChanged,$B88,D89)*(INDEX(DPMQCoPayChangedPub,$B88,$B97)/INDEX(CoPayCountChanged,$B88))</f>
        <v>0</v>
      </c>
      <c r="E97" s="396">
        <f t="shared" si="39"/>
        <v>0</v>
      </c>
      <c r="F97" s="396">
        <f t="shared" si="39"/>
        <v>0</v>
      </c>
      <c r="G97" s="396">
        <f t="shared" si="39"/>
        <v>0</v>
      </c>
      <c r="H97" s="396">
        <f t="shared" si="39"/>
        <v>0</v>
      </c>
      <c r="I97" s="396">
        <f t="shared" si="39"/>
        <v>0</v>
      </c>
      <c r="J97" s="171"/>
      <c r="K97" s="171"/>
      <c r="L97" s="171"/>
      <c r="M97" s="176"/>
    </row>
    <row r="98" spans="1:13" ht="12.75" customHeight="1" outlineLevel="1" x14ac:dyDescent="0.2">
      <c r="A98" s="171"/>
      <c r="B98" s="224"/>
      <c r="C98" s="11" t="s">
        <v>107</v>
      </c>
      <c r="D98" s="396">
        <f t="shared" ref="D98:I98" si="40">D96+D97</f>
        <v>0</v>
      </c>
      <c r="E98" s="396">
        <f t="shared" si="40"/>
        <v>0</v>
      </c>
      <c r="F98" s="396">
        <f t="shared" si="40"/>
        <v>0</v>
      </c>
      <c r="G98" s="396">
        <f t="shared" si="40"/>
        <v>0</v>
      </c>
      <c r="H98" s="396">
        <f t="shared" si="40"/>
        <v>0</v>
      </c>
      <c r="I98" s="396">
        <f t="shared" si="40"/>
        <v>0</v>
      </c>
      <c r="J98" s="171"/>
      <c r="K98" s="171"/>
      <c r="L98" s="171"/>
      <c r="M98" s="176"/>
    </row>
    <row r="99" spans="1:13" ht="12.75" customHeight="1" x14ac:dyDescent="0.2">
      <c r="A99" s="171"/>
      <c r="B99" s="224"/>
      <c r="C99" s="171"/>
      <c r="D99" s="171"/>
      <c r="E99" s="171"/>
      <c r="F99" s="171"/>
      <c r="G99" s="171"/>
      <c r="H99" s="171"/>
      <c r="I99" s="171"/>
      <c r="J99" s="171"/>
      <c r="K99" s="171"/>
      <c r="L99" s="171"/>
      <c r="M99" s="577"/>
    </row>
    <row r="100" spans="1:13" ht="15" x14ac:dyDescent="0.2">
      <c r="A100" s="171"/>
      <c r="B100" s="423">
        <v>7</v>
      </c>
      <c r="C100" s="221" t="str">
        <f>INDEX(PBSScriptsChanged,B100,1)</f>
        <v>** NOT USED **</v>
      </c>
      <c r="D100" s="207"/>
      <c r="E100" s="207"/>
      <c r="F100" s="207"/>
      <c r="G100" s="207"/>
      <c r="H100" s="207"/>
      <c r="I100" s="207"/>
      <c r="J100" s="188"/>
      <c r="K100" s="188"/>
      <c r="L100" s="782" t="str">
        <f>IF(C100&lt;&gt;MsgNotUsed,"Co-payment group " &amp; INDEX(CoPayBandChanged,B100),"")</f>
        <v/>
      </c>
      <c r="M100" s="782"/>
    </row>
    <row r="101" spans="1:13" ht="12.75" customHeight="1" outlineLevel="1" x14ac:dyDescent="0.2">
      <c r="A101" s="171"/>
      <c r="B101" s="352">
        <f>INDEX(SAChanged,B100,5)</f>
        <v>0</v>
      </c>
      <c r="C101" s="20"/>
      <c r="D101" s="419">
        <v>2</v>
      </c>
      <c r="E101" s="419">
        <v>3</v>
      </c>
      <c r="F101" s="201">
        <v>4</v>
      </c>
      <c r="G101" s="201">
        <v>5</v>
      </c>
      <c r="H101" s="201">
        <v>6</v>
      </c>
      <c r="I101" s="201">
        <v>7</v>
      </c>
      <c r="J101" s="19"/>
      <c r="K101" s="19"/>
      <c r="L101" s="19"/>
      <c r="M101" s="19"/>
    </row>
    <row r="102" spans="1:13" ht="12.75" customHeight="1" outlineLevel="1" x14ac:dyDescent="0.2">
      <c r="A102" s="171"/>
      <c r="B102" s="224"/>
      <c r="C102" s="171"/>
      <c r="D102" s="112">
        <f>FirstYear</f>
        <v>0</v>
      </c>
      <c r="E102" s="112">
        <f>D102+1</f>
        <v>1</v>
      </c>
      <c r="F102" s="112">
        <f>E102+1</f>
        <v>2</v>
      </c>
      <c r="G102" s="112">
        <f>F102+1</f>
        <v>3</v>
      </c>
      <c r="H102" s="112">
        <f>G102+1</f>
        <v>4</v>
      </c>
      <c r="I102" s="112">
        <f>H102+1</f>
        <v>5</v>
      </c>
      <c r="J102" s="171"/>
      <c r="K102" s="171"/>
      <c r="L102" s="171"/>
      <c r="M102" s="176"/>
    </row>
    <row r="103" spans="1:13" ht="12.75" customHeight="1" outlineLevel="1" x14ac:dyDescent="0.2">
      <c r="A103" s="171"/>
      <c r="B103" s="422">
        <v>1</v>
      </c>
      <c r="C103" s="115" t="s">
        <v>104</v>
      </c>
      <c r="D103" s="396">
        <f t="shared" ref="D103:I103" si="41">INDEX(PBSScriptsChanged,$B100,D101)*INDEX(DPMQCoPayChangedPub,$B100,$B103)</f>
        <v>0</v>
      </c>
      <c r="E103" s="396">
        <f t="shared" si="41"/>
        <v>0</v>
      </c>
      <c r="F103" s="396">
        <f t="shared" si="41"/>
        <v>0</v>
      </c>
      <c r="G103" s="396">
        <f t="shared" si="41"/>
        <v>0</v>
      </c>
      <c r="H103" s="396">
        <f t="shared" si="41"/>
        <v>0</v>
      </c>
      <c r="I103" s="396">
        <f t="shared" si="41"/>
        <v>0</v>
      </c>
      <c r="J103" s="171"/>
      <c r="K103" s="171"/>
      <c r="L103" s="171"/>
      <c r="M103" s="176"/>
    </row>
    <row r="104" spans="1:13" ht="12.75" customHeight="1" outlineLevel="1" x14ac:dyDescent="0.2">
      <c r="A104" s="171"/>
      <c r="B104" s="422">
        <v>3</v>
      </c>
      <c r="C104" s="11" t="s">
        <v>129</v>
      </c>
      <c r="D104" s="396">
        <f t="shared" ref="D104:I104" si="42">INDEX(PBSScriptsChanged,$B100,D101)*(INDEX(DPMQCoPayChangedPub,$B100,$B104)/INDEX(CoPayCountChanged,$B100))</f>
        <v>0</v>
      </c>
      <c r="E104" s="396">
        <f t="shared" si="42"/>
        <v>0</v>
      </c>
      <c r="F104" s="396">
        <f t="shared" si="42"/>
        <v>0</v>
      </c>
      <c r="G104" s="396">
        <f t="shared" si="42"/>
        <v>0</v>
      </c>
      <c r="H104" s="396">
        <f t="shared" si="42"/>
        <v>0</v>
      </c>
      <c r="I104" s="396">
        <f t="shared" si="42"/>
        <v>0</v>
      </c>
      <c r="J104" s="171"/>
      <c r="K104" s="763" t="str">
        <f>IF(B101&lt;&gt;0,MsgNote&amp;IF(B101="Yes",INDEX(CoPayMethod,1),INDEX(CoPayMethod,2)),"")</f>
        <v/>
      </c>
      <c r="L104" s="763"/>
      <c r="M104" s="763"/>
    </row>
    <row r="105" spans="1:13" ht="12.75" customHeight="1" outlineLevel="1" x14ac:dyDescent="0.2">
      <c r="A105" s="171"/>
      <c r="B105" s="224"/>
      <c r="C105" s="11" t="s">
        <v>106</v>
      </c>
      <c r="D105" s="396">
        <f t="shared" ref="D105:I105" si="43">D103+D104</f>
        <v>0</v>
      </c>
      <c r="E105" s="396">
        <f t="shared" si="43"/>
        <v>0</v>
      </c>
      <c r="F105" s="396">
        <f t="shared" si="43"/>
        <v>0</v>
      </c>
      <c r="G105" s="396">
        <f t="shared" si="43"/>
        <v>0</v>
      </c>
      <c r="H105" s="396">
        <f t="shared" si="43"/>
        <v>0</v>
      </c>
      <c r="I105" s="396">
        <f t="shared" si="43"/>
        <v>0</v>
      </c>
      <c r="J105" s="171"/>
      <c r="K105" s="171"/>
      <c r="L105" s="171"/>
      <c r="M105" s="176"/>
    </row>
    <row r="106" spans="1:13" ht="12.75" customHeight="1" outlineLevel="1" x14ac:dyDescent="0.2">
      <c r="A106" s="171"/>
      <c r="B106" s="202"/>
      <c r="C106" s="171"/>
      <c r="D106" s="171"/>
      <c r="E106" s="171"/>
      <c r="F106" s="171"/>
      <c r="G106" s="171"/>
      <c r="H106" s="171"/>
      <c r="I106" s="171"/>
      <c r="J106" s="171"/>
      <c r="K106" s="171"/>
      <c r="L106" s="171"/>
      <c r="M106" s="176"/>
    </row>
    <row r="107" spans="1:13" ht="15.75" customHeight="1" outlineLevel="1" x14ac:dyDescent="0.2">
      <c r="A107" s="171"/>
      <c r="B107" s="202"/>
      <c r="C107" s="193"/>
      <c r="D107" s="112">
        <f>FirstYear</f>
        <v>0</v>
      </c>
      <c r="E107" s="112">
        <f>D107+1</f>
        <v>1</v>
      </c>
      <c r="F107" s="112">
        <f>E107+1</f>
        <v>2</v>
      </c>
      <c r="G107" s="112">
        <f>F107+1</f>
        <v>3</v>
      </c>
      <c r="H107" s="112">
        <f>G107+1</f>
        <v>4</v>
      </c>
      <c r="I107" s="112">
        <f>H107+1</f>
        <v>5</v>
      </c>
      <c r="J107" s="171"/>
      <c r="K107" s="171"/>
      <c r="L107" s="171"/>
      <c r="M107" s="176"/>
    </row>
    <row r="108" spans="1:13" ht="12.75" customHeight="1" outlineLevel="1" x14ac:dyDescent="0.2">
      <c r="A108" s="171"/>
      <c r="B108" s="422">
        <v>1</v>
      </c>
      <c r="C108" s="115" t="s">
        <v>105</v>
      </c>
      <c r="D108" s="396">
        <f t="shared" ref="D108:I108" si="44">INDEX(RPBSScriptsChanged,$B100,D101)*INDEX(DPMQCoPayChangedPub,$B100,$B108)</f>
        <v>0</v>
      </c>
      <c r="E108" s="396">
        <f t="shared" si="44"/>
        <v>0</v>
      </c>
      <c r="F108" s="396">
        <f t="shared" si="44"/>
        <v>0</v>
      </c>
      <c r="G108" s="396">
        <f t="shared" si="44"/>
        <v>0</v>
      </c>
      <c r="H108" s="396">
        <f t="shared" si="44"/>
        <v>0</v>
      </c>
      <c r="I108" s="396">
        <f t="shared" si="44"/>
        <v>0</v>
      </c>
      <c r="J108" s="171"/>
      <c r="K108" s="171"/>
      <c r="L108" s="171"/>
      <c r="M108" s="176"/>
    </row>
    <row r="109" spans="1:13" ht="12.75" customHeight="1" outlineLevel="1" x14ac:dyDescent="0.2">
      <c r="A109" s="171"/>
      <c r="B109" s="422">
        <v>4</v>
      </c>
      <c r="C109" s="11" t="s">
        <v>129</v>
      </c>
      <c r="D109" s="396">
        <f t="shared" ref="D109:I109" si="45">INDEX(RPBSScriptsChanged,$B100,D101)*(INDEX(DPMQCoPayChangedPub,$B100,$B109)/INDEX(CoPayCountChanged,$B100))</f>
        <v>0</v>
      </c>
      <c r="E109" s="396">
        <f t="shared" si="45"/>
        <v>0</v>
      </c>
      <c r="F109" s="396">
        <f t="shared" si="45"/>
        <v>0</v>
      </c>
      <c r="G109" s="396">
        <f t="shared" si="45"/>
        <v>0</v>
      </c>
      <c r="H109" s="396">
        <f t="shared" si="45"/>
        <v>0</v>
      </c>
      <c r="I109" s="396">
        <f t="shared" si="45"/>
        <v>0</v>
      </c>
      <c r="J109" s="171"/>
      <c r="K109" s="171"/>
      <c r="L109" s="171"/>
      <c r="M109" s="176"/>
    </row>
    <row r="110" spans="1:13" ht="12.75" customHeight="1" outlineLevel="1" x14ac:dyDescent="0.2">
      <c r="A110" s="171"/>
      <c r="B110" s="224"/>
      <c r="C110" s="11" t="s">
        <v>107</v>
      </c>
      <c r="D110" s="396">
        <f t="shared" ref="D110:I110" si="46">D108+D109</f>
        <v>0</v>
      </c>
      <c r="E110" s="396">
        <f t="shared" si="46"/>
        <v>0</v>
      </c>
      <c r="F110" s="396">
        <f t="shared" si="46"/>
        <v>0</v>
      </c>
      <c r="G110" s="396">
        <f t="shared" si="46"/>
        <v>0</v>
      </c>
      <c r="H110" s="396">
        <f t="shared" si="46"/>
        <v>0</v>
      </c>
      <c r="I110" s="396">
        <f t="shared" si="46"/>
        <v>0</v>
      </c>
      <c r="J110" s="171"/>
      <c r="K110" s="171"/>
      <c r="L110" s="171"/>
      <c r="M110" s="176"/>
    </row>
    <row r="111" spans="1:13" ht="12.75" customHeight="1" x14ac:dyDescent="0.2">
      <c r="A111" s="171"/>
      <c r="B111" s="224"/>
      <c r="C111" s="171"/>
      <c r="D111" s="171"/>
      <c r="E111" s="171"/>
      <c r="F111" s="171"/>
      <c r="G111" s="171"/>
      <c r="H111" s="171"/>
      <c r="I111" s="171"/>
      <c r="J111" s="171"/>
      <c r="K111" s="171"/>
      <c r="L111" s="171"/>
      <c r="M111" s="577"/>
    </row>
    <row r="112" spans="1:13" ht="15" x14ac:dyDescent="0.2">
      <c r="A112" s="171"/>
      <c r="B112" s="423">
        <v>8</v>
      </c>
      <c r="C112" s="221" t="str">
        <f>INDEX(PBSScriptsChanged,B112,1)</f>
        <v>** NOT USED **</v>
      </c>
      <c r="D112" s="207"/>
      <c r="E112" s="207"/>
      <c r="F112" s="207"/>
      <c r="G112" s="207"/>
      <c r="H112" s="207"/>
      <c r="I112" s="207"/>
      <c r="J112" s="188"/>
      <c r="K112" s="188"/>
      <c r="L112" s="782" t="str">
        <f>IF(C112&lt;&gt;MsgNotUsed,"Co-payment group " &amp; INDEX(CoPayBandChanged,B112),"")</f>
        <v/>
      </c>
      <c r="M112" s="782"/>
    </row>
    <row r="113" spans="1:13" ht="12.75" customHeight="1" outlineLevel="1" x14ac:dyDescent="0.2">
      <c r="A113" s="171"/>
      <c r="B113" s="352">
        <f>INDEX(SAChanged,B112,5)</f>
        <v>0</v>
      </c>
      <c r="C113" s="20"/>
      <c r="D113" s="419">
        <v>2</v>
      </c>
      <c r="E113" s="419">
        <v>3</v>
      </c>
      <c r="F113" s="201">
        <v>4</v>
      </c>
      <c r="G113" s="201">
        <v>5</v>
      </c>
      <c r="H113" s="201">
        <v>6</v>
      </c>
      <c r="I113" s="201">
        <v>7</v>
      </c>
      <c r="J113" s="19"/>
      <c r="K113" s="19"/>
      <c r="L113" s="19"/>
      <c r="M113" s="19"/>
    </row>
    <row r="114" spans="1:13" ht="12.75" customHeight="1" outlineLevel="1" x14ac:dyDescent="0.2">
      <c r="A114" s="171"/>
      <c r="B114" s="224"/>
      <c r="C114" s="171"/>
      <c r="D114" s="112">
        <f>FirstYear</f>
        <v>0</v>
      </c>
      <c r="E114" s="112">
        <f>D114+1</f>
        <v>1</v>
      </c>
      <c r="F114" s="112">
        <f>E114+1</f>
        <v>2</v>
      </c>
      <c r="G114" s="112">
        <f>F114+1</f>
        <v>3</v>
      </c>
      <c r="H114" s="112">
        <f>G114+1</f>
        <v>4</v>
      </c>
      <c r="I114" s="112">
        <f>H114+1</f>
        <v>5</v>
      </c>
      <c r="J114" s="171"/>
      <c r="K114" s="171"/>
      <c r="L114" s="171"/>
      <c r="M114" s="176"/>
    </row>
    <row r="115" spans="1:13" ht="12.75" customHeight="1" outlineLevel="1" x14ac:dyDescent="0.2">
      <c r="A115" s="171"/>
      <c r="B115" s="422">
        <v>1</v>
      </c>
      <c r="C115" s="115" t="s">
        <v>104</v>
      </c>
      <c r="D115" s="396">
        <f t="shared" ref="D115:I115" si="47">INDEX(PBSScriptsChanged,$B112,D113)*INDEX(DPMQCoPayChangedPub,$B112,$B115)</f>
        <v>0</v>
      </c>
      <c r="E115" s="396">
        <f t="shared" si="47"/>
        <v>0</v>
      </c>
      <c r="F115" s="396">
        <f t="shared" si="47"/>
        <v>0</v>
      </c>
      <c r="G115" s="396">
        <f t="shared" si="47"/>
        <v>0</v>
      </c>
      <c r="H115" s="396">
        <f t="shared" si="47"/>
        <v>0</v>
      </c>
      <c r="I115" s="396">
        <f t="shared" si="47"/>
        <v>0</v>
      </c>
      <c r="J115" s="171"/>
      <c r="K115" s="171"/>
      <c r="L115" s="171"/>
      <c r="M115" s="176"/>
    </row>
    <row r="116" spans="1:13" ht="12.75" customHeight="1" outlineLevel="1" x14ac:dyDescent="0.2">
      <c r="A116" s="171"/>
      <c r="B116" s="422">
        <v>3</v>
      </c>
      <c r="C116" s="11" t="s">
        <v>129</v>
      </c>
      <c r="D116" s="396">
        <f t="shared" ref="D116:I116" si="48">INDEX(PBSScriptsChanged,$B112,D113)*(INDEX(DPMQCoPayChangedPub,$B112,$B116)/INDEX(CoPayCountChanged,$B112))</f>
        <v>0</v>
      </c>
      <c r="E116" s="396">
        <f t="shared" si="48"/>
        <v>0</v>
      </c>
      <c r="F116" s="396">
        <f t="shared" si="48"/>
        <v>0</v>
      </c>
      <c r="G116" s="396">
        <f t="shared" si="48"/>
        <v>0</v>
      </c>
      <c r="H116" s="396">
        <f t="shared" si="48"/>
        <v>0</v>
      </c>
      <c r="I116" s="396">
        <f t="shared" si="48"/>
        <v>0</v>
      </c>
      <c r="J116" s="171"/>
      <c r="K116" s="763" t="str">
        <f>IF(B113&lt;&gt;0,MsgNote&amp;IF(B113="Yes",INDEX(CoPayMethod,1),INDEX(CoPayMethod,2)),"")</f>
        <v/>
      </c>
      <c r="L116" s="763"/>
      <c r="M116" s="763"/>
    </row>
    <row r="117" spans="1:13" ht="12.75" customHeight="1" outlineLevel="1" x14ac:dyDescent="0.2">
      <c r="A117" s="171"/>
      <c r="B117" s="224"/>
      <c r="C117" s="11" t="s">
        <v>106</v>
      </c>
      <c r="D117" s="396">
        <f t="shared" ref="D117:I117" si="49">D115+D116</f>
        <v>0</v>
      </c>
      <c r="E117" s="396">
        <f t="shared" si="49"/>
        <v>0</v>
      </c>
      <c r="F117" s="396">
        <f t="shared" si="49"/>
        <v>0</v>
      </c>
      <c r="G117" s="396">
        <f t="shared" si="49"/>
        <v>0</v>
      </c>
      <c r="H117" s="396">
        <f t="shared" si="49"/>
        <v>0</v>
      </c>
      <c r="I117" s="396">
        <f t="shared" si="49"/>
        <v>0</v>
      </c>
      <c r="J117" s="171"/>
      <c r="K117" s="171"/>
      <c r="L117" s="171"/>
      <c r="M117" s="176"/>
    </row>
    <row r="118" spans="1:13" ht="12.75" customHeight="1" outlineLevel="1" x14ac:dyDescent="0.2">
      <c r="A118" s="171"/>
      <c r="B118" s="202"/>
      <c r="C118" s="171"/>
      <c r="D118" s="171"/>
      <c r="E118" s="171"/>
      <c r="F118" s="171"/>
      <c r="G118" s="171"/>
      <c r="H118" s="171"/>
      <c r="I118" s="171"/>
      <c r="J118" s="171"/>
      <c r="K118" s="171"/>
      <c r="L118" s="171"/>
      <c r="M118" s="176"/>
    </row>
    <row r="119" spans="1:13" ht="15.75" customHeight="1" outlineLevel="1" x14ac:dyDescent="0.2">
      <c r="A119" s="171"/>
      <c r="B119" s="202"/>
      <c r="C119" s="193"/>
      <c r="D119" s="112">
        <f>FirstYear</f>
        <v>0</v>
      </c>
      <c r="E119" s="112">
        <f>D119+1</f>
        <v>1</v>
      </c>
      <c r="F119" s="112">
        <f>E119+1</f>
        <v>2</v>
      </c>
      <c r="G119" s="112">
        <f>F119+1</f>
        <v>3</v>
      </c>
      <c r="H119" s="112">
        <f>G119+1</f>
        <v>4</v>
      </c>
      <c r="I119" s="112">
        <f>H119+1</f>
        <v>5</v>
      </c>
      <c r="J119" s="171"/>
      <c r="K119" s="171"/>
      <c r="L119" s="171"/>
      <c r="M119" s="176"/>
    </row>
    <row r="120" spans="1:13" ht="12.75" customHeight="1" outlineLevel="1" x14ac:dyDescent="0.2">
      <c r="A120" s="171"/>
      <c r="B120" s="422">
        <v>1</v>
      </c>
      <c r="C120" s="115" t="s">
        <v>105</v>
      </c>
      <c r="D120" s="396">
        <f t="shared" ref="D120:I120" si="50">INDEX(RPBSScriptsChanged,$B112,D113)*INDEX(DPMQCoPayChangedPub,$B112,$B120)</f>
        <v>0</v>
      </c>
      <c r="E120" s="396">
        <f t="shared" si="50"/>
        <v>0</v>
      </c>
      <c r="F120" s="396">
        <f t="shared" si="50"/>
        <v>0</v>
      </c>
      <c r="G120" s="396">
        <f t="shared" si="50"/>
        <v>0</v>
      </c>
      <c r="H120" s="396">
        <f t="shared" si="50"/>
        <v>0</v>
      </c>
      <c r="I120" s="396">
        <f t="shared" si="50"/>
        <v>0</v>
      </c>
      <c r="J120" s="171"/>
      <c r="K120" s="171"/>
      <c r="L120" s="171"/>
      <c r="M120" s="176"/>
    </row>
    <row r="121" spans="1:13" ht="12.75" customHeight="1" outlineLevel="1" x14ac:dyDescent="0.2">
      <c r="A121" s="171"/>
      <c r="B121" s="422">
        <v>4</v>
      </c>
      <c r="C121" s="11" t="s">
        <v>129</v>
      </c>
      <c r="D121" s="396">
        <f t="shared" ref="D121:I121" si="51">INDEX(RPBSScriptsChanged,$B112,D113)*(INDEX(DPMQCoPayChangedPub,$B112,$B121)/INDEX(CoPayCountChanged,$B112))</f>
        <v>0</v>
      </c>
      <c r="E121" s="396">
        <f t="shared" si="51"/>
        <v>0</v>
      </c>
      <c r="F121" s="396">
        <f t="shared" si="51"/>
        <v>0</v>
      </c>
      <c r="G121" s="396">
        <f t="shared" si="51"/>
        <v>0</v>
      </c>
      <c r="H121" s="396">
        <f t="shared" si="51"/>
        <v>0</v>
      </c>
      <c r="I121" s="396">
        <f t="shared" si="51"/>
        <v>0</v>
      </c>
      <c r="J121" s="171"/>
      <c r="K121" s="171"/>
      <c r="L121" s="171"/>
      <c r="M121" s="176"/>
    </row>
    <row r="122" spans="1:13" ht="12.75" customHeight="1" outlineLevel="1" x14ac:dyDescent="0.2">
      <c r="A122" s="171"/>
      <c r="B122" s="224"/>
      <c r="C122" s="11" t="s">
        <v>107</v>
      </c>
      <c r="D122" s="396">
        <f t="shared" ref="D122:I122" si="52">D120+D121</f>
        <v>0</v>
      </c>
      <c r="E122" s="396">
        <f t="shared" si="52"/>
        <v>0</v>
      </c>
      <c r="F122" s="396">
        <f t="shared" si="52"/>
        <v>0</v>
      </c>
      <c r="G122" s="396">
        <f t="shared" si="52"/>
        <v>0</v>
      </c>
      <c r="H122" s="396">
        <f t="shared" si="52"/>
        <v>0</v>
      </c>
      <c r="I122" s="396">
        <f t="shared" si="52"/>
        <v>0</v>
      </c>
      <c r="J122" s="171"/>
      <c r="K122" s="171"/>
      <c r="L122" s="171"/>
      <c r="M122" s="176"/>
    </row>
    <row r="123" spans="1:13" ht="12.75" customHeight="1" x14ac:dyDescent="0.2">
      <c r="A123" s="171"/>
      <c r="B123" s="224"/>
      <c r="C123" s="171"/>
      <c r="D123" s="171"/>
      <c r="E123" s="171"/>
      <c r="F123" s="171"/>
      <c r="G123" s="171"/>
      <c r="H123" s="171"/>
      <c r="I123" s="171"/>
      <c r="J123" s="171"/>
      <c r="K123" s="171"/>
      <c r="L123" s="171"/>
      <c r="M123" s="577"/>
    </row>
    <row r="124" spans="1:13" ht="15" x14ac:dyDescent="0.2">
      <c r="A124" s="171"/>
      <c r="B124" s="423">
        <v>9</v>
      </c>
      <c r="C124" s="221" t="str">
        <f>INDEX(PBSScriptsChanged,B124,1)</f>
        <v>** NOT USED **</v>
      </c>
      <c r="D124" s="207"/>
      <c r="E124" s="207"/>
      <c r="F124" s="207"/>
      <c r="G124" s="207"/>
      <c r="H124" s="207"/>
      <c r="I124" s="207"/>
      <c r="J124" s="188"/>
      <c r="K124" s="188"/>
      <c r="L124" s="782" t="str">
        <f>IF(C124&lt;&gt;MsgNotUsed,"Co-payment group " &amp; INDEX(CoPayBandChanged,B124),"")</f>
        <v/>
      </c>
      <c r="M124" s="782"/>
    </row>
    <row r="125" spans="1:13" ht="12.75" customHeight="1" outlineLevel="1" x14ac:dyDescent="0.2">
      <c r="A125" s="171"/>
      <c r="B125" s="352">
        <f>INDEX(SAChanged,B124,5)</f>
        <v>0</v>
      </c>
      <c r="C125" s="20"/>
      <c r="D125" s="419">
        <v>2</v>
      </c>
      <c r="E125" s="419">
        <v>3</v>
      </c>
      <c r="F125" s="201">
        <v>4</v>
      </c>
      <c r="G125" s="201">
        <v>5</v>
      </c>
      <c r="H125" s="201">
        <v>6</v>
      </c>
      <c r="I125" s="201">
        <v>7</v>
      </c>
      <c r="J125" s="19"/>
      <c r="K125" s="19"/>
      <c r="L125" s="19"/>
      <c r="M125" s="19"/>
    </row>
    <row r="126" spans="1:13" ht="12.75" customHeight="1" outlineLevel="1" x14ac:dyDescent="0.2">
      <c r="A126" s="171"/>
      <c r="B126" s="224"/>
      <c r="C126" s="171"/>
      <c r="D126" s="112">
        <f>FirstYear</f>
        <v>0</v>
      </c>
      <c r="E126" s="112">
        <f>D126+1</f>
        <v>1</v>
      </c>
      <c r="F126" s="112">
        <f>E126+1</f>
        <v>2</v>
      </c>
      <c r="G126" s="112">
        <f>F126+1</f>
        <v>3</v>
      </c>
      <c r="H126" s="112">
        <f>G126+1</f>
        <v>4</v>
      </c>
      <c r="I126" s="112">
        <f>H126+1</f>
        <v>5</v>
      </c>
      <c r="J126" s="171"/>
      <c r="K126" s="171"/>
      <c r="L126" s="171"/>
      <c r="M126" s="171"/>
    </row>
    <row r="127" spans="1:13" ht="12.75" customHeight="1" outlineLevel="1" x14ac:dyDescent="0.2">
      <c r="A127" s="171"/>
      <c r="B127" s="422">
        <v>1</v>
      </c>
      <c r="C127" s="115" t="s">
        <v>104</v>
      </c>
      <c r="D127" s="396">
        <f t="shared" ref="D127:I127" si="53">INDEX(PBSScriptsChanged,$B124,D125)*INDEX(DPMQCoPayChangedPub,$B124,$B127)</f>
        <v>0</v>
      </c>
      <c r="E127" s="396">
        <f t="shared" si="53"/>
        <v>0</v>
      </c>
      <c r="F127" s="396">
        <f t="shared" si="53"/>
        <v>0</v>
      </c>
      <c r="G127" s="396">
        <f t="shared" si="53"/>
        <v>0</v>
      </c>
      <c r="H127" s="396">
        <f t="shared" si="53"/>
        <v>0</v>
      </c>
      <c r="I127" s="396">
        <f t="shared" si="53"/>
        <v>0</v>
      </c>
      <c r="J127" s="171"/>
      <c r="K127" s="171"/>
      <c r="L127" s="171"/>
      <c r="M127" s="171"/>
    </row>
    <row r="128" spans="1:13" ht="12.75" customHeight="1" outlineLevel="1" x14ac:dyDescent="0.2">
      <c r="A128" s="171"/>
      <c r="B128" s="422">
        <v>3</v>
      </c>
      <c r="C128" s="11" t="s">
        <v>129</v>
      </c>
      <c r="D128" s="396">
        <f t="shared" ref="D128:I128" si="54">INDEX(PBSScriptsChanged,$B124,D125)*(INDEX(DPMQCoPayChangedPub,$B124,$B128)/INDEX(CoPayCountChanged,$B124))</f>
        <v>0</v>
      </c>
      <c r="E128" s="396">
        <f t="shared" si="54"/>
        <v>0</v>
      </c>
      <c r="F128" s="396">
        <f t="shared" si="54"/>
        <v>0</v>
      </c>
      <c r="G128" s="396">
        <f t="shared" si="54"/>
        <v>0</v>
      </c>
      <c r="H128" s="396">
        <f t="shared" si="54"/>
        <v>0</v>
      </c>
      <c r="I128" s="396">
        <f t="shared" si="54"/>
        <v>0</v>
      </c>
      <c r="J128" s="171"/>
      <c r="K128" s="763" t="str">
        <f>IF(B125&lt;&gt;0,MsgNote&amp;IF(B125="Yes",INDEX(CoPayMethod,1),INDEX(CoPayMethod,2)),"")</f>
        <v/>
      </c>
      <c r="L128" s="763"/>
      <c r="M128" s="763"/>
    </row>
    <row r="129" spans="1:13" ht="12.75" customHeight="1" outlineLevel="1" x14ac:dyDescent="0.2">
      <c r="A129" s="171"/>
      <c r="B129" s="224"/>
      <c r="C129" s="11" t="s">
        <v>106</v>
      </c>
      <c r="D129" s="396">
        <f t="shared" ref="D129:I129" si="55">D127+D128</f>
        <v>0</v>
      </c>
      <c r="E129" s="396">
        <f t="shared" si="55"/>
        <v>0</v>
      </c>
      <c r="F129" s="396">
        <f t="shared" si="55"/>
        <v>0</v>
      </c>
      <c r="G129" s="396">
        <f t="shared" si="55"/>
        <v>0</v>
      </c>
      <c r="H129" s="396">
        <f t="shared" si="55"/>
        <v>0</v>
      </c>
      <c r="I129" s="396">
        <f t="shared" si="55"/>
        <v>0</v>
      </c>
      <c r="J129" s="171"/>
      <c r="K129" s="171"/>
      <c r="L129" s="171"/>
      <c r="M129" s="171"/>
    </row>
    <row r="130" spans="1:13" ht="12.75" customHeight="1" outlineLevel="1" x14ac:dyDescent="0.2">
      <c r="A130" s="171"/>
      <c r="B130" s="202"/>
      <c r="C130" s="171"/>
      <c r="D130" s="171"/>
      <c r="E130" s="171"/>
      <c r="F130" s="171"/>
      <c r="G130" s="171"/>
      <c r="H130" s="171"/>
      <c r="I130" s="171"/>
      <c r="J130" s="171"/>
      <c r="K130" s="171"/>
      <c r="L130" s="171"/>
      <c r="M130" s="171"/>
    </row>
    <row r="131" spans="1:13" ht="15.75" customHeight="1" outlineLevel="1" x14ac:dyDescent="0.2">
      <c r="A131" s="171"/>
      <c r="B131" s="202"/>
      <c r="C131" s="193"/>
      <c r="D131" s="112">
        <f>FirstYear</f>
        <v>0</v>
      </c>
      <c r="E131" s="112">
        <f>D131+1</f>
        <v>1</v>
      </c>
      <c r="F131" s="112">
        <f>E131+1</f>
        <v>2</v>
      </c>
      <c r="G131" s="112">
        <f>F131+1</f>
        <v>3</v>
      </c>
      <c r="H131" s="112">
        <f>G131+1</f>
        <v>4</v>
      </c>
      <c r="I131" s="112">
        <f>H131+1</f>
        <v>5</v>
      </c>
      <c r="J131" s="171"/>
      <c r="K131" s="171"/>
      <c r="L131" s="171"/>
      <c r="M131" s="171"/>
    </row>
    <row r="132" spans="1:13" ht="12.75" customHeight="1" outlineLevel="1" x14ac:dyDescent="0.2">
      <c r="A132" s="171"/>
      <c r="B132" s="422">
        <v>1</v>
      </c>
      <c r="C132" s="115" t="s">
        <v>105</v>
      </c>
      <c r="D132" s="396">
        <f t="shared" ref="D132:I132" si="56">INDEX(RPBSScriptsChanged,$B124,D125)*INDEX(DPMQCoPayChangedPub,$B124,$B132)</f>
        <v>0</v>
      </c>
      <c r="E132" s="396">
        <f t="shared" si="56"/>
        <v>0</v>
      </c>
      <c r="F132" s="396">
        <f t="shared" si="56"/>
        <v>0</v>
      </c>
      <c r="G132" s="396">
        <f t="shared" si="56"/>
        <v>0</v>
      </c>
      <c r="H132" s="396">
        <f t="shared" si="56"/>
        <v>0</v>
      </c>
      <c r="I132" s="396">
        <f t="shared" si="56"/>
        <v>0</v>
      </c>
      <c r="J132" s="171"/>
      <c r="K132" s="171"/>
      <c r="L132" s="171"/>
      <c r="M132" s="171"/>
    </row>
    <row r="133" spans="1:13" ht="12.75" customHeight="1" outlineLevel="1" x14ac:dyDescent="0.2">
      <c r="A133" s="171"/>
      <c r="B133" s="422">
        <v>4</v>
      </c>
      <c r="C133" s="11" t="s">
        <v>129</v>
      </c>
      <c r="D133" s="396">
        <f t="shared" ref="D133:I133" si="57">INDEX(RPBSScriptsChanged,$B124,D125)*(INDEX(DPMQCoPayChangedPub,$B124,$B133)/INDEX(CoPayCountChanged,$B124))</f>
        <v>0</v>
      </c>
      <c r="E133" s="396">
        <f t="shared" si="57"/>
        <v>0</v>
      </c>
      <c r="F133" s="396">
        <f t="shared" si="57"/>
        <v>0</v>
      </c>
      <c r="G133" s="396">
        <f t="shared" si="57"/>
        <v>0</v>
      </c>
      <c r="H133" s="396">
        <f t="shared" si="57"/>
        <v>0</v>
      </c>
      <c r="I133" s="396">
        <f t="shared" si="57"/>
        <v>0</v>
      </c>
      <c r="J133" s="171"/>
      <c r="K133" s="171"/>
      <c r="L133" s="171"/>
      <c r="M133" s="171"/>
    </row>
    <row r="134" spans="1:13" ht="12.75" customHeight="1" outlineLevel="1" x14ac:dyDescent="0.2">
      <c r="A134" s="171"/>
      <c r="B134" s="224"/>
      <c r="C134" s="11" t="s">
        <v>107</v>
      </c>
      <c r="D134" s="396">
        <f t="shared" ref="D134:I134" si="58">D132+D133</f>
        <v>0</v>
      </c>
      <c r="E134" s="396">
        <f t="shared" si="58"/>
        <v>0</v>
      </c>
      <c r="F134" s="396">
        <f t="shared" si="58"/>
        <v>0</v>
      </c>
      <c r="G134" s="396">
        <f t="shared" si="58"/>
        <v>0</v>
      </c>
      <c r="H134" s="396">
        <f t="shared" si="58"/>
        <v>0</v>
      </c>
      <c r="I134" s="396">
        <f t="shared" si="58"/>
        <v>0</v>
      </c>
      <c r="J134" s="171"/>
      <c r="K134" s="171"/>
      <c r="L134" s="171"/>
      <c r="M134" s="171"/>
    </row>
    <row r="135" spans="1:13" ht="12.75" customHeight="1" x14ac:dyDescent="0.2">
      <c r="A135" s="171"/>
      <c r="B135" s="224"/>
      <c r="C135" s="171"/>
      <c r="D135" s="171"/>
      <c r="E135" s="171"/>
      <c r="F135" s="171"/>
      <c r="G135" s="171"/>
      <c r="H135" s="171"/>
      <c r="I135" s="171"/>
      <c r="J135" s="171"/>
      <c r="K135" s="171"/>
      <c r="L135" s="171"/>
      <c r="M135" s="171"/>
    </row>
    <row r="136" spans="1:13" ht="15" x14ac:dyDescent="0.2">
      <c r="A136" s="171"/>
      <c r="B136" s="423">
        <v>10</v>
      </c>
      <c r="C136" s="221" t="str">
        <f>INDEX(PBSScriptsChanged,B136,1)</f>
        <v>** NOT USED **</v>
      </c>
      <c r="D136" s="207"/>
      <c r="E136" s="207"/>
      <c r="F136" s="207"/>
      <c r="G136" s="207"/>
      <c r="H136" s="207"/>
      <c r="I136" s="207"/>
      <c r="J136" s="188"/>
      <c r="K136" s="188"/>
      <c r="L136" s="782" t="str">
        <f>IF(C136&lt;&gt;MsgNotUsed,"Co-payment group " &amp; INDEX(CoPayBandChanged,B136),"")</f>
        <v/>
      </c>
      <c r="M136" s="782"/>
    </row>
    <row r="137" spans="1:13" ht="12.75" customHeight="1" outlineLevel="1" x14ac:dyDescent="0.2">
      <c r="A137" s="171"/>
      <c r="B137" s="352">
        <f>INDEX(SAChanged,B136,5)</f>
        <v>0</v>
      </c>
      <c r="C137" s="20"/>
      <c r="D137" s="419">
        <v>2</v>
      </c>
      <c r="E137" s="419">
        <v>3</v>
      </c>
      <c r="F137" s="201">
        <v>4</v>
      </c>
      <c r="G137" s="201">
        <v>5</v>
      </c>
      <c r="H137" s="201">
        <v>6</v>
      </c>
      <c r="I137" s="201">
        <v>7</v>
      </c>
      <c r="J137" s="19"/>
      <c r="K137" s="19"/>
      <c r="L137" s="19"/>
      <c r="M137" s="19"/>
    </row>
    <row r="138" spans="1:13" ht="12.75" customHeight="1" outlineLevel="1" x14ac:dyDescent="0.2">
      <c r="A138" s="171"/>
      <c r="B138" s="224"/>
      <c r="C138" s="171"/>
      <c r="D138" s="112">
        <f>FirstYear</f>
        <v>0</v>
      </c>
      <c r="E138" s="112">
        <f>D138+1</f>
        <v>1</v>
      </c>
      <c r="F138" s="112">
        <f>E138+1</f>
        <v>2</v>
      </c>
      <c r="G138" s="112">
        <f>F138+1</f>
        <v>3</v>
      </c>
      <c r="H138" s="112">
        <f>G138+1</f>
        <v>4</v>
      </c>
      <c r="I138" s="112">
        <f>H138+1</f>
        <v>5</v>
      </c>
      <c r="J138" s="171"/>
      <c r="K138" s="171"/>
      <c r="L138" s="171"/>
      <c r="M138" s="171"/>
    </row>
    <row r="139" spans="1:13" ht="12.75" customHeight="1" outlineLevel="1" x14ac:dyDescent="0.2">
      <c r="A139" s="171"/>
      <c r="B139" s="422">
        <v>1</v>
      </c>
      <c r="C139" s="115" t="s">
        <v>104</v>
      </c>
      <c r="D139" s="396">
        <f t="shared" ref="D139:I139" si="59">INDEX(PBSScriptsChanged,$B136,D137)*INDEX(DPMQCoPayChangedPub,$B136,$B139)</f>
        <v>0</v>
      </c>
      <c r="E139" s="396">
        <f t="shared" si="59"/>
        <v>0</v>
      </c>
      <c r="F139" s="396">
        <f t="shared" si="59"/>
        <v>0</v>
      </c>
      <c r="G139" s="396">
        <f t="shared" si="59"/>
        <v>0</v>
      </c>
      <c r="H139" s="396">
        <f t="shared" si="59"/>
        <v>0</v>
      </c>
      <c r="I139" s="396">
        <f t="shared" si="59"/>
        <v>0</v>
      </c>
      <c r="J139" s="171"/>
      <c r="K139" s="171"/>
      <c r="L139" s="171"/>
      <c r="M139" s="171"/>
    </row>
    <row r="140" spans="1:13" ht="12.75" customHeight="1" outlineLevel="1" x14ac:dyDescent="0.2">
      <c r="A140" s="171"/>
      <c r="B140" s="422">
        <v>3</v>
      </c>
      <c r="C140" s="11" t="s">
        <v>129</v>
      </c>
      <c r="D140" s="396">
        <f t="shared" ref="D140:I140" si="60">INDEX(PBSScriptsChanged,$B136,D137)*(INDEX(DPMQCoPayChangedPub,$B136,$B140)/INDEX(CoPayCountChanged,$B136))</f>
        <v>0</v>
      </c>
      <c r="E140" s="396">
        <f t="shared" si="60"/>
        <v>0</v>
      </c>
      <c r="F140" s="396">
        <f t="shared" si="60"/>
        <v>0</v>
      </c>
      <c r="G140" s="396">
        <f t="shared" si="60"/>
        <v>0</v>
      </c>
      <c r="H140" s="396">
        <f t="shared" si="60"/>
        <v>0</v>
      </c>
      <c r="I140" s="396">
        <f t="shared" si="60"/>
        <v>0</v>
      </c>
      <c r="J140" s="171"/>
      <c r="K140" s="763" t="str">
        <f>IF(B137&lt;&gt;0,MsgNote&amp;IF(B137="Yes",INDEX(CoPayMethod,1),INDEX(CoPayMethod,2)),"")</f>
        <v/>
      </c>
      <c r="L140" s="763"/>
      <c r="M140" s="763"/>
    </row>
    <row r="141" spans="1:13" ht="12.75" customHeight="1" outlineLevel="1" x14ac:dyDescent="0.2">
      <c r="A141" s="171"/>
      <c r="B141" s="224"/>
      <c r="C141" s="11" t="s">
        <v>106</v>
      </c>
      <c r="D141" s="396">
        <f t="shared" ref="D141:I141" si="61">D139+D140</f>
        <v>0</v>
      </c>
      <c r="E141" s="396">
        <f t="shared" si="61"/>
        <v>0</v>
      </c>
      <c r="F141" s="396">
        <f t="shared" si="61"/>
        <v>0</v>
      </c>
      <c r="G141" s="396">
        <f t="shared" si="61"/>
        <v>0</v>
      </c>
      <c r="H141" s="396">
        <f t="shared" si="61"/>
        <v>0</v>
      </c>
      <c r="I141" s="396">
        <f t="shared" si="61"/>
        <v>0</v>
      </c>
      <c r="J141" s="171"/>
      <c r="K141" s="171"/>
      <c r="L141" s="171"/>
      <c r="M141" s="171"/>
    </row>
    <row r="142" spans="1:13" ht="12.75" customHeight="1" outlineLevel="1" x14ac:dyDescent="0.2">
      <c r="A142" s="171"/>
      <c r="B142" s="202"/>
      <c r="C142" s="171"/>
      <c r="D142" s="171"/>
      <c r="E142" s="171"/>
      <c r="F142" s="171"/>
      <c r="G142" s="171"/>
      <c r="H142" s="171"/>
      <c r="I142" s="171"/>
      <c r="J142" s="171"/>
      <c r="K142" s="171"/>
      <c r="L142" s="171"/>
      <c r="M142" s="171"/>
    </row>
    <row r="143" spans="1:13" ht="15.75" customHeight="1" outlineLevel="1" x14ac:dyDescent="0.2">
      <c r="A143" s="171"/>
      <c r="B143" s="202"/>
      <c r="C143" s="193"/>
      <c r="D143" s="112">
        <f>FirstYear</f>
        <v>0</v>
      </c>
      <c r="E143" s="112">
        <f>D143+1</f>
        <v>1</v>
      </c>
      <c r="F143" s="112">
        <f>E143+1</f>
        <v>2</v>
      </c>
      <c r="G143" s="112">
        <f>F143+1</f>
        <v>3</v>
      </c>
      <c r="H143" s="112">
        <f>G143+1</f>
        <v>4</v>
      </c>
      <c r="I143" s="112">
        <f>H143+1</f>
        <v>5</v>
      </c>
      <c r="J143" s="171"/>
      <c r="K143" s="171"/>
      <c r="L143" s="171"/>
      <c r="M143" s="171"/>
    </row>
    <row r="144" spans="1:13" ht="12.75" customHeight="1" outlineLevel="1" x14ac:dyDescent="0.2">
      <c r="A144" s="171"/>
      <c r="B144" s="422">
        <v>1</v>
      </c>
      <c r="C144" s="115" t="s">
        <v>105</v>
      </c>
      <c r="D144" s="396">
        <f t="shared" ref="D144:I144" si="62">INDEX(RPBSScriptsChanged,$B136,D137)*INDEX(DPMQCoPayChangedPub,$B136,$B144)</f>
        <v>0</v>
      </c>
      <c r="E144" s="396">
        <f t="shared" si="62"/>
        <v>0</v>
      </c>
      <c r="F144" s="396">
        <f t="shared" si="62"/>
        <v>0</v>
      </c>
      <c r="G144" s="396">
        <f t="shared" si="62"/>
        <v>0</v>
      </c>
      <c r="H144" s="396">
        <f t="shared" si="62"/>
        <v>0</v>
      </c>
      <c r="I144" s="396">
        <f t="shared" si="62"/>
        <v>0</v>
      </c>
      <c r="J144" s="171"/>
      <c r="K144" s="171"/>
      <c r="L144" s="171"/>
      <c r="M144" s="171"/>
    </row>
    <row r="145" spans="1:13" ht="12.75" customHeight="1" outlineLevel="1" x14ac:dyDescent="0.2">
      <c r="A145" s="171"/>
      <c r="B145" s="422">
        <v>4</v>
      </c>
      <c r="C145" s="11" t="s">
        <v>129</v>
      </c>
      <c r="D145" s="396">
        <f t="shared" ref="D145:I145" si="63">INDEX(RPBSScriptsChanged,$B136,D137)*(INDEX(DPMQCoPayChangedPub,$B136,$B145)/INDEX(CoPayCountChanged,$B136))</f>
        <v>0</v>
      </c>
      <c r="E145" s="396">
        <f t="shared" si="63"/>
        <v>0</v>
      </c>
      <c r="F145" s="396">
        <f t="shared" si="63"/>
        <v>0</v>
      </c>
      <c r="G145" s="396">
        <f t="shared" si="63"/>
        <v>0</v>
      </c>
      <c r="H145" s="396">
        <f t="shared" si="63"/>
        <v>0</v>
      </c>
      <c r="I145" s="396">
        <f t="shared" si="63"/>
        <v>0</v>
      </c>
      <c r="J145" s="171"/>
      <c r="K145" s="171"/>
      <c r="L145" s="171"/>
      <c r="M145" s="171"/>
    </row>
    <row r="146" spans="1:13" ht="12.75" customHeight="1" outlineLevel="1" x14ac:dyDescent="0.2">
      <c r="A146" s="171"/>
      <c r="B146" s="224"/>
      <c r="C146" s="11" t="s">
        <v>107</v>
      </c>
      <c r="D146" s="396">
        <f t="shared" ref="D146:I146" si="64">D144+D145</f>
        <v>0</v>
      </c>
      <c r="E146" s="396">
        <f t="shared" si="64"/>
        <v>0</v>
      </c>
      <c r="F146" s="396">
        <f t="shared" si="64"/>
        <v>0</v>
      </c>
      <c r="G146" s="396">
        <f t="shared" si="64"/>
        <v>0</v>
      </c>
      <c r="H146" s="396">
        <f t="shared" si="64"/>
        <v>0</v>
      </c>
      <c r="I146" s="396">
        <f t="shared" si="64"/>
        <v>0</v>
      </c>
      <c r="J146" s="171"/>
      <c r="K146" s="171"/>
      <c r="L146" s="171"/>
      <c r="M146" s="171"/>
    </row>
    <row r="147" spans="1:13" ht="12.75" customHeight="1" x14ac:dyDescent="0.2">
      <c r="A147" s="171"/>
      <c r="B147" s="224"/>
      <c r="C147" s="171"/>
      <c r="D147" s="171"/>
      <c r="E147" s="171"/>
      <c r="F147" s="171"/>
      <c r="G147" s="171"/>
      <c r="H147" s="171"/>
      <c r="I147" s="171"/>
      <c r="J147" s="171"/>
      <c r="K147" s="171"/>
      <c r="L147" s="171"/>
      <c r="M147" s="171"/>
    </row>
    <row r="148" spans="1:13" ht="15" x14ac:dyDescent="0.2">
      <c r="A148" s="171"/>
      <c r="B148" s="423">
        <v>11</v>
      </c>
      <c r="C148" s="221" t="str">
        <f>INDEX(PBSScriptsChanged,B148,1)</f>
        <v>** NOT USED **</v>
      </c>
      <c r="D148" s="207"/>
      <c r="E148" s="207"/>
      <c r="F148" s="207"/>
      <c r="G148" s="207"/>
      <c r="H148" s="207"/>
      <c r="I148" s="207"/>
      <c r="J148" s="188"/>
      <c r="K148" s="188"/>
      <c r="L148" s="782" t="str">
        <f>IF(C148&lt;&gt;MsgNotUsed,"Co-payment group " &amp; INDEX(CoPayBandChanged,B148),"")</f>
        <v/>
      </c>
      <c r="M148" s="782"/>
    </row>
    <row r="149" spans="1:13" ht="12.75" customHeight="1" outlineLevel="1" x14ac:dyDescent="0.2">
      <c r="A149" s="171"/>
      <c r="B149" s="352">
        <f>INDEX(SAChanged,B148,5)</f>
        <v>0</v>
      </c>
      <c r="C149" s="20"/>
      <c r="D149" s="419">
        <v>2</v>
      </c>
      <c r="E149" s="419">
        <v>3</v>
      </c>
      <c r="F149" s="201">
        <v>4</v>
      </c>
      <c r="G149" s="201">
        <v>5</v>
      </c>
      <c r="H149" s="201">
        <v>6</v>
      </c>
      <c r="I149" s="201">
        <v>7</v>
      </c>
      <c r="J149" s="19"/>
      <c r="K149" s="19"/>
      <c r="L149" s="19"/>
      <c r="M149" s="19"/>
    </row>
    <row r="150" spans="1:13" ht="12.75" customHeight="1" outlineLevel="1" x14ac:dyDescent="0.2">
      <c r="A150" s="171"/>
      <c r="B150" s="224"/>
      <c r="C150" s="171"/>
      <c r="D150" s="414">
        <f>FirstYear</f>
        <v>0</v>
      </c>
      <c r="E150" s="414">
        <f>D150+1</f>
        <v>1</v>
      </c>
      <c r="F150" s="414">
        <f>E150+1</f>
        <v>2</v>
      </c>
      <c r="G150" s="414">
        <f>F150+1</f>
        <v>3</v>
      </c>
      <c r="H150" s="414">
        <f>G150+1</f>
        <v>4</v>
      </c>
      <c r="I150" s="414">
        <f>H150+1</f>
        <v>5</v>
      </c>
      <c r="J150" s="171"/>
      <c r="K150" s="171"/>
      <c r="L150" s="171"/>
      <c r="M150" s="171"/>
    </row>
    <row r="151" spans="1:13" ht="12.75" customHeight="1" outlineLevel="1" x14ac:dyDescent="0.2">
      <c r="A151" s="171"/>
      <c r="B151" s="422">
        <v>1</v>
      </c>
      <c r="C151" s="416" t="s">
        <v>104</v>
      </c>
      <c r="D151" s="396">
        <f t="shared" ref="D151:I151" si="65">INDEX(PBSScriptsChanged,$B148,D149)*INDEX(DPMQCoPayChangedPub,$B148,$B151)</f>
        <v>0</v>
      </c>
      <c r="E151" s="396">
        <f t="shared" si="65"/>
        <v>0</v>
      </c>
      <c r="F151" s="396">
        <f t="shared" si="65"/>
        <v>0</v>
      </c>
      <c r="G151" s="396">
        <f t="shared" si="65"/>
        <v>0</v>
      </c>
      <c r="H151" s="396">
        <f t="shared" si="65"/>
        <v>0</v>
      </c>
      <c r="I151" s="396">
        <f t="shared" si="65"/>
        <v>0</v>
      </c>
      <c r="J151" s="171"/>
      <c r="K151" s="171"/>
      <c r="L151" s="171"/>
      <c r="M151" s="171"/>
    </row>
    <row r="152" spans="1:13" ht="12.75" customHeight="1" outlineLevel="1" x14ac:dyDescent="0.2">
      <c r="A152" s="171"/>
      <c r="B152" s="422">
        <v>3</v>
      </c>
      <c r="C152" s="11" t="s">
        <v>129</v>
      </c>
      <c r="D152" s="396">
        <f t="shared" ref="D152:I152" si="66">INDEX(PBSScriptsChanged,$B148,D149)*(INDEX(DPMQCoPayChangedPub,$B148,$B152)/INDEX(CoPayCountChanged,$B148))</f>
        <v>0</v>
      </c>
      <c r="E152" s="396">
        <f t="shared" si="66"/>
        <v>0</v>
      </c>
      <c r="F152" s="396">
        <f t="shared" si="66"/>
        <v>0</v>
      </c>
      <c r="G152" s="396">
        <f t="shared" si="66"/>
        <v>0</v>
      </c>
      <c r="H152" s="396">
        <f t="shared" si="66"/>
        <v>0</v>
      </c>
      <c r="I152" s="396">
        <f t="shared" si="66"/>
        <v>0</v>
      </c>
      <c r="J152" s="171"/>
      <c r="K152" s="763" t="str">
        <f>IF(B149&lt;&gt;0,MsgNote&amp;IF(B149="Yes",INDEX(CoPayMethod,1),INDEX(CoPayMethod,2)),"")</f>
        <v/>
      </c>
      <c r="L152" s="763"/>
      <c r="M152" s="763"/>
    </row>
    <row r="153" spans="1:13" ht="12.75" customHeight="1" outlineLevel="1" x14ac:dyDescent="0.2">
      <c r="A153" s="171"/>
      <c r="B153" s="224"/>
      <c r="C153" s="11" t="s">
        <v>106</v>
      </c>
      <c r="D153" s="396">
        <f t="shared" ref="D153:I153" si="67">D151+D152</f>
        <v>0</v>
      </c>
      <c r="E153" s="396">
        <f t="shared" si="67"/>
        <v>0</v>
      </c>
      <c r="F153" s="396">
        <f t="shared" si="67"/>
        <v>0</v>
      </c>
      <c r="G153" s="396">
        <f t="shared" si="67"/>
        <v>0</v>
      </c>
      <c r="H153" s="396">
        <f t="shared" si="67"/>
        <v>0</v>
      </c>
      <c r="I153" s="396">
        <f t="shared" si="67"/>
        <v>0</v>
      </c>
      <c r="J153" s="171"/>
      <c r="K153" s="171"/>
      <c r="L153" s="171"/>
      <c r="M153" s="171"/>
    </row>
    <row r="154" spans="1:13" ht="12.75" customHeight="1" outlineLevel="1" x14ac:dyDescent="0.2">
      <c r="A154" s="171"/>
      <c r="B154" s="202"/>
      <c r="C154" s="171"/>
      <c r="D154" s="171"/>
      <c r="E154" s="171"/>
      <c r="F154" s="171"/>
      <c r="G154" s="171"/>
      <c r="H154" s="171"/>
      <c r="I154" s="171"/>
      <c r="J154" s="171"/>
      <c r="K154" s="171"/>
      <c r="L154" s="171"/>
      <c r="M154" s="171"/>
    </row>
    <row r="155" spans="1:13" ht="15.75" customHeight="1" outlineLevel="1" x14ac:dyDescent="0.2">
      <c r="A155" s="171"/>
      <c r="B155" s="202"/>
      <c r="C155" s="193"/>
      <c r="D155" s="414">
        <f>FirstYear</f>
        <v>0</v>
      </c>
      <c r="E155" s="414">
        <f>D155+1</f>
        <v>1</v>
      </c>
      <c r="F155" s="414">
        <f>E155+1</f>
        <v>2</v>
      </c>
      <c r="G155" s="414">
        <f>F155+1</f>
        <v>3</v>
      </c>
      <c r="H155" s="414">
        <f>G155+1</f>
        <v>4</v>
      </c>
      <c r="I155" s="414">
        <f>H155+1</f>
        <v>5</v>
      </c>
      <c r="J155" s="171"/>
      <c r="K155" s="171"/>
      <c r="L155" s="171"/>
      <c r="M155" s="171"/>
    </row>
    <row r="156" spans="1:13" ht="12.75" customHeight="1" outlineLevel="1" x14ac:dyDescent="0.2">
      <c r="A156" s="171"/>
      <c r="B156" s="422">
        <v>1</v>
      </c>
      <c r="C156" s="416" t="s">
        <v>105</v>
      </c>
      <c r="D156" s="396">
        <f t="shared" ref="D156:I156" si="68">INDEX(RPBSScriptsChanged,$B148,D149)*INDEX(DPMQCoPayChangedPub,$B148,$B156)</f>
        <v>0</v>
      </c>
      <c r="E156" s="396">
        <f t="shared" si="68"/>
        <v>0</v>
      </c>
      <c r="F156" s="396">
        <f t="shared" si="68"/>
        <v>0</v>
      </c>
      <c r="G156" s="396">
        <f t="shared" si="68"/>
        <v>0</v>
      </c>
      <c r="H156" s="396">
        <f t="shared" si="68"/>
        <v>0</v>
      </c>
      <c r="I156" s="396">
        <f t="shared" si="68"/>
        <v>0</v>
      </c>
      <c r="J156" s="171"/>
      <c r="K156" s="171"/>
      <c r="L156" s="171"/>
      <c r="M156" s="171"/>
    </row>
    <row r="157" spans="1:13" ht="12.75" customHeight="1" outlineLevel="1" x14ac:dyDescent="0.2">
      <c r="A157" s="171"/>
      <c r="B157" s="422">
        <v>4</v>
      </c>
      <c r="C157" s="11" t="s">
        <v>129</v>
      </c>
      <c r="D157" s="396">
        <f t="shared" ref="D157:I157" si="69">INDEX(RPBSScriptsChanged,$B148,D149)*(INDEX(DPMQCoPayChangedPub,$B148,$B157)/INDEX(CoPayCountChanged,$B148))</f>
        <v>0</v>
      </c>
      <c r="E157" s="396">
        <f t="shared" si="69"/>
        <v>0</v>
      </c>
      <c r="F157" s="396">
        <f t="shared" si="69"/>
        <v>0</v>
      </c>
      <c r="G157" s="396">
        <f t="shared" si="69"/>
        <v>0</v>
      </c>
      <c r="H157" s="396">
        <f t="shared" si="69"/>
        <v>0</v>
      </c>
      <c r="I157" s="396">
        <f t="shared" si="69"/>
        <v>0</v>
      </c>
      <c r="J157" s="171"/>
      <c r="K157" s="171"/>
      <c r="L157" s="171"/>
      <c r="M157" s="171"/>
    </row>
    <row r="158" spans="1:13" ht="12.75" customHeight="1" outlineLevel="1" x14ac:dyDescent="0.2">
      <c r="A158" s="171"/>
      <c r="B158" s="224"/>
      <c r="C158" s="11" t="s">
        <v>107</v>
      </c>
      <c r="D158" s="396">
        <f t="shared" ref="D158:I158" si="70">D156+D157</f>
        <v>0</v>
      </c>
      <c r="E158" s="396">
        <f t="shared" si="70"/>
        <v>0</v>
      </c>
      <c r="F158" s="396">
        <f t="shared" si="70"/>
        <v>0</v>
      </c>
      <c r="G158" s="396">
        <f t="shared" si="70"/>
        <v>0</v>
      </c>
      <c r="H158" s="396">
        <f t="shared" si="70"/>
        <v>0</v>
      </c>
      <c r="I158" s="396">
        <f t="shared" si="70"/>
        <v>0</v>
      </c>
      <c r="J158" s="171"/>
      <c r="K158" s="171"/>
      <c r="L158" s="171"/>
      <c r="M158" s="171"/>
    </row>
    <row r="159" spans="1:13" ht="12.75" customHeight="1" x14ac:dyDescent="0.2">
      <c r="A159" s="171"/>
      <c r="B159" s="224"/>
      <c r="C159" s="171"/>
      <c r="D159" s="171"/>
      <c r="E159" s="171"/>
      <c r="F159" s="171"/>
      <c r="G159" s="171"/>
      <c r="H159" s="171"/>
      <c r="I159" s="171"/>
      <c r="J159" s="171"/>
      <c r="K159" s="171"/>
      <c r="L159" s="171"/>
      <c r="M159" s="171"/>
    </row>
    <row r="160" spans="1:13" ht="15" x14ac:dyDescent="0.2">
      <c r="A160" s="171"/>
      <c r="B160" s="423">
        <v>12</v>
      </c>
      <c r="C160" s="221" t="str">
        <f>INDEX(PBSScriptsChanged,B160,1)</f>
        <v>** NOT USED **</v>
      </c>
      <c r="D160" s="207"/>
      <c r="E160" s="207"/>
      <c r="F160" s="207"/>
      <c r="G160" s="207"/>
      <c r="H160" s="207"/>
      <c r="I160" s="207"/>
      <c r="J160" s="188"/>
      <c r="K160" s="188"/>
      <c r="L160" s="782" t="str">
        <f>IF(C160&lt;&gt;MsgNotUsed,"Co-payment group " &amp; INDEX(CoPayBandChanged,B160),"")</f>
        <v/>
      </c>
      <c r="M160" s="782"/>
    </row>
    <row r="161" spans="1:13" ht="12.75" customHeight="1" outlineLevel="1" x14ac:dyDescent="0.2">
      <c r="A161" s="171"/>
      <c r="B161" s="352">
        <f>INDEX(SAChanged,B160,5)</f>
        <v>0</v>
      </c>
      <c r="C161" s="20"/>
      <c r="D161" s="419">
        <v>2</v>
      </c>
      <c r="E161" s="419">
        <v>3</v>
      </c>
      <c r="F161" s="201">
        <v>4</v>
      </c>
      <c r="G161" s="201">
        <v>5</v>
      </c>
      <c r="H161" s="201">
        <v>6</v>
      </c>
      <c r="I161" s="201">
        <v>7</v>
      </c>
      <c r="J161" s="19"/>
      <c r="K161" s="19"/>
      <c r="L161" s="19"/>
      <c r="M161" s="19"/>
    </row>
    <row r="162" spans="1:13" ht="12.75" customHeight="1" outlineLevel="1" x14ac:dyDescent="0.2">
      <c r="A162" s="171"/>
      <c r="B162" s="224"/>
      <c r="C162" s="171"/>
      <c r="D162" s="414">
        <f>FirstYear</f>
        <v>0</v>
      </c>
      <c r="E162" s="414">
        <f>D162+1</f>
        <v>1</v>
      </c>
      <c r="F162" s="414">
        <f>E162+1</f>
        <v>2</v>
      </c>
      <c r="G162" s="414">
        <f>F162+1</f>
        <v>3</v>
      </c>
      <c r="H162" s="414">
        <f>G162+1</f>
        <v>4</v>
      </c>
      <c r="I162" s="414">
        <f>H162+1</f>
        <v>5</v>
      </c>
      <c r="J162" s="171"/>
      <c r="K162" s="171"/>
      <c r="L162" s="171"/>
      <c r="M162" s="171"/>
    </row>
    <row r="163" spans="1:13" ht="12.75" customHeight="1" outlineLevel="1" x14ac:dyDescent="0.2">
      <c r="A163" s="171"/>
      <c r="B163" s="422">
        <v>1</v>
      </c>
      <c r="C163" s="416" t="s">
        <v>104</v>
      </c>
      <c r="D163" s="396">
        <f t="shared" ref="D163:I163" si="71">INDEX(PBSScriptsChanged,$B160,D161)*INDEX(DPMQCoPayChangedPub,$B160,$B163)</f>
        <v>0</v>
      </c>
      <c r="E163" s="396">
        <f t="shared" si="71"/>
        <v>0</v>
      </c>
      <c r="F163" s="396">
        <f t="shared" si="71"/>
        <v>0</v>
      </c>
      <c r="G163" s="396">
        <f t="shared" si="71"/>
        <v>0</v>
      </c>
      <c r="H163" s="396">
        <f t="shared" si="71"/>
        <v>0</v>
      </c>
      <c r="I163" s="396">
        <f t="shared" si="71"/>
        <v>0</v>
      </c>
      <c r="J163" s="171"/>
      <c r="K163" s="171"/>
      <c r="L163" s="171"/>
      <c r="M163" s="171"/>
    </row>
    <row r="164" spans="1:13" ht="12.75" customHeight="1" outlineLevel="1" x14ac:dyDescent="0.2">
      <c r="A164" s="171"/>
      <c r="B164" s="422">
        <v>3</v>
      </c>
      <c r="C164" s="11" t="s">
        <v>129</v>
      </c>
      <c r="D164" s="396">
        <f t="shared" ref="D164:I164" si="72">INDEX(PBSScriptsChanged,$B160,D161)*(INDEX(DPMQCoPayChangedPub,$B160,$B164)/INDEX(CoPayCountChanged,$B160))</f>
        <v>0</v>
      </c>
      <c r="E164" s="396">
        <f t="shared" si="72"/>
        <v>0</v>
      </c>
      <c r="F164" s="396">
        <f t="shared" si="72"/>
        <v>0</v>
      </c>
      <c r="G164" s="396">
        <f t="shared" si="72"/>
        <v>0</v>
      </c>
      <c r="H164" s="396">
        <f t="shared" si="72"/>
        <v>0</v>
      </c>
      <c r="I164" s="396">
        <f t="shared" si="72"/>
        <v>0</v>
      </c>
      <c r="J164" s="171"/>
      <c r="K164" s="763" t="str">
        <f>IF(B161&lt;&gt;0,MsgNote&amp;IF(B161="Yes",INDEX(CoPayMethod,1),INDEX(CoPayMethod,2)),"")</f>
        <v/>
      </c>
      <c r="L164" s="763"/>
      <c r="M164" s="763"/>
    </row>
    <row r="165" spans="1:13" ht="12.75" customHeight="1" outlineLevel="1" x14ac:dyDescent="0.2">
      <c r="A165" s="171"/>
      <c r="B165" s="224"/>
      <c r="C165" s="11" t="s">
        <v>106</v>
      </c>
      <c r="D165" s="396">
        <f t="shared" ref="D165:I165" si="73">D163+D164</f>
        <v>0</v>
      </c>
      <c r="E165" s="396">
        <f t="shared" si="73"/>
        <v>0</v>
      </c>
      <c r="F165" s="396">
        <f t="shared" si="73"/>
        <v>0</v>
      </c>
      <c r="G165" s="396">
        <f t="shared" si="73"/>
        <v>0</v>
      </c>
      <c r="H165" s="396">
        <f t="shared" si="73"/>
        <v>0</v>
      </c>
      <c r="I165" s="396">
        <f t="shared" si="73"/>
        <v>0</v>
      </c>
      <c r="J165" s="171"/>
      <c r="K165" s="171"/>
      <c r="L165" s="171"/>
      <c r="M165" s="171"/>
    </row>
    <row r="166" spans="1:13" ht="12.75" customHeight="1" outlineLevel="1" x14ac:dyDescent="0.2">
      <c r="A166" s="171"/>
      <c r="B166" s="202"/>
      <c r="C166" s="171"/>
      <c r="D166" s="171"/>
      <c r="E166" s="171"/>
      <c r="F166" s="171"/>
      <c r="G166" s="171"/>
      <c r="H166" s="171"/>
      <c r="I166" s="171"/>
      <c r="J166" s="171"/>
      <c r="K166" s="171"/>
      <c r="L166" s="171"/>
      <c r="M166" s="171"/>
    </row>
    <row r="167" spans="1:13" ht="15.75" customHeight="1" outlineLevel="1" x14ac:dyDescent="0.2">
      <c r="A167" s="171"/>
      <c r="B167" s="202"/>
      <c r="C167" s="193"/>
      <c r="D167" s="414">
        <f>FirstYear</f>
        <v>0</v>
      </c>
      <c r="E167" s="414">
        <f>D167+1</f>
        <v>1</v>
      </c>
      <c r="F167" s="414">
        <f>E167+1</f>
        <v>2</v>
      </c>
      <c r="G167" s="414">
        <f>F167+1</f>
        <v>3</v>
      </c>
      <c r="H167" s="414">
        <f>G167+1</f>
        <v>4</v>
      </c>
      <c r="I167" s="414">
        <f>H167+1</f>
        <v>5</v>
      </c>
      <c r="J167" s="171"/>
      <c r="K167" s="171"/>
      <c r="L167" s="171"/>
      <c r="M167" s="171"/>
    </row>
    <row r="168" spans="1:13" ht="12.75" customHeight="1" outlineLevel="1" x14ac:dyDescent="0.2">
      <c r="A168" s="171"/>
      <c r="B168" s="422">
        <v>1</v>
      </c>
      <c r="C168" s="416" t="s">
        <v>105</v>
      </c>
      <c r="D168" s="396">
        <f t="shared" ref="D168:I168" si="74">INDEX(RPBSScriptsChanged,$B160,D161)*INDEX(DPMQCoPayChangedPub,$B160,$B168)</f>
        <v>0</v>
      </c>
      <c r="E168" s="396">
        <f t="shared" si="74"/>
        <v>0</v>
      </c>
      <c r="F168" s="396">
        <f t="shared" si="74"/>
        <v>0</v>
      </c>
      <c r="G168" s="396">
        <f t="shared" si="74"/>
        <v>0</v>
      </c>
      <c r="H168" s="396">
        <f t="shared" si="74"/>
        <v>0</v>
      </c>
      <c r="I168" s="396">
        <f t="shared" si="74"/>
        <v>0</v>
      </c>
      <c r="J168" s="171"/>
      <c r="K168" s="171"/>
      <c r="L168" s="171"/>
      <c r="M168" s="171"/>
    </row>
    <row r="169" spans="1:13" ht="12.75" customHeight="1" outlineLevel="1" x14ac:dyDescent="0.2">
      <c r="A169" s="171"/>
      <c r="B169" s="422">
        <v>4</v>
      </c>
      <c r="C169" s="11" t="s">
        <v>129</v>
      </c>
      <c r="D169" s="396">
        <f t="shared" ref="D169:I169" si="75">INDEX(RPBSScriptsChanged,$B160,D161)*(INDEX(DPMQCoPayChangedPub,$B160,$B169)/INDEX(CoPayCountChanged,$B160))</f>
        <v>0</v>
      </c>
      <c r="E169" s="396">
        <f t="shared" si="75"/>
        <v>0</v>
      </c>
      <c r="F169" s="396">
        <f t="shared" si="75"/>
        <v>0</v>
      </c>
      <c r="G169" s="396">
        <f t="shared" si="75"/>
        <v>0</v>
      </c>
      <c r="H169" s="396">
        <f t="shared" si="75"/>
        <v>0</v>
      </c>
      <c r="I169" s="396">
        <f t="shared" si="75"/>
        <v>0</v>
      </c>
      <c r="J169" s="171"/>
      <c r="K169" s="171"/>
      <c r="L169" s="171"/>
      <c r="M169" s="171"/>
    </row>
    <row r="170" spans="1:13" ht="12.75" customHeight="1" outlineLevel="1" x14ac:dyDescent="0.2">
      <c r="A170" s="171"/>
      <c r="B170" s="224"/>
      <c r="C170" s="11" t="s">
        <v>107</v>
      </c>
      <c r="D170" s="396">
        <f t="shared" ref="D170:I170" si="76">D168+D169</f>
        <v>0</v>
      </c>
      <c r="E170" s="396">
        <f t="shared" si="76"/>
        <v>0</v>
      </c>
      <c r="F170" s="396">
        <f t="shared" si="76"/>
        <v>0</v>
      </c>
      <c r="G170" s="396">
        <f t="shared" si="76"/>
        <v>0</v>
      </c>
      <c r="H170" s="396">
        <f t="shared" si="76"/>
        <v>0</v>
      </c>
      <c r="I170" s="396">
        <f t="shared" si="76"/>
        <v>0</v>
      </c>
      <c r="J170" s="171"/>
      <c r="K170" s="171"/>
      <c r="L170" s="171"/>
      <c r="M170" s="171"/>
    </row>
    <row r="171" spans="1:13" ht="12.75" customHeight="1" x14ac:dyDescent="0.2">
      <c r="A171" s="171"/>
      <c r="B171" s="224"/>
      <c r="C171" s="171"/>
      <c r="D171" s="171"/>
      <c r="E171" s="171"/>
      <c r="F171" s="171"/>
      <c r="G171" s="171"/>
      <c r="H171" s="171"/>
      <c r="I171" s="171"/>
      <c r="J171" s="171"/>
      <c r="K171" s="171"/>
      <c r="L171" s="171"/>
      <c r="M171" s="171"/>
    </row>
    <row r="172" spans="1:13" ht="15" x14ac:dyDescent="0.2">
      <c r="A172" s="171"/>
      <c r="B172" s="423">
        <v>13</v>
      </c>
      <c r="C172" s="221" t="str">
        <f>INDEX(PBSScriptsChanged,B172,1)</f>
        <v>** NOT USED **</v>
      </c>
      <c r="D172" s="207"/>
      <c r="E172" s="207"/>
      <c r="F172" s="207"/>
      <c r="G172" s="207"/>
      <c r="H172" s="207"/>
      <c r="I172" s="207"/>
      <c r="J172" s="188"/>
      <c r="K172" s="188"/>
      <c r="L172" s="782" t="str">
        <f>IF(C172&lt;&gt;MsgNotUsed,"Co-payment group " &amp; INDEX(CoPayBandChanged,B172),"")</f>
        <v/>
      </c>
      <c r="M172" s="782"/>
    </row>
    <row r="173" spans="1:13" ht="12.75" customHeight="1" outlineLevel="1" x14ac:dyDescent="0.2">
      <c r="A173" s="171"/>
      <c r="B173" s="352">
        <f>INDEX(SAChanged,B172,5)</f>
        <v>0</v>
      </c>
      <c r="C173" s="20"/>
      <c r="D173" s="419">
        <v>2</v>
      </c>
      <c r="E173" s="419">
        <v>3</v>
      </c>
      <c r="F173" s="201">
        <v>4</v>
      </c>
      <c r="G173" s="201">
        <v>5</v>
      </c>
      <c r="H173" s="201">
        <v>6</v>
      </c>
      <c r="I173" s="201">
        <v>7</v>
      </c>
      <c r="J173" s="19"/>
      <c r="K173" s="19"/>
      <c r="L173" s="19"/>
      <c r="M173" s="19"/>
    </row>
    <row r="174" spans="1:13" ht="12.75" customHeight="1" outlineLevel="1" x14ac:dyDescent="0.2">
      <c r="A174" s="171"/>
      <c r="B174" s="224"/>
      <c r="C174" s="171"/>
      <c r="D174" s="414">
        <f>FirstYear</f>
        <v>0</v>
      </c>
      <c r="E174" s="414">
        <f>D174+1</f>
        <v>1</v>
      </c>
      <c r="F174" s="414">
        <f>E174+1</f>
        <v>2</v>
      </c>
      <c r="G174" s="414">
        <f>F174+1</f>
        <v>3</v>
      </c>
      <c r="H174" s="414">
        <f>G174+1</f>
        <v>4</v>
      </c>
      <c r="I174" s="414">
        <f>H174+1</f>
        <v>5</v>
      </c>
      <c r="J174" s="171"/>
      <c r="K174" s="171"/>
      <c r="L174" s="171"/>
      <c r="M174" s="171"/>
    </row>
    <row r="175" spans="1:13" ht="12.75" customHeight="1" outlineLevel="1" x14ac:dyDescent="0.2">
      <c r="A175" s="171"/>
      <c r="B175" s="422">
        <v>1</v>
      </c>
      <c r="C175" s="416" t="s">
        <v>104</v>
      </c>
      <c r="D175" s="396">
        <f t="shared" ref="D175:I175" si="77">INDEX(PBSScriptsChanged,$B172,D173)*INDEX(DPMQCoPayChangedPub,$B172,$B175)</f>
        <v>0</v>
      </c>
      <c r="E175" s="396">
        <f t="shared" si="77"/>
        <v>0</v>
      </c>
      <c r="F175" s="396">
        <f t="shared" si="77"/>
        <v>0</v>
      </c>
      <c r="G175" s="396">
        <f t="shared" si="77"/>
        <v>0</v>
      </c>
      <c r="H175" s="396">
        <f t="shared" si="77"/>
        <v>0</v>
      </c>
      <c r="I175" s="396">
        <f t="shared" si="77"/>
        <v>0</v>
      </c>
      <c r="J175" s="171"/>
      <c r="K175" s="171"/>
      <c r="L175" s="171"/>
      <c r="M175" s="171"/>
    </row>
    <row r="176" spans="1:13" ht="12.75" customHeight="1" outlineLevel="1" x14ac:dyDescent="0.2">
      <c r="A176" s="171"/>
      <c r="B176" s="422">
        <v>3</v>
      </c>
      <c r="C176" s="11" t="s">
        <v>129</v>
      </c>
      <c r="D176" s="396">
        <f t="shared" ref="D176:I176" si="78">INDEX(PBSScriptsChanged,$B172,D173)*(INDEX(DPMQCoPayChangedPub,$B172,$B176)/INDEX(CoPayCountChanged,$B172))</f>
        <v>0</v>
      </c>
      <c r="E176" s="396">
        <f t="shared" si="78"/>
        <v>0</v>
      </c>
      <c r="F176" s="396">
        <f t="shared" si="78"/>
        <v>0</v>
      </c>
      <c r="G176" s="396">
        <f t="shared" si="78"/>
        <v>0</v>
      </c>
      <c r="H176" s="396">
        <f t="shared" si="78"/>
        <v>0</v>
      </c>
      <c r="I176" s="396">
        <f t="shared" si="78"/>
        <v>0</v>
      </c>
      <c r="J176" s="171"/>
      <c r="K176" s="763" t="str">
        <f>IF(B173&lt;&gt;0,MsgNote&amp;IF(B173="Yes",INDEX(CoPayMethod,1),INDEX(CoPayMethod,2)),"")</f>
        <v/>
      </c>
      <c r="L176" s="763"/>
      <c r="M176" s="763"/>
    </row>
    <row r="177" spans="1:13" ht="12.75" customHeight="1" outlineLevel="1" x14ac:dyDescent="0.2">
      <c r="A177" s="171"/>
      <c r="B177" s="224"/>
      <c r="C177" s="11" t="s">
        <v>106</v>
      </c>
      <c r="D177" s="396">
        <f t="shared" ref="D177:I177" si="79">D175+D176</f>
        <v>0</v>
      </c>
      <c r="E177" s="396">
        <f t="shared" si="79"/>
        <v>0</v>
      </c>
      <c r="F177" s="396">
        <f t="shared" si="79"/>
        <v>0</v>
      </c>
      <c r="G177" s="396">
        <f t="shared" si="79"/>
        <v>0</v>
      </c>
      <c r="H177" s="396">
        <f t="shared" si="79"/>
        <v>0</v>
      </c>
      <c r="I177" s="396">
        <f t="shared" si="79"/>
        <v>0</v>
      </c>
      <c r="J177" s="171"/>
      <c r="K177" s="171"/>
      <c r="L177" s="171"/>
      <c r="M177" s="171"/>
    </row>
    <row r="178" spans="1:13" ht="12.75" customHeight="1" outlineLevel="1" x14ac:dyDescent="0.2">
      <c r="A178" s="171"/>
      <c r="B178" s="202"/>
      <c r="C178" s="171"/>
      <c r="D178" s="171"/>
      <c r="E178" s="171"/>
      <c r="F178" s="171"/>
      <c r="G178" s="171"/>
      <c r="H178" s="171"/>
      <c r="I178" s="171"/>
      <c r="J178" s="171"/>
      <c r="K178" s="171"/>
      <c r="L178" s="171"/>
      <c r="M178" s="171"/>
    </row>
    <row r="179" spans="1:13" ht="15.75" customHeight="1" outlineLevel="1" x14ac:dyDescent="0.2">
      <c r="A179" s="171"/>
      <c r="B179" s="202"/>
      <c r="C179" s="193"/>
      <c r="D179" s="414">
        <f>FirstYear</f>
        <v>0</v>
      </c>
      <c r="E179" s="414">
        <f>D179+1</f>
        <v>1</v>
      </c>
      <c r="F179" s="414">
        <f>E179+1</f>
        <v>2</v>
      </c>
      <c r="G179" s="414">
        <f>F179+1</f>
        <v>3</v>
      </c>
      <c r="H179" s="414">
        <f>G179+1</f>
        <v>4</v>
      </c>
      <c r="I179" s="414">
        <f>H179+1</f>
        <v>5</v>
      </c>
      <c r="J179" s="171"/>
      <c r="K179" s="171"/>
      <c r="L179" s="171"/>
      <c r="M179" s="171"/>
    </row>
    <row r="180" spans="1:13" ht="12.75" customHeight="1" outlineLevel="1" x14ac:dyDescent="0.2">
      <c r="A180" s="171"/>
      <c r="B180" s="422">
        <v>1</v>
      </c>
      <c r="C180" s="416" t="s">
        <v>105</v>
      </c>
      <c r="D180" s="396">
        <f t="shared" ref="D180:I180" si="80">INDEX(RPBSScriptsChanged,$B172,D173)*INDEX(DPMQCoPayChangedPub,$B172,$B180)</f>
        <v>0</v>
      </c>
      <c r="E180" s="396">
        <f t="shared" si="80"/>
        <v>0</v>
      </c>
      <c r="F180" s="396">
        <f t="shared" si="80"/>
        <v>0</v>
      </c>
      <c r="G180" s="396">
        <f t="shared" si="80"/>
        <v>0</v>
      </c>
      <c r="H180" s="396">
        <f t="shared" si="80"/>
        <v>0</v>
      </c>
      <c r="I180" s="396">
        <f t="shared" si="80"/>
        <v>0</v>
      </c>
      <c r="J180" s="171"/>
      <c r="K180" s="171"/>
      <c r="L180" s="171"/>
      <c r="M180" s="171"/>
    </row>
    <row r="181" spans="1:13" ht="12.75" customHeight="1" outlineLevel="1" x14ac:dyDescent="0.2">
      <c r="A181" s="171"/>
      <c r="B181" s="422">
        <v>4</v>
      </c>
      <c r="C181" s="11" t="s">
        <v>129</v>
      </c>
      <c r="D181" s="396">
        <f t="shared" ref="D181:I181" si="81">INDEX(RPBSScriptsChanged,$B172,D173)*(INDEX(DPMQCoPayChangedPub,$B172,$B181)/INDEX(CoPayCountChanged,$B172))</f>
        <v>0</v>
      </c>
      <c r="E181" s="396">
        <f t="shared" si="81"/>
        <v>0</v>
      </c>
      <c r="F181" s="396">
        <f t="shared" si="81"/>
        <v>0</v>
      </c>
      <c r="G181" s="396">
        <f t="shared" si="81"/>
        <v>0</v>
      </c>
      <c r="H181" s="396">
        <f t="shared" si="81"/>
        <v>0</v>
      </c>
      <c r="I181" s="396">
        <f t="shared" si="81"/>
        <v>0</v>
      </c>
      <c r="J181" s="171"/>
      <c r="K181" s="171"/>
      <c r="L181" s="171"/>
      <c r="M181" s="171"/>
    </row>
    <row r="182" spans="1:13" ht="12.75" customHeight="1" outlineLevel="1" x14ac:dyDescent="0.2">
      <c r="A182" s="171"/>
      <c r="B182" s="224"/>
      <c r="C182" s="11" t="s">
        <v>107</v>
      </c>
      <c r="D182" s="396">
        <f t="shared" ref="D182:I182" si="82">D180+D181</f>
        <v>0</v>
      </c>
      <c r="E182" s="396">
        <f t="shared" si="82"/>
        <v>0</v>
      </c>
      <c r="F182" s="396">
        <f t="shared" si="82"/>
        <v>0</v>
      </c>
      <c r="G182" s="396">
        <f t="shared" si="82"/>
        <v>0</v>
      </c>
      <c r="H182" s="396">
        <f t="shared" si="82"/>
        <v>0</v>
      </c>
      <c r="I182" s="396">
        <f t="shared" si="82"/>
        <v>0</v>
      </c>
      <c r="J182" s="171"/>
      <c r="K182" s="171"/>
      <c r="L182" s="171"/>
      <c r="M182" s="171"/>
    </row>
    <row r="183" spans="1:13" ht="12.75" customHeight="1" x14ac:dyDescent="0.2">
      <c r="A183" s="171"/>
      <c r="B183" s="224"/>
      <c r="C183" s="171"/>
      <c r="D183" s="171"/>
      <c r="E183" s="171"/>
      <c r="F183" s="171"/>
      <c r="G183" s="171"/>
      <c r="H183" s="171"/>
      <c r="I183" s="171"/>
      <c r="J183" s="171"/>
      <c r="K183" s="171"/>
      <c r="L183" s="171"/>
      <c r="M183" s="171"/>
    </row>
    <row r="184" spans="1:13" ht="15" x14ac:dyDescent="0.2">
      <c r="A184" s="171"/>
      <c r="B184" s="423">
        <v>14</v>
      </c>
      <c r="C184" s="221" t="str">
        <f>INDEX(PBSScriptsChanged,B184,1)</f>
        <v>** NOT USED **</v>
      </c>
      <c r="D184" s="207"/>
      <c r="E184" s="207"/>
      <c r="F184" s="207"/>
      <c r="G184" s="207"/>
      <c r="H184" s="207"/>
      <c r="I184" s="207"/>
      <c r="J184" s="188"/>
      <c r="K184" s="188"/>
      <c r="L184" s="782" t="str">
        <f>IF(C184&lt;&gt;MsgNotUsed,"Co-payment group " &amp; INDEX(CoPayBandChanged,B184),"")</f>
        <v/>
      </c>
      <c r="M184" s="782"/>
    </row>
    <row r="185" spans="1:13" ht="12.75" customHeight="1" outlineLevel="1" x14ac:dyDescent="0.2">
      <c r="A185" s="171"/>
      <c r="B185" s="352">
        <f>INDEX(SAChanged,B184,5)</f>
        <v>0</v>
      </c>
      <c r="C185" s="20"/>
      <c r="D185" s="419">
        <v>2</v>
      </c>
      <c r="E185" s="419">
        <v>3</v>
      </c>
      <c r="F185" s="201">
        <v>4</v>
      </c>
      <c r="G185" s="201">
        <v>5</v>
      </c>
      <c r="H185" s="201">
        <v>6</v>
      </c>
      <c r="I185" s="201">
        <v>7</v>
      </c>
      <c r="J185" s="19"/>
      <c r="K185" s="19"/>
      <c r="L185" s="19"/>
      <c r="M185" s="19"/>
    </row>
    <row r="186" spans="1:13" ht="12.75" customHeight="1" outlineLevel="1" x14ac:dyDescent="0.2">
      <c r="A186" s="171"/>
      <c r="B186" s="224"/>
      <c r="C186" s="171"/>
      <c r="D186" s="414">
        <f>FirstYear</f>
        <v>0</v>
      </c>
      <c r="E186" s="414">
        <f>D186+1</f>
        <v>1</v>
      </c>
      <c r="F186" s="414">
        <f>E186+1</f>
        <v>2</v>
      </c>
      <c r="G186" s="414">
        <f>F186+1</f>
        <v>3</v>
      </c>
      <c r="H186" s="414">
        <f>G186+1</f>
        <v>4</v>
      </c>
      <c r="I186" s="414">
        <f>H186+1</f>
        <v>5</v>
      </c>
      <c r="J186" s="171"/>
      <c r="K186" s="171"/>
      <c r="L186" s="171"/>
      <c r="M186" s="171"/>
    </row>
    <row r="187" spans="1:13" ht="12.75" customHeight="1" outlineLevel="1" x14ac:dyDescent="0.2">
      <c r="A187" s="171"/>
      <c r="B187" s="422">
        <v>1</v>
      </c>
      <c r="C187" s="416" t="s">
        <v>104</v>
      </c>
      <c r="D187" s="396">
        <f t="shared" ref="D187:I187" si="83">INDEX(PBSScriptsChanged,$B184,D185)*INDEX(DPMQCoPayChangedPub,$B184,$B187)</f>
        <v>0</v>
      </c>
      <c r="E187" s="396">
        <f t="shared" si="83"/>
        <v>0</v>
      </c>
      <c r="F187" s="396">
        <f t="shared" si="83"/>
        <v>0</v>
      </c>
      <c r="G187" s="396">
        <f t="shared" si="83"/>
        <v>0</v>
      </c>
      <c r="H187" s="396">
        <f t="shared" si="83"/>
        <v>0</v>
      </c>
      <c r="I187" s="396">
        <f t="shared" si="83"/>
        <v>0</v>
      </c>
      <c r="J187" s="171"/>
      <c r="K187" s="171"/>
      <c r="L187" s="171"/>
      <c r="M187" s="171"/>
    </row>
    <row r="188" spans="1:13" ht="12.75" customHeight="1" outlineLevel="1" x14ac:dyDescent="0.2">
      <c r="A188" s="171"/>
      <c r="B188" s="422">
        <v>3</v>
      </c>
      <c r="C188" s="11" t="s">
        <v>129</v>
      </c>
      <c r="D188" s="396">
        <f t="shared" ref="D188:I188" si="84">INDEX(PBSScriptsChanged,$B184,D185)*(INDEX(DPMQCoPayChangedPub,$B184,$B188)/INDEX(CoPayCountChanged,$B184))</f>
        <v>0</v>
      </c>
      <c r="E188" s="396">
        <f t="shared" si="84"/>
        <v>0</v>
      </c>
      <c r="F188" s="396">
        <f t="shared" si="84"/>
        <v>0</v>
      </c>
      <c r="G188" s="396">
        <f t="shared" si="84"/>
        <v>0</v>
      </c>
      <c r="H188" s="396">
        <f t="shared" si="84"/>
        <v>0</v>
      </c>
      <c r="I188" s="396">
        <f t="shared" si="84"/>
        <v>0</v>
      </c>
      <c r="J188" s="171"/>
      <c r="K188" s="763" t="str">
        <f>IF(B185&lt;&gt;0,MsgNote&amp;IF(B185="Yes",INDEX(CoPayMethod,1),INDEX(CoPayMethod,2)),"")</f>
        <v/>
      </c>
      <c r="L188" s="763"/>
      <c r="M188" s="763"/>
    </row>
    <row r="189" spans="1:13" ht="12.75" customHeight="1" outlineLevel="1" x14ac:dyDescent="0.2">
      <c r="A189" s="171"/>
      <c r="B189" s="224"/>
      <c r="C189" s="11" t="s">
        <v>106</v>
      </c>
      <c r="D189" s="396">
        <f t="shared" ref="D189:I189" si="85">D187+D188</f>
        <v>0</v>
      </c>
      <c r="E189" s="396">
        <f t="shared" si="85"/>
        <v>0</v>
      </c>
      <c r="F189" s="396">
        <f t="shared" si="85"/>
        <v>0</v>
      </c>
      <c r="G189" s="396">
        <f t="shared" si="85"/>
        <v>0</v>
      </c>
      <c r="H189" s="396">
        <f t="shared" si="85"/>
        <v>0</v>
      </c>
      <c r="I189" s="396">
        <f t="shared" si="85"/>
        <v>0</v>
      </c>
      <c r="J189" s="171"/>
      <c r="K189" s="171"/>
      <c r="L189" s="171"/>
      <c r="M189" s="171"/>
    </row>
    <row r="190" spans="1:13" ht="12.75" customHeight="1" outlineLevel="1" x14ac:dyDescent="0.2">
      <c r="A190" s="171"/>
      <c r="B190" s="202"/>
      <c r="C190" s="171"/>
      <c r="D190" s="171"/>
      <c r="E190" s="171"/>
      <c r="F190" s="171"/>
      <c r="G190" s="171"/>
      <c r="H190" s="171"/>
      <c r="I190" s="171"/>
      <c r="J190" s="171"/>
      <c r="K190" s="171"/>
      <c r="L190" s="171"/>
      <c r="M190" s="171"/>
    </row>
    <row r="191" spans="1:13" ht="15.75" customHeight="1" outlineLevel="1" x14ac:dyDescent="0.2">
      <c r="A191" s="171"/>
      <c r="B191" s="202"/>
      <c r="C191" s="193"/>
      <c r="D191" s="414">
        <f>FirstYear</f>
        <v>0</v>
      </c>
      <c r="E191" s="414">
        <f>D191+1</f>
        <v>1</v>
      </c>
      <c r="F191" s="414">
        <f>E191+1</f>
        <v>2</v>
      </c>
      <c r="G191" s="414">
        <f>F191+1</f>
        <v>3</v>
      </c>
      <c r="H191" s="414">
        <f>G191+1</f>
        <v>4</v>
      </c>
      <c r="I191" s="414">
        <f>H191+1</f>
        <v>5</v>
      </c>
      <c r="J191" s="171"/>
      <c r="K191" s="171"/>
      <c r="L191" s="171"/>
      <c r="M191" s="171"/>
    </row>
    <row r="192" spans="1:13" ht="12.75" customHeight="1" outlineLevel="1" x14ac:dyDescent="0.2">
      <c r="A192" s="171"/>
      <c r="B192" s="422">
        <v>1</v>
      </c>
      <c r="C192" s="416" t="s">
        <v>105</v>
      </c>
      <c r="D192" s="396">
        <f t="shared" ref="D192:I192" si="86">INDEX(RPBSScriptsChanged,$B184,D185)*INDEX(DPMQCoPayChangedPub,$B184,$B192)</f>
        <v>0</v>
      </c>
      <c r="E192" s="396">
        <f t="shared" si="86"/>
        <v>0</v>
      </c>
      <c r="F192" s="396">
        <f t="shared" si="86"/>
        <v>0</v>
      </c>
      <c r="G192" s="396">
        <f t="shared" si="86"/>
        <v>0</v>
      </c>
      <c r="H192" s="396">
        <f t="shared" si="86"/>
        <v>0</v>
      </c>
      <c r="I192" s="396">
        <f t="shared" si="86"/>
        <v>0</v>
      </c>
      <c r="J192" s="171"/>
      <c r="K192" s="171"/>
      <c r="L192" s="171"/>
      <c r="M192" s="171"/>
    </row>
    <row r="193" spans="1:13" ht="12.75" customHeight="1" outlineLevel="1" x14ac:dyDescent="0.2">
      <c r="A193" s="171"/>
      <c r="B193" s="422">
        <v>4</v>
      </c>
      <c r="C193" s="11" t="s">
        <v>129</v>
      </c>
      <c r="D193" s="396">
        <f t="shared" ref="D193:I193" si="87">INDEX(RPBSScriptsChanged,$B184,D185)*(INDEX(DPMQCoPayChangedPub,$B184,$B193)/INDEX(CoPayCountChanged,$B184))</f>
        <v>0</v>
      </c>
      <c r="E193" s="396">
        <f t="shared" si="87"/>
        <v>0</v>
      </c>
      <c r="F193" s="396">
        <f t="shared" si="87"/>
        <v>0</v>
      </c>
      <c r="G193" s="396">
        <f t="shared" si="87"/>
        <v>0</v>
      </c>
      <c r="H193" s="396">
        <f t="shared" si="87"/>
        <v>0</v>
      </c>
      <c r="I193" s="396">
        <f t="shared" si="87"/>
        <v>0</v>
      </c>
      <c r="J193" s="171"/>
      <c r="K193" s="171"/>
      <c r="L193" s="171"/>
      <c r="M193" s="171"/>
    </row>
    <row r="194" spans="1:13" ht="12.75" customHeight="1" outlineLevel="1" x14ac:dyDescent="0.2">
      <c r="A194" s="171"/>
      <c r="B194" s="224"/>
      <c r="C194" s="11" t="s">
        <v>107</v>
      </c>
      <c r="D194" s="396">
        <f t="shared" ref="D194:I194" si="88">D192+D193</f>
        <v>0</v>
      </c>
      <c r="E194" s="396">
        <f t="shared" si="88"/>
        <v>0</v>
      </c>
      <c r="F194" s="396">
        <f t="shared" si="88"/>
        <v>0</v>
      </c>
      <c r="G194" s="396">
        <f t="shared" si="88"/>
        <v>0</v>
      </c>
      <c r="H194" s="396">
        <f t="shared" si="88"/>
        <v>0</v>
      </c>
      <c r="I194" s="396">
        <f t="shared" si="88"/>
        <v>0</v>
      </c>
      <c r="J194" s="171"/>
      <c r="K194" s="171"/>
      <c r="L194" s="171"/>
      <c r="M194" s="171"/>
    </row>
    <row r="195" spans="1:13" ht="12.75" customHeight="1" x14ac:dyDescent="0.2">
      <c r="A195" s="171"/>
      <c r="B195" s="224"/>
      <c r="C195" s="171"/>
      <c r="D195" s="171"/>
      <c r="E195" s="171"/>
      <c r="F195" s="171"/>
      <c r="G195" s="171"/>
      <c r="H195" s="171"/>
      <c r="I195" s="171"/>
      <c r="J195" s="171"/>
      <c r="K195" s="171"/>
      <c r="L195" s="171"/>
      <c r="M195" s="171"/>
    </row>
    <row r="196" spans="1:13" ht="15" x14ac:dyDescent="0.2">
      <c r="A196" s="171"/>
      <c r="B196" s="423">
        <v>15</v>
      </c>
      <c r="C196" s="221" t="str">
        <f>INDEX(PBSScriptsChanged,B196,1)</f>
        <v>** NOT USED **</v>
      </c>
      <c r="D196" s="207"/>
      <c r="E196" s="207"/>
      <c r="F196" s="207"/>
      <c r="G196" s="207"/>
      <c r="H196" s="207"/>
      <c r="I196" s="207"/>
      <c r="J196" s="188"/>
      <c r="K196" s="188"/>
      <c r="L196" s="782" t="str">
        <f>IF(C196&lt;&gt;MsgNotUsed,"Co-payment group " &amp; INDEX(CoPayBandChanged,B196),"")</f>
        <v/>
      </c>
      <c r="M196" s="782"/>
    </row>
    <row r="197" spans="1:13" ht="12.75" customHeight="1" outlineLevel="1" x14ac:dyDescent="0.2">
      <c r="A197" s="171"/>
      <c r="B197" s="352">
        <f>INDEX(SAChanged,B196,5)</f>
        <v>0</v>
      </c>
      <c r="C197" s="20"/>
      <c r="D197" s="419">
        <v>2</v>
      </c>
      <c r="E197" s="419">
        <v>3</v>
      </c>
      <c r="F197" s="201">
        <v>4</v>
      </c>
      <c r="G197" s="201">
        <v>5</v>
      </c>
      <c r="H197" s="201">
        <v>6</v>
      </c>
      <c r="I197" s="201">
        <v>7</v>
      </c>
      <c r="J197" s="19"/>
      <c r="K197" s="19"/>
      <c r="L197" s="19"/>
      <c r="M197" s="19"/>
    </row>
    <row r="198" spans="1:13" ht="12.75" customHeight="1" outlineLevel="1" x14ac:dyDescent="0.2">
      <c r="A198" s="171"/>
      <c r="B198" s="224"/>
      <c r="C198" s="171"/>
      <c r="D198" s="414">
        <f>FirstYear</f>
        <v>0</v>
      </c>
      <c r="E198" s="414">
        <f>D198+1</f>
        <v>1</v>
      </c>
      <c r="F198" s="414">
        <f>E198+1</f>
        <v>2</v>
      </c>
      <c r="G198" s="414">
        <f>F198+1</f>
        <v>3</v>
      </c>
      <c r="H198" s="414">
        <f>G198+1</f>
        <v>4</v>
      </c>
      <c r="I198" s="414">
        <f>H198+1</f>
        <v>5</v>
      </c>
      <c r="J198" s="171"/>
      <c r="K198" s="171"/>
      <c r="L198" s="171"/>
      <c r="M198" s="171"/>
    </row>
    <row r="199" spans="1:13" ht="12.75" customHeight="1" outlineLevel="1" x14ac:dyDescent="0.2">
      <c r="A199" s="171"/>
      <c r="B199" s="422">
        <v>1</v>
      </c>
      <c r="C199" s="416" t="s">
        <v>104</v>
      </c>
      <c r="D199" s="396">
        <f t="shared" ref="D199:I199" si="89">INDEX(PBSScriptsChanged,$B196,D197)*INDEX(DPMQCoPayChangedPub,$B196,$B199)</f>
        <v>0</v>
      </c>
      <c r="E199" s="396">
        <f t="shared" si="89"/>
        <v>0</v>
      </c>
      <c r="F199" s="396">
        <f t="shared" si="89"/>
        <v>0</v>
      </c>
      <c r="G199" s="396">
        <f t="shared" si="89"/>
        <v>0</v>
      </c>
      <c r="H199" s="396">
        <f t="shared" si="89"/>
        <v>0</v>
      </c>
      <c r="I199" s="396">
        <f t="shared" si="89"/>
        <v>0</v>
      </c>
      <c r="J199" s="171"/>
      <c r="K199" s="171"/>
      <c r="L199" s="171"/>
      <c r="M199" s="171"/>
    </row>
    <row r="200" spans="1:13" ht="12.75" customHeight="1" outlineLevel="1" x14ac:dyDescent="0.2">
      <c r="A200" s="171"/>
      <c r="B200" s="422">
        <v>3</v>
      </c>
      <c r="C200" s="11" t="s">
        <v>129</v>
      </c>
      <c r="D200" s="396">
        <f t="shared" ref="D200:I200" si="90">INDEX(PBSScriptsChanged,$B196,D197)*(INDEX(DPMQCoPayChangedPub,$B196,$B200)/INDEX(CoPayCountChanged,$B196))</f>
        <v>0</v>
      </c>
      <c r="E200" s="396">
        <f t="shared" si="90"/>
        <v>0</v>
      </c>
      <c r="F200" s="396">
        <f t="shared" si="90"/>
        <v>0</v>
      </c>
      <c r="G200" s="396">
        <f t="shared" si="90"/>
        <v>0</v>
      </c>
      <c r="H200" s="396">
        <f t="shared" si="90"/>
        <v>0</v>
      </c>
      <c r="I200" s="396">
        <f t="shared" si="90"/>
        <v>0</v>
      </c>
      <c r="J200" s="171"/>
      <c r="K200" s="763" t="str">
        <f>IF(B197&lt;&gt;0,MsgNote&amp;IF(B197="Yes",INDEX(CoPayMethod,1),INDEX(CoPayMethod,2)),"")</f>
        <v/>
      </c>
      <c r="L200" s="763"/>
      <c r="M200" s="763"/>
    </row>
    <row r="201" spans="1:13" ht="12.75" customHeight="1" outlineLevel="1" x14ac:dyDescent="0.2">
      <c r="A201" s="171"/>
      <c r="B201" s="224"/>
      <c r="C201" s="11" t="s">
        <v>106</v>
      </c>
      <c r="D201" s="396">
        <f t="shared" ref="D201:I201" si="91">D199+D200</f>
        <v>0</v>
      </c>
      <c r="E201" s="396">
        <f t="shared" si="91"/>
        <v>0</v>
      </c>
      <c r="F201" s="396">
        <f t="shared" si="91"/>
        <v>0</v>
      </c>
      <c r="G201" s="396">
        <f t="shared" si="91"/>
        <v>0</v>
      </c>
      <c r="H201" s="396">
        <f t="shared" si="91"/>
        <v>0</v>
      </c>
      <c r="I201" s="396">
        <f t="shared" si="91"/>
        <v>0</v>
      </c>
      <c r="J201" s="171"/>
      <c r="K201" s="171"/>
      <c r="L201" s="171"/>
      <c r="M201" s="171"/>
    </row>
    <row r="202" spans="1:13" ht="12.75" customHeight="1" outlineLevel="1" x14ac:dyDescent="0.2">
      <c r="A202" s="171"/>
      <c r="B202" s="202"/>
      <c r="C202" s="171"/>
      <c r="D202" s="171"/>
      <c r="E202" s="171"/>
      <c r="F202" s="171"/>
      <c r="G202" s="171"/>
      <c r="H202" s="171"/>
      <c r="I202" s="171"/>
      <c r="J202" s="171"/>
      <c r="K202" s="171"/>
      <c r="L202" s="171"/>
      <c r="M202" s="171"/>
    </row>
    <row r="203" spans="1:13" ht="15.75" customHeight="1" outlineLevel="1" x14ac:dyDescent="0.2">
      <c r="A203" s="171"/>
      <c r="B203" s="202"/>
      <c r="C203" s="193"/>
      <c r="D203" s="414">
        <f>FirstYear</f>
        <v>0</v>
      </c>
      <c r="E203" s="414">
        <f>D203+1</f>
        <v>1</v>
      </c>
      <c r="F203" s="414">
        <f>E203+1</f>
        <v>2</v>
      </c>
      <c r="G203" s="414">
        <f>F203+1</f>
        <v>3</v>
      </c>
      <c r="H203" s="414">
        <f>G203+1</f>
        <v>4</v>
      </c>
      <c r="I203" s="414">
        <f>H203+1</f>
        <v>5</v>
      </c>
      <c r="J203" s="171"/>
      <c r="K203" s="171"/>
      <c r="L203" s="171"/>
      <c r="M203" s="171"/>
    </row>
    <row r="204" spans="1:13" ht="12.75" customHeight="1" outlineLevel="1" x14ac:dyDescent="0.2">
      <c r="A204" s="171"/>
      <c r="B204" s="422">
        <v>1</v>
      </c>
      <c r="C204" s="416" t="s">
        <v>105</v>
      </c>
      <c r="D204" s="396">
        <f t="shared" ref="D204:I204" si="92">INDEX(RPBSScriptsChanged,$B196,D197)*INDEX(DPMQCoPayChangedPub,$B196,$B204)</f>
        <v>0</v>
      </c>
      <c r="E204" s="396">
        <f t="shared" si="92"/>
        <v>0</v>
      </c>
      <c r="F204" s="396">
        <f t="shared" si="92"/>
        <v>0</v>
      </c>
      <c r="G204" s="396">
        <f t="shared" si="92"/>
        <v>0</v>
      </c>
      <c r="H204" s="396">
        <f t="shared" si="92"/>
        <v>0</v>
      </c>
      <c r="I204" s="396">
        <f t="shared" si="92"/>
        <v>0</v>
      </c>
      <c r="J204" s="171"/>
      <c r="K204" s="171"/>
      <c r="L204" s="171"/>
      <c r="M204" s="171"/>
    </row>
    <row r="205" spans="1:13" ht="12.75" customHeight="1" outlineLevel="1" x14ac:dyDescent="0.2">
      <c r="A205" s="171"/>
      <c r="B205" s="422">
        <v>4</v>
      </c>
      <c r="C205" s="11" t="s">
        <v>129</v>
      </c>
      <c r="D205" s="396">
        <f t="shared" ref="D205:I205" si="93">INDEX(RPBSScriptsChanged,$B196,D197)*(INDEX(DPMQCoPayChangedPub,$B196,$B205)/INDEX(CoPayCountChanged,$B196))</f>
        <v>0</v>
      </c>
      <c r="E205" s="396">
        <f t="shared" si="93"/>
        <v>0</v>
      </c>
      <c r="F205" s="396">
        <f t="shared" si="93"/>
        <v>0</v>
      </c>
      <c r="G205" s="396">
        <f t="shared" si="93"/>
        <v>0</v>
      </c>
      <c r="H205" s="396">
        <f t="shared" si="93"/>
        <v>0</v>
      </c>
      <c r="I205" s="396">
        <f t="shared" si="93"/>
        <v>0</v>
      </c>
      <c r="J205" s="171"/>
      <c r="K205" s="171"/>
      <c r="L205" s="171"/>
      <c r="M205" s="171"/>
    </row>
    <row r="206" spans="1:13" ht="12.75" customHeight="1" outlineLevel="1" x14ac:dyDescent="0.2">
      <c r="A206" s="171"/>
      <c r="B206" s="224"/>
      <c r="C206" s="11" t="s">
        <v>107</v>
      </c>
      <c r="D206" s="396">
        <f t="shared" ref="D206:I206" si="94">D204+D205</f>
        <v>0</v>
      </c>
      <c r="E206" s="396">
        <f t="shared" si="94"/>
        <v>0</v>
      </c>
      <c r="F206" s="396">
        <f t="shared" si="94"/>
        <v>0</v>
      </c>
      <c r="G206" s="396">
        <f t="shared" si="94"/>
        <v>0</v>
      </c>
      <c r="H206" s="396">
        <f t="shared" si="94"/>
        <v>0</v>
      </c>
      <c r="I206" s="396">
        <f t="shared" si="94"/>
        <v>0</v>
      </c>
      <c r="J206" s="171"/>
      <c r="K206" s="171"/>
      <c r="L206" s="171"/>
      <c r="M206" s="171"/>
    </row>
    <row r="207" spans="1:13" ht="12.75" customHeight="1" x14ac:dyDescent="0.2">
      <c r="A207" s="171"/>
      <c r="B207" s="224"/>
      <c r="C207" s="171"/>
      <c r="D207" s="171"/>
      <c r="E207" s="171"/>
      <c r="F207" s="171"/>
      <c r="G207" s="171"/>
      <c r="H207" s="171"/>
      <c r="I207" s="171"/>
      <c r="J207" s="171"/>
      <c r="K207" s="171"/>
      <c r="L207" s="171"/>
      <c r="M207" s="171"/>
    </row>
    <row r="208" spans="1:13" ht="15" x14ac:dyDescent="0.2">
      <c r="A208" s="171"/>
      <c r="B208" s="423">
        <v>16</v>
      </c>
      <c r="C208" s="221" t="str">
        <f>INDEX(PBSScriptsChanged,B208,1)</f>
        <v>** NOT USED **</v>
      </c>
      <c r="D208" s="207"/>
      <c r="E208" s="207"/>
      <c r="F208" s="207"/>
      <c r="G208" s="207"/>
      <c r="H208" s="207"/>
      <c r="I208" s="207"/>
      <c r="J208" s="188"/>
      <c r="K208" s="188"/>
      <c r="L208" s="782" t="str">
        <f>IF(C208&lt;&gt;MsgNotUsed,"Co-payment group " &amp; INDEX(CoPayBandChanged,B208),"")</f>
        <v/>
      </c>
      <c r="M208" s="782"/>
    </row>
    <row r="209" spans="1:13" ht="12.75" customHeight="1" outlineLevel="1" x14ac:dyDescent="0.2">
      <c r="A209" s="171"/>
      <c r="B209" s="352">
        <f>INDEX(SAChanged,B208,5)</f>
        <v>0</v>
      </c>
      <c r="C209" s="20"/>
      <c r="D209" s="419">
        <v>2</v>
      </c>
      <c r="E209" s="419">
        <v>3</v>
      </c>
      <c r="F209" s="201">
        <v>4</v>
      </c>
      <c r="G209" s="201">
        <v>5</v>
      </c>
      <c r="H209" s="201">
        <v>6</v>
      </c>
      <c r="I209" s="201">
        <v>7</v>
      </c>
      <c r="J209" s="19"/>
      <c r="K209" s="19"/>
      <c r="L209" s="19"/>
      <c r="M209" s="19"/>
    </row>
    <row r="210" spans="1:13" ht="12.75" customHeight="1" outlineLevel="1" x14ac:dyDescent="0.2">
      <c r="A210" s="171"/>
      <c r="B210" s="224"/>
      <c r="C210" s="171"/>
      <c r="D210" s="414">
        <f>FirstYear</f>
        <v>0</v>
      </c>
      <c r="E210" s="414">
        <f>D210+1</f>
        <v>1</v>
      </c>
      <c r="F210" s="414">
        <f>E210+1</f>
        <v>2</v>
      </c>
      <c r="G210" s="414">
        <f>F210+1</f>
        <v>3</v>
      </c>
      <c r="H210" s="414">
        <f>G210+1</f>
        <v>4</v>
      </c>
      <c r="I210" s="414">
        <f>H210+1</f>
        <v>5</v>
      </c>
      <c r="J210" s="171"/>
      <c r="K210" s="171"/>
      <c r="L210" s="171"/>
      <c r="M210" s="171"/>
    </row>
    <row r="211" spans="1:13" ht="12.75" customHeight="1" outlineLevel="1" x14ac:dyDescent="0.2">
      <c r="A211" s="171"/>
      <c r="B211" s="422">
        <v>1</v>
      </c>
      <c r="C211" s="416" t="s">
        <v>104</v>
      </c>
      <c r="D211" s="396">
        <f t="shared" ref="D211:I211" si="95">INDEX(PBSScriptsChanged,$B208,D209)*INDEX(DPMQCoPayChangedPub,$B208,$B211)</f>
        <v>0</v>
      </c>
      <c r="E211" s="396">
        <f t="shared" si="95"/>
        <v>0</v>
      </c>
      <c r="F211" s="396">
        <f t="shared" si="95"/>
        <v>0</v>
      </c>
      <c r="G211" s="396">
        <f t="shared" si="95"/>
        <v>0</v>
      </c>
      <c r="H211" s="396">
        <f t="shared" si="95"/>
        <v>0</v>
      </c>
      <c r="I211" s="396">
        <f t="shared" si="95"/>
        <v>0</v>
      </c>
      <c r="J211" s="171"/>
      <c r="K211" s="171"/>
      <c r="L211" s="171"/>
      <c r="M211" s="171"/>
    </row>
    <row r="212" spans="1:13" ht="12.75" customHeight="1" outlineLevel="1" x14ac:dyDescent="0.2">
      <c r="A212" s="171"/>
      <c r="B212" s="422">
        <v>3</v>
      </c>
      <c r="C212" s="11" t="s">
        <v>129</v>
      </c>
      <c r="D212" s="396">
        <f t="shared" ref="D212:I212" si="96">INDEX(PBSScriptsChanged,$B208,D209)*(INDEX(DPMQCoPayChangedPub,$B208,$B212)/INDEX(CoPayCountChanged,$B208))</f>
        <v>0</v>
      </c>
      <c r="E212" s="396">
        <f t="shared" si="96"/>
        <v>0</v>
      </c>
      <c r="F212" s="396">
        <f t="shared" si="96"/>
        <v>0</v>
      </c>
      <c r="G212" s="396">
        <f t="shared" si="96"/>
        <v>0</v>
      </c>
      <c r="H212" s="396">
        <f t="shared" si="96"/>
        <v>0</v>
      </c>
      <c r="I212" s="396">
        <f t="shared" si="96"/>
        <v>0</v>
      </c>
      <c r="J212" s="171"/>
      <c r="K212" s="763" t="str">
        <f>IF(B209&lt;&gt;0,MsgNote&amp;IF(B209="Yes",INDEX(CoPayMethod,1),INDEX(CoPayMethod,2)),"")</f>
        <v/>
      </c>
      <c r="L212" s="763"/>
      <c r="M212" s="763"/>
    </row>
    <row r="213" spans="1:13" ht="12.75" customHeight="1" outlineLevel="1" x14ac:dyDescent="0.2">
      <c r="A213" s="171"/>
      <c r="B213" s="224"/>
      <c r="C213" s="11" t="s">
        <v>106</v>
      </c>
      <c r="D213" s="396">
        <f t="shared" ref="D213:I213" si="97">D211+D212</f>
        <v>0</v>
      </c>
      <c r="E213" s="396">
        <f t="shared" si="97"/>
        <v>0</v>
      </c>
      <c r="F213" s="396">
        <f t="shared" si="97"/>
        <v>0</v>
      </c>
      <c r="G213" s="396">
        <f t="shared" si="97"/>
        <v>0</v>
      </c>
      <c r="H213" s="396">
        <f t="shared" si="97"/>
        <v>0</v>
      </c>
      <c r="I213" s="396">
        <f t="shared" si="97"/>
        <v>0</v>
      </c>
      <c r="J213" s="171"/>
      <c r="K213" s="171"/>
      <c r="L213" s="171"/>
      <c r="M213" s="171"/>
    </row>
    <row r="214" spans="1:13" ht="12.75" customHeight="1" outlineLevel="1" x14ac:dyDescent="0.2">
      <c r="A214" s="171"/>
      <c r="B214" s="202"/>
      <c r="C214" s="171"/>
      <c r="D214" s="171"/>
      <c r="E214" s="171"/>
      <c r="F214" s="171"/>
      <c r="G214" s="171"/>
      <c r="H214" s="171"/>
      <c r="I214" s="171"/>
      <c r="J214" s="171"/>
      <c r="K214" s="171"/>
      <c r="L214" s="171"/>
      <c r="M214" s="171"/>
    </row>
    <row r="215" spans="1:13" ht="15.75" customHeight="1" outlineLevel="1" x14ac:dyDescent="0.2">
      <c r="A215" s="171"/>
      <c r="B215" s="202"/>
      <c r="C215" s="193"/>
      <c r="D215" s="414">
        <f>FirstYear</f>
        <v>0</v>
      </c>
      <c r="E215" s="414">
        <f>D215+1</f>
        <v>1</v>
      </c>
      <c r="F215" s="414">
        <f>E215+1</f>
        <v>2</v>
      </c>
      <c r="G215" s="414">
        <f>F215+1</f>
        <v>3</v>
      </c>
      <c r="H215" s="414">
        <f>G215+1</f>
        <v>4</v>
      </c>
      <c r="I215" s="414">
        <f>H215+1</f>
        <v>5</v>
      </c>
      <c r="J215" s="171"/>
      <c r="K215" s="171"/>
      <c r="L215" s="171"/>
      <c r="M215" s="171"/>
    </row>
    <row r="216" spans="1:13" ht="12.75" customHeight="1" outlineLevel="1" x14ac:dyDescent="0.2">
      <c r="A216" s="171"/>
      <c r="B216" s="422">
        <v>1</v>
      </c>
      <c r="C216" s="416" t="s">
        <v>105</v>
      </c>
      <c r="D216" s="396">
        <f t="shared" ref="D216:I216" si="98">INDEX(RPBSScriptsChanged,$B208,D209)*INDEX(DPMQCoPayChangedPub,$B208,$B216)</f>
        <v>0</v>
      </c>
      <c r="E216" s="396">
        <f t="shared" si="98"/>
        <v>0</v>
      </c>
      <c r="F216" s="396">
        <f t="shared" si="98"/>
        <v>0</v>
      </c>
      <c r="G216" s="396">
        <f t="shared" si="98"/>
        <v>0</v>
      </c>
      <c r="H216" s="396">
        <f t="shared" si="98"/>
        <v>0</v>
      </c>
      <c r="I216" s="396">
        <f t="shared" si="98"/>
        <v>0</v>
      </c>
      <c r="J216" s="171"/>
      <c r="K216" s="171"/>
      <c r="L216" s="171"/>
      <c r="M216" s="171"/>
    </row>
    <row r="217" spans="1:13" ht="12.75" customHeight="1" outlineLevel="1" x14ac:dyDescent="0.2">
      <c r="A217" s="171"/>
      <c r="B217" s="422">
        <v>4</v>
      </c>
      <c r="C217" s="11" t="s">
        <v>129</v>
      </c>
      <c r="D217" s="396">
        <f t="shared" ref="D217:I217" si="99">INDEX(RPBSScriptsChanged,$B208,D209)*(INDEX(DPMQCoPayChangedPub,$B208,$B217)/INDEX(CoPayCountChanged,$B208))</f>
        <v>0</v>
      </c>
      <c r="E217" s="396">
        <f t="shared" si="99"/>
        <v>0</v>
      </c>
      <c r="F217" s="396">
        <f t="shared" si="99"/>
        <v>0</v>
      </c>
      <c r="G217" s="396">
        <f t="shared" si="99"/>
        <v>0</v>
      </c>
      <c r="H217" s="396">
        <f t="shared" si="99"/>
        <v>0</v>
      </c>
      <c r="I217" s="396">
        <f t="shared" si="99"/>
        <v>0</v>
      </c>
      <c r="J217" s="171"/>
      <c r="K217" s="171"/>
      <c r="L217" s="171"/>
      <c r="M217" s="171"/>
    </row>
    <row r="218" spans="1:13" ht="12.75" customHeight="1" outlineLevel="1" x14ac:dyDescent="0.2">
      <c r="A218" s="171"/>
      <c r="B218" s="224"/>
      <c r="C218" s="11" t="s">
        <v>107</v>
      </c>
      <c r="D218" s="396">
        <f t="shared" ref="D218:I218" si="100">D216+D217</f>
        <v>0</v>
      </c>
      <c r="E218" s="396">
        <f t="shared" si="100"/>
        <v>0</v>
      </c>
      <c r="F218" s="396">
        <f t="shared" si="100"/>
        <v>0</v>
      </c>
      <c r="G218" s="396">
        <f t="shared" si="100"/>
        <v>0</v>
      </c>
      <c r="H218" s="396">
        <f t="shared" si="100"/>
        <v>0</v>
      </c>
      <c r="I218" s="396">
        <f t="shared" si="100"/>
        <v>0</v>
      </c>
      <c r="J218" s="171"/>
      <c r="K218" s="171"/>
      <c r="L218" s="171"/>
      <c r="M218" s="171"/>
    </row>
    <row r="219" spans="1:13" ht="12.75" customHeight="1" x14ac:dyDescent="0.2">
      <c r="A219" s="171"/>
      <c r="B219" s="224"/>
      <c r="C219" s="171"/>
      <c r="D219" s="171"/>
      <c r="E219" s="171"/>
      <c r="F219" s="171"/>
      <c r="G219" s="171"/>
      <c r="H219" s="171"/>
      <c r="I219" s="171"/>
      <c r="J219" s="171"/>
      <c r="K219" s="171"/>
      <c r="L219" s="171"/>
      <c r="M219" s="171"/>
    </row>
    <row r="220" spans="1:13" ht="15" x14ac:dyDescent="0.2">
      <c r="A220" s="171"/>
      <c r="B220" s="423">
        <v>17</v>
      </c>
      <c r="C220" s="221" t="str">
        <f>INDEX(PBSScriptsChanged,B220,1)</f>
        <v>** NOT USED **</v>
      </c>
      <c r="D220" s="207"/>
      <c r="E220" s="207"/>
      <c r="F220" s="207"/>
      <c r="G220" s="207"/>
      <c r="H220" s="207"/>
      <c r="I220" s="207"/>
      <c r="J220" s="188"/>
      <c r="K220" s="188"/>
      <c r="L220" s="782" t="str">
        <f>IF(C220&lt;&gt;MsgNotUsed,"Co-payment group " &amp; INDEX(CoPayBandChanged,B220),"")</f>
        <v/>
      </c>
      <c r="M220" s="782"/>
    </row>
    <row r="221" spans="1:13" ht="12.75" customHeight="1" outlineLevel="1" x14ac:dyDescent="0.2">
      <c r="A221" s="171"/>
      <c r="B221" s="352">
        <f>INDEX(SAChanged,B220,5)</f>
        <v>0</v>
      </c>
      <c r="C221" s="20"/>
      <c r="D221" s="419">
        <v>2</v>
      </c>
      <c r="E221" s="419">
        <v>3</v>
      </c>
      <c r="F221" s="201">
        <v>4</v>
      </c>
      <c r="G221" s="201">
        <v>5</v>
      </c>
      <c r="H221" s="201">
        <v>6</v>
      </c>
      <c r="I221" s="201">
        <v>7</v>
      </c>
      <c r="J221" s="19"/>
      <c r="K221" s="19"/>
      <c r="L221" s="19"/>
      <c r="M221" s="19"/>
    </row>
    <row r="222" spans="1:13" ht="12.75" customHeight="1" outlineLevel="1" x14ac:dyDescent="0.2">
      <c r="A222" s="171"/>
      <c r="B222" s="224"/>
      <c r="C222" s="171"/>
      <c r="D222" s="414">
        <f>FirstYear</f>
        <v>0</v>
      </c>
      <c r="E222" s="414">
        <f>D222+1</f>
        <v>1</v>
      </c>
      <c r="F222" s="414">
        <f>E222+1</f>
        <v>2</v>
      </c>
      <c r="G222" s="414">
        <f>F222+1</f>
        <v>3</v>
      </c>
      <c r="H222" s="414">
        <f>G222+1</f>
        <v>4</v>
      </c>
      <c r="I222" s="414">
        <f>H222+1</f>
        <v>5</v>
      </c>
      <c r="J222" s="171"/>
      <c r="K222" s="171"/>
      <c r="L222" s="171"/>
      <c r="M222" s="171"/>
    </row>
    <row r="223" spans="1:13" ht="12.75" customHeight="1" outlineLevel="1" x14ac:dyDescent="0.2">
      <c r="A223" s="171"/>
      <c r="B223" s="422">
        <v>1</v>
      </c>
      <c r="C223" s="416" t="s">
        <v>104</v>
      </c>
      <c r="D223" s="396">
        <f t="shared" ref="D223:I223" si="101">INDEX(PBSScriptsChanged,$B220,D221)*INDEX(DPMQCoPayChangedPub,$B220,$B223)</f>
        <v>0</v>
      </c>
      <c r="E223" s="396">
        <f t="shared" si="101"/>
        <v>0</v>
      </c>
      <c r="F223" s="396">
        <f t="shared" si="101"/>
        <v>0</v>
      </c>
      <c r="G223" s="396">
        <f t="shared" si="101"/>
        <v>0</v>
      </c>
      <c r="H223" s="396">
        <f t="shared" si="101"/>
        <v>0</v>
      </c>
      <c r="I223" s="396">
        <f t="shared" si="101"/>
        <v>0</v>
      </c>
      <c r="J223" s="171"/>
      <c r="K223" s="171"/>
      <c r="L223" s="171"/>
      <c r="M223" s="171"/>
    </row>
    <row r="224" spans="1:13" ht="12.75" customHeight="1" outlineLevel="1" x14ac:dyDescent="0.2">
      <c r="A224" s="171"/>
      <c r="B224" s="422">
        <v>3</v>
      </c>
      <c r="C224" s="11" t="s">
        <v>129</v>
      </c>
      <c r="D224" s="396">
        <f t="shared" ref="D224:I224" si="102">INDEX(PBSScriptsChanged,$B220,D221)*(INDEX(DPMQCoPayChangedPub,$B220,$B224)/INDEX(CoPayCountChanged,$B220))</f>
        <v>0</v>
      </c>
      <c r="E224" s="396">
        <f t="shared" si="102"/>
        <v>0</v>
      </c>
      <c r="F224" s="396">
        <f t="shared" si="102"/>
        <v>0</v>
      </c>
      <c r="G224" s="396">
        <f t="shared" si="102"/>
        <v>0</v>
      </c>
      <c r="H224" s="396">
        <f t="shared" si="102"/>
        <v>0</v>
      </c>
      <c r="I224" s="396">
        <f t="shared" si="102"/>
        <v>0</v>
      </c>
      <c r="J224" s="171"/>
      <c r="K224" s="763" t="str">
        <f>IF(B221&lt;&gt;0,MsgNote&amp;IF(B221="Yes",INDEX(CoPayMethod,1),INDEX(CoPayMethod,2)),"")</f>
        <v/>
      </c>
      <c r="L224" s="763"/>
      <c r="M224" s="763"/>
    </row>
    <row r="225" spans="1:13" ht="12.75" customHeight="1" outlineLevel="1" x14ac:dyDescent="0.2">
      <c r="A225" s="171"/>
      <c r="B225" s="224"/>
      <c r="C225" s="11" t="s">
        <v>106</v>
      </c>
      <c r="D225" s="396">
        <f t="shared" ref="D225:I225" si="103">D223+D224</f>
        <v>0</v>
      </c>
      <c r="E225" s="396">
        <f t="shared" si="103"/>
        <v>0</v>
      </c>
      <c r="F225" s="396">
        <f t="shared" si="103"/>
        <v>0</v>
      </c>
      <c r="G225" s="396">
        <f t="shared" si="103"/>
        <v>0</v>
      </c>
      <c r="H225" s="396">
        <f t="shared" si="103"/>
        <v>0</v>
      </c>
      <c r="I225" s="396">
        <f t="shared" si="103"/>
        <v>0</v>
      </c>
      <c r="J225" s="171"/>
      <c r="K225" s="171"/>
      <c r="L225" s="171"/>
      <c r="M225" s="171"/>
    </row>
    <row r="226" spans="1:13" ht="12.75" customHeight="1" outlineLevel="1" x14ac:dyDescent="0.2">
      <c r="A226" s="171"/>
      <c r="B226" s="202"/>
      <c r="C226" s="171"/>
      <c r="D226" s="171"/>
      <c r="E226" s="171"/>
      <c r="F226" s="171"/>
      <c r="G226" s="171"/>
      <c r="H226" s="171"/>
      <c r="I226" s="171"/>
      <c r="J226" s="171"/>
      <c r="K226" s="171"/>
      <c r="L226" s="171"/>
      <c r="M226" s="171"/>
    </row>
    <row r="227" spans="1:13" ht="15.75" customHeight="1" outlineLevel="1" x14ac:dyDescent="0.2">
      <c r="A227" s="171"/>
      <c r="B227" s="202"/>
      <c r="C227" s="193"/>
      <c r="D227" s="414">
        <f>FirstYear</f>
        <v>0</v>
      </c>
      <c r="E227" s="414">
        <f>D227+1</f>
        <v>1</v>
      </c>
      <c r="F227" s="414">
        <f>E227+1</f>
        <v>2</v>
      </c>
      <c r="G227" s="414">
        <f>F227+1</f>
        <v>3</v>
      </c>
      <c r="H227" s="414">
        <f>G227+1</f>
        <v>4</v>
      </c>
      <c r="I227" s="414">
        <f>H227+1</f>
        <v>5</v>
      </c>
      <c r="J227" s="171"/>
      <c r="K227" s="171"/>
      <c r="L227" s="171"/>
      <c r="M227" s="171"/>
    </row>
    <row r="228" spans="1:13" ht="12.75" customHeight="1" outlineLevel="1" x14ac:dyDescent="0.2">
      <c r="A228" s="171"/>
      <c r="B228" s="422">
        <v>1</v>
      </c>
      <c r="C228" s="416" t="s">
        <v>105</v>
      </c>
      <c r="D228" s="396">
        <f t="shared" ref="D228:I228" si="104">INDEX(RPBSScriptsChanged,$B220,D221)*INDEX(DPMQCoPayChangedPub,$B220,$B228)</f>
        <v>0</v>
      </c>
      <c r="E228" s="396">
        <f t="shared" si="104"/>
        <v>0</v>
      </c>
      <c r="F228" s="396">
        <f t="shared" si="104"/>
        <v>0</v>
      </c>
      <c r="G228" s="396">
        <f t="shared" si="104"/>
        <v>0</v>
      </c>
      <c r="H228" s="396">
        <f t="shared" si="104"/>
        <v>0</v>
      </c>
      <c r="I228" s="396">
        <f t="shared" si="104"/>
        <v>0</v>
      </c>
      <c r="J228" s="171"/>
      <c r="K228" s="171"/>
      <c r="L228" s="171"/>
      <c r="M228" s="171"/>
    </row>
    <row r="229" spans="1:13" ht="12.75" customHeight="1" outlineLevel="1" x14ac:dyDescent="0.2">
      <c r="A229" s="171"/>
      <c r="B229" s="422">
        <v>4</v>
      </c>
      <c r="C229" s="11" t="s">
        <v>129</v>
      </c>
      <c r="D229" s="396">
        <f t="shared" ref="D229:I229" si="105">INDEX(RPBSScriptsChanged,$B220,D221)*(INDEX(DPMQCoPayChangedPub,$B220,$B229)/INDEX(CoPayCountChanged,$B220))</f>
        <v>0</v>
      </c>
      <c r="E229" s="396">
        <f t="shared" si="105"/>
        <v>0</v>
      </c>
      <c r="F229" s="396">
        <f t="shared" si="105"/>
        <v>0</v>
      </c>
      <c r="G229" s="396">
        <f t="shared" si="105"/>
        <v>0</v>
      </c>
      <c r="H229" s="396">
        <f t="shared" si="105"/>
        <v>0</v>
      </c>
      <c r="I229" s="396">
        <f t="shared" si="105"/>
        <v>0</v>
      </c>
      <c r="J229" s="171"/>
      <c r="K229" s="171"/>
      <c r="L229" s="171"/>
      <c r="M229" s="171"/>
    </row>
    <row r="230" spans="1:13" ht="12.75" customHeight="1" outlineLevel="1" x14ac:dyDescent="0.2">
      <c r="A230" s="171"/>
      <c r="B230" s="224"/>
      <c r="C230" s="11" t="s">
        <v>107</v>
      </c>
      <c r="D230" s="396">
        <f t="shared" ref="D230:I230" si="106">D228+D229</f>
        <v>0</v>
      </c>
      <c r="E230" s="396">
        <f t="shared" si="106"/>
        <v>0</v>
      </c>
      <c r="F230" s="396">
        <f t="shared" si="106"/>
        <v>0</v>
      </c>
      <c r="G230" s="396">
        <f t="shared" si="106"/>
        <v>0</v>
      </c>
      <c r="H230" s="396">
        <f t="shared" si="106"/>
        <v>0</v>
      </c>
      <c r="I230" s="396">
        <f t="shared" si="106"/>
        <v>0</v>
      </c>
      <c r="J230" s="171"/>
      <c r="K230" s="171"/>
      <c r="L230" s="171"/>
      <c r="M230" s="171"/>
    </row>
    <row r="231" spans="1:13" ht="12.75" customHeight="1" x14ac:dyDescent="0.2">
      <c r="A231" s="171"/>
      <c r="B231" s="224"/>
      <c r="C231" s="171"/>
      <c r="D231" s="171"/>
      <c r="E231" s="171"/>
      <c r="F231" s="171"/>
      <c r="G231" s="171"/>
      <c r="H231" s="171"/>
      <c r="I231" s="171"/>
      <c r="J231" s="171"/>
      <c r="K231" s="171"/>
      <c r="L231" s="171"/>
      <c r="M231" s="171"/>
    </row>
    <row r="232" spans="1:13" ht="15" x14ac:dyDescent="0.2">
      <c r="A232" s="171"/>
      <c r="B232" s="423">
        <v>18</v>
      </c>
      <c r="C232" s="221" t="str">
        <f>INDEX(PBSScriptsChanged,B232,1)</f>
        <v>** NOT USED **</v>
      </c>
      <c r="D232" s="207"/>
      <c r="E232" s="207"/>
      <c r="F232" s="207"/>
      <c r="G232" s="207"/>
      <c r="H232" s="207"/>
      <c r="I232" s="207"/>
      <c r="J232" s="188"/>
      <c r="K232" s="188"/>
      <c r="L232" s="782" t="str">
        <f>IF(C232&lt;&gt;MsgNotUsed,"Co-payment group " &amp; INDEX(CoPayBandChanged,B232),"")</f>
        <v/>
      </c>
      <c r="M232" s="782"/>
    </row>
    <row r="233" spans="1:13" ht="12.75" customHeight="1" outlineLevel="1" x14ac:dyDescent="0.2">
      <c r="A233" s="171"/>
      <c r="B233" s="352">
        <f>INDEX(SAChanged,B232,5)</f>
        <v>0</v>
      </c>
      <c r="C233" s="20"/>
      <c r="D233" s="419">
        <v>2</v>
      </c>
      <c r="E233" s="419">
        <v>3</v>
      </c>
      <c r="F233" s="201">
        <v>4</v>
      </c>
      <c r="G233" s="201">
        <v>5</v>
      </c>
      <c r="H233" s="201">
        <v>6</v>
      </c>
      <c r="I233" s="201">
        <v>7</v>
      </c>
      <c r="J233" s="19"/>
      <c r="K233" s="19"/>
      <c r="L233" s="19"/>
      <c r="M233" s="19"/>
    </row>
    <row r="234" spans="1:13" ht="12.75" customHeight="1" outlineLevel="1" x14ac:dyDescent="0.2">
      <c r="A234" s="171"/>
      <c r="B234" s="224"/>
      <c r="C234" s="171"/>
      <c r="D234" s="414">
        <f>FirstYear</f>
        <v>0</v>
      </c>
      <c r="E234" s="414">
        <f>D234+1</f>
        <v>1</v>
      </c>
      <c r="F234" s="414">
        <f>E234+1</f>
        <v>2</v>
      </c>
      <c r="G234" s="414">
        <f>F234+1</f>
        <v>3</v>
      </c>
      <c r="H234" s="414">
        <f>G234+1</f>
        <v>4</v>
      </c>
      <c r="I234" s="414">
        <f>H234+1</f>
        <v>5</v>
      </c>
      <c r="J234" s="171"/>
      <c r="K234" s="171"/>
      <c r="L234" s="171"/>
      <c r="M234" s="171"/>
    </row>
    <row r="235" spans="1:13" ht="12.75" customHeight="1" outlineLevel="1" x14ac:dyDescent="0.2">
      <c r="A235" s="171"/>
      <c r="B235" s="422">
        <v>1</v>
      </c>
      <c r="C235" s="416" t="s">
        <v>104</v>
      </c>
      <c r="D235" s="396">
        <f t="shared" ref="D235:I235" si="107">INDEX(PBSScriptsChanged,$B232,D233)*INDEX(DPMQCoPayChangedPub,$B232,$B235)</f>
        <v>0</v>
      </c>
      <c r="E235" s="396">
        <f t="shared" si="107"/>
        <v>0</v>
      </c>
      <c r="F235" s="396">
        <f t="shared" si="107"/>
        <v>0</v>
      </c>
      <c r="G235" s="396">
        <f t="shared" si="107"/>
        <v>0</v>
      </c>
      <c r="H235" s="396">
        <f t="shared" si="107"/>
        <v>0</v>
      </c>
      <c r="I235" s="396">
        <f t="shared" si="107"/>
        <v>0</v>
      </c>
      <c r="J235" s="171"/>
      <c r="K235" s="171"/>
      <c r="L235" s="171"/>
      <c r="M235" s="171"/>
    </row>
    <row r="236" spans="1:13" ht="12.75" customHeight="1" outlineLevel="1" x14ac:dyDescent="0.2">
      <c r="A236" s="171"/>
      <c r="B236" s="422">
        <v>3</v>
      </c>
      <c r="C236" s="11" t="s">
        <v>129</v>
      </c>
      <c r="D236" s="396">
        <f t="shared" ref="D236:I236" si="108">INDEX(PBSScriptsChanged,$B232,D233)*(INDEX(DPMQCoPayChangedPub,$B232,$B236)/INDEX(CoPayCountChanged,$B232))</f>
        <v>0</v>
      </c>
      <c r="E236" s="396">
        <f t="shared" si="108"/>
        <v>0</v>
      </c>
      <c r="F236" s="396">
        <f t="shared" si="108"/>
        <v>0</v>
      </c>
      <c r="G236" s="396">
        <f t="shared" si="108"/>
        <v>0</v>
      </c>
      <c r="H236" s="396">
        <f t="shared" si="108"/>
        <v>0</v>
      </c>
      <c r="I236" s="396">
        <f t="shared" si="108"/>
        <v>0</v>
      </c>
      <c r="J236" s="171"/>
      <c r="K236" s="763" t="str">
        <f>IF(B233&lt;&gt;0,MsgNote&amp;IF(B233="Yes",INDEX(CoPayMethod,1),INDEX(CoPayMethod,2)),"")</f>
        <v/>
      </c>
      <c r="L236" s="763"/>
      <c r="M236" s="763"/>
    </row>
    <row r="237" spans="1:13" ht="12.75" customHeight="1" outlineLevel="1" x14ac:dyDescent="0.2">
      <c r="A237" s="171"/>
      <c r="B237" s="224"/>
      <c r="C237" s="11" t="s">
        <v>106</v>
      </c>
      <c r="D237" s="396">
        <f t="shared" ref="D237:I237" si="109">D235+D236</f>
        <v>0</v>
      </c>
      <c r="E237" s="396">
        <f t="shared" si="109"/>
        <v>0</v>
      </c>
      <c r="F237" s="396">
        <f t="shared" si="109"/>
        <v>0</v>
      </c>
      <c r="G237" s="396">
        <f t="shared" si="109"/>
        <v>0</v>
      </c>
      <c r="H237" s="396">
        <f t="shared" si="109"/>
        <v>0</v>
      </c>
      <c r="I237" s="396">
        <f t="shared" si="109"/>
        <v>0</v>
      </c>
      <c r="J237" s="171"/>
      <c r="K237" s="171"/>
      <c r="L237" s="171"/>
      <c r="M237" s="171"/>
    </row>
    <row r="238" spans="1:13" ht="12.75" customHeight="1" outlineLevel="1" x14ac:dyDescent="0.2">
      <c r="A238" s="171"/>
      <c r="B238" s="202"/>
      <c r="C238" s="171"/>
      <c r="D238" s="171"/>
      <c r="E238" s="171"/>
      <c r="F238" s="171"/>
      <c r="G238" s="171"/>
      <c r="H238" s="171"/>
      <c r="I238" s="171"/>
      <c r="J238" s="171"/>
      <c r="K238" s="171"/>
      <c r="L238" s="171"/>
      <c r="M238" s="171"/>
    </row>
    <row r="239" spans="1:13" ht="15.75" customHeight="1" outlineLevel="1" x14ac:dyDescent="0.2">
      <c r="A239" s="171"/>
      <c r="B239" s="202"/>
      <c r="C239" s="193"/>
      <c r="D239" s="414">
        <f>FirstYear</f>
        <v>0</v>
      </c>
      <c r="E239" s="414">
        <f>D239+1</f>
        <v>1</v>
      </c>
      <c r="F239" s="414">
        <f>E239+1</f>
        <v>2</v>
      </c>
      <c r="G239" s="414">
        <f>F239+1</f>
        <v>3</v>
      </c>
      <c r="H239" s="414">
        <f>G239+1</f>
        <v>4</v>
      </c>
      <c r="I239" s="414">
        <f>H239+1</f>
        <v>5</v>
      </c>
      <c r="J239" s="171"/>
      <c r="K239" s="171"/>
      <c r="L239" s="171"/>
      <c r="M239" s="171"/>
    </row>
    <row r="240" spans="1:13" ht="12.75" customHeight="1" outlineLevel="1" x14ac:dyDescent="0.2">
      <c r="A240" s="171"/>
      <c r="B240" s="422">
        <v>1</v>
      </c>
      <c r="C240" s="416" t="s">
        <v>105</v>
      </c>
      <c r="D240" s="396">
        <f t="shared" ref="D240:I240" si="110">INDEX(RPBSScriptsChanged,$B232,D233)*INDEX(DPMQCoPayChangedPub,$B232,$B240)</f>
        <v>0</v>
      </c>
      <c r="E240" s="396">
        <f t="shared" si="110"/>
        <v>0</v>
      </c>
      <c r="F240" s="396">
        <f t="shared" si="110"/>
        <v>0</v>
      </c>
      <c r="G240" s="396">
        <f t="shared" si="110"/>
        <v>0</v>
      </c>
      <c r="H240" s="396">
        <f t="shared" si="110"/>
        <v>0</v>
      </c>
      <c r="I240" s="396">
        <f t="shared" si="110"/>
        <v>0</v>
      </c>
      <c r="J240" s="171"/>
      <c r="K240" s="171"/>
      <c r="L240" s="171"/>
      <c r="M240" s="171"/>
    </row>
    <row r="241" spans="1:13" ht="12.75" customHeight="1" outlineLevel="1" x14ac:dyDescent="0.2">
      <c r="A241" s="171"/>
      <c r="B241" s="422">
        <v>4</v>
      </c>
      <c r="C241" s="11" t="s">
        <v>129</v>
      </c>
      <c r="D241" s="396">
        <f t="shared" ref="D241:I241" si="111">INDEX(RPBSScriptsChanged,$B232,D233)*(INDEX(DPMQCoPayChangedPub,$B232,$B241)/INDEX(CoPayCountChanged,$B232))</f>
        <v>0</v>
      </c>
      <c r="E241" s="396">
        <f t="shared" si="111"/>
        <v>0</v>
      </c>
      <c r="F241" s="396">
        <f t="shared" si="111"/>
        <v>0</v>
      </c>
      <c r="G241" s="396">
        <f t="shared" si="111"/>
        <v>0</v>
      </c>
      <c r="H241" s="396">
        <f t="shared" si="111"/>
        <v>0</v>
      </c>
      <c r="I241" s="396">
        <f t="shared" si="111"/>
        <v>0</v>
      </c>
      <c r="J241" s="171"/>
      <c r="K241" s="171"/>
      <c r="L241" s="171"/>
      <c r="M241" s="171"/>
    </row>
    <row r="242" spans="1:13" ht="12.75" customHeight="1" outlineLevel="1" x14ac:dyDescent="0.2">
      <c r="A242" s="171"/>
      <c r="B242" s="224"/>
      <c r="C242" s="11" t="s">
        <v>107</v>
      </c>
      <c r="D242" s="396">
        <f t="shared" ref="D242:I242" si="112">D240+D241</f>
        <v>0</v>
      </c>
      <c r="E242" s="396">
        <f t="shared" si="112"/>
        <v>0</v>
      </c>
      <c r="F242" s="396">
        <f t="shared" si="112"/>
        <v>0</v>
      </c>
      <c r="G242" s="396">
        <f t="shared" si="112"/>
        <v>0</v>
      </c>
      <c r="H242" s="396">
        <f t="shared" si="112"/>
        <v>0</v>
      </c>
      <c r="I242" s="396">
        <f t="shared" si="112"/>
        <v>0</v>
      </c>
      <c r="J242" s="171"/>
      <c r="K242" s="171"/>
      <c r="L242" s="171"/>
      <c r="M242" s="171"/>
    </row>
    <row r="243" spans="1:13" ht="12.75" customHeight="1" x14ac:dyDescent="0.2">
      <c r="A243" s="171"/>
      <c r="B243" s="224"/>
      <c r="C243" s="171"/>
      <c r="D243" s="171"/>
      <c r="E243" s="171"/>
      <c r="F243" s="171"/>
      <c r="G243" s="171"/>
      <c r="H243" s="171"/>
      <c r="I243" s="171"/>
      <c r="J243" s="171"/>
      <c r="K243" s="171"/>
      <c r="L243" s="171"/>
      <c r="M243" s="171"/>
    </row>
    <row r="244" spans="1:13" ht="15" x14ac:dyDescent="0.2">
      <c r="A244" s="171"/>
      <c r="B244" s="423">
        <v>19</v>
      </c>
      <c r="C244" s="221" t="str">
        <f>INDEX(PBSScriptsChanged,B244,1)</f>
        <v>** NOT USED **</v>
      </c>
      <c r="D244" s="207"/>
      <c r="E244" s="207"/>
      <c r="F244" s="207"/>
      <c r="G244" s="207"/>
      <c r="H244" s="207"/>
      <c r="I244" s="207"/>
      <c r="J244" s="188"/>
      <c r="K244" s="188"/>
      <c r="L244" s="782" t="str">
        <f>IF(C244&lt;&gt;MsgNotUsed,"Co-payment group " &amp; INDEX(CoPayBandChanged,B244),"")</f>
        <v/>
      </c>
      <c r="M244" s="782"/>
    </row>
    <row r="245" spans="1:13" ht="12.75" customHeight="1" outlineLevel="1" x14ac:dyDescent="0.2">
      <c r="A245" s="171"/>
      <c r="B245" s="352">
        <f>INDEX(SAChanged,B244,5)</f>
        <v>0</v>
      </c>
      <c r="C245" s="20"/>
      <c r="D245" s="419">
        <v>2</v>
      </c>
      <c r="E245" s="419">
        <v>3</v>
      </c>
      <c r="F245" s="201">
        <v>4</v>
      </c>
      <c r="G245" s="201">
        <v>5</v>
      </c>
      <c r="H245" s="201">
        <v>6</v>
      </c>
      <c r="I245" s="201">
        <v>7</v>
      </c>
      <c r="J245" s="19"/>
      <c r="K245" s="19"/>
      <c r="L245" s="19"/>
      <c r="M245" s="19"/>
    </row>
    <row r="246" spans="1:13" ht="12.75" customHeight="1" outlineLevel="1" x14ac:dyDescent="0.2">
      <c r="A246" s="171"/>
      <c r="B246" s="224"/>
      <c r="C246" s="171"/>
      <c r="D246" s="414">
        <f>FirstYear</f>
        <v>0</v>
      </c>
      <c r="E246" s="414">
        <f>D246+1</f>
        <v>1</v>
      </c>
      <c r="F246" s="414">
        <f>E246+1</f>
        <v>2</v>
      </c>
      <c r="G246" s="414">
        <f>F246+1</f>
        <v>3</v>
      </c>
      <c r="H246" s="414">
        <f>G246+1</f>
        <v>4</v>
      </c>
      <c r="I246" s="414">
        <f>H246+1</f>
        <v>5</v>
      </c>
      <c r="J246" s="171"/>
      <c r="K246" s="171"/>
      <c r="L246" s="171"/>
      <c r="M246" s="171"/>
    </row>
    <row r="247" spans="1:13" ht="12.75" customHeight="1" outlineLevel="1" x14ac:dyDescent="0.2">
      <c r="A247" s="171"/>
      <c r="B247" s="422">
        <v>1</v>
      </c>
      <c r="C247" s="416" t="s">
        <v>104</v>
      </c>
      <c r="D247" s="396">
        <f t="shared" ref="D247:I247" si="113">INDEX(PBSScriptsChanged,$B244,D245)*INDEX(DPMQCoPayChangedPub,$B244,$B247)</f>
        <v>0</v>
      </c>
      <c r="E247" s="396">
        <f t="shared" si="113"/>
        <v>0</v>
      </c>
      <c r="F247" s="396">
        <f t="shared" si="113"/>
        <v>0</v>
      </c>
      <c r="G247" s="396">
        <f t="shared" si="113"/>
        <v>0</v>
      </c>
      <c r="H247" s="396">
        <f t="shared" si="113"/>
        <v>0</v>
      </c>
      <c r="I247" s="396">
        <f t="shared" si="113"/>
        <v>0</v>
      </c>
      <c r="J247" s="171"/>
      <c r="K247" s="171"/>
      <c r="L247" s="171"/>
      <c r="M247" s="171"/>
    </row>
    <row r="248" spans="1:13" ht="12.75" customHeight="1" outlineLevel="1" x14ac:dyDescent="0.2">
      <c r="A248" s="171"/>
      <c r="B248" s="422">
        <v>3</v>
      </c>
      <c r="C248" s="11" t="s">
        <v>129</v>
      </c>
      <c r="D248" s="396">
        <f t="shared" ref="D248:I248" si="114">INDEX(PBSScriptsChanged,$B244,D245)*(INDEX(DPMQCoPayChangedPub,$B244,$B248)/INDEX(CoPayCountChanged,$B244))</f>
        <v>0</v>
      </c>
      <c r="E248" s="396">
        <f t="shared" si="114"/>
        <v>0</v>
      </c>
      <c r="F248" s="396">
        <f t="shared" si="114"/>
        <v>0</v>
      </c>
      <c r="G248" s="396">
        <f t="shared" si="114"/>
        <v>0</v>
      </c>
      <c r="H248" s="396">
        <f t="shared" si="114"/>
        <v>0</v>
      </c>
      <c r="I248" s="396">
        <f t="shared" si="114"/>
        <v>0</v>
      </c>
      <c r="J248" s="171"/>
      <c r="K248" s="763" t="str">
        <f>IF(B245&lt;&gt;0,MsgNote&amp;IF(B245="Yes",INDEX(CoPayMethod,1),INDEX(CoPayMethod,2)),"")</f>
        <v/>
      </c>
      <c r="L248" s="763"/>
      <c r="M248" s="763"/>
    </row>
    <row r="249" spans="1:13" ht="12.75" customHeight="1" outlineLevel="1" x14ac:dyDescent="0.2">
      <c r="A249" s="171"/>
      <c r="B249" s="224"/>
      <c r="C249" s="11" t="s">
        <v>106</v>
      </c>
      <c r="D249" s="396">
        <f t="shared" ref="D249:I249" si="115">D247+D248</f>
        <v>0</v>
      </c>
      <c r="E249" s="396">
        <f t="shared" si="115"/>
        <v>0</v>
      </c>
      <c r="F249" s="396">
        <f t="shared" si="115"/>
        <v>0</v>
      </c>
      <c r="G249" s="396">
        <f t="shared" si="115"/>
        <v>0</v>
      </c>
      <c r="H249" s="396">
        <f t="shared" si="115"/>
        <v>0</v>
      </c>
      <c r="I249" s="396">
        <f t="shared" si="115"/>
        <v>0</v>
      </c>
      <c r="J249" s="171"/>
      <c r="K249" s="171"/>
      <c r="L249" s="171"/>
      <c r="M249" s="171"/>
    </row>
    <row r="250" spans="1:13" ht="12.75" customHeight="1" outlineLevel="1" x14ac:dyDescent="0.2">
      <c r="A250" s="171"/>
      <c r="B250" s="202"/>
      <c r="C250" s="171"/>
      <c r="D250" s="171"/>
      <c r="E250" s="171"/>
      <c r="F250" s="171"/>
      <c r="G250" s="171"/>
      <c r="H250" s="171"/>
      <c r="I250" s="171"/>
      <c r="J250" s="171"/>
      <c r="K250" s="171"/>
      <c r="L250" s="171"/>
      <c r="M250" s="171"/>
    </row>
    <row r="251" spans="1:13" ht="15.75" customHeight="1" outlineLevel="1" x14ac:dyDescent="0.2">
      <c r="A251" s="171"/>
      <c r="B251" s="202"/>
      <c r="C251" s="193"/>
      <c r="D251" s="414">
        <f>FirstYear</f>
        <v>0</v>
      </c>
      <c r="E251" s="414">
        <f>D251+1</f>
        <v>1</v>
      </c>
      <c r="F251" s="414">
        <f>E251+1</f>
        <v>2</v>
      </c>
      <c r="G251" s="414">
        <f>F251+1</f>
        <v>3</v>
      </c>
      <c r="H251" s="414">
        <f>G251+1</f>
        <v>4</v>
      </c>
      <c r="I251" s="414">
        <f>H251+1</f>
        <v>5</v>
      </c>
      <c r="J251" s="171"/>
      <c r="K251" s="171"/>
      <c r="L251" s="171"/>
      <c r="M251" s="171"/>
    </row>
    <row r="252" spans="1:13" ht="12.75" customHeight="1" outlineLevel="1" x14ac:dyDescent="0.2">
      <c r="A252" s="171"/>
      <c r="B252" s="422">
        <v>1</v>
      </c>
      <c r="C252" s="416" t="s">
        <v>105</v>
      </c>
      <c r="D252" s="396">
        <f t="shared" ref="D252:I252" si="116">INDEX(RPBSScriptsChanged,$B244,D245)*INDEX(DPMQCoPayChangedPub,$B244,$B252)</f>
        <v>0</v>
      </c>
      <c r="E252" s="396">
        <f t="shared" si="116"/>
        <v>0</v>
      </c>
      <c r="F252" s="396">
        <f t="shared" si="116"/>
        <v>0</v>
      </c>
      <c r="G252" s="396">
        <f t="shared" si="116"/>
        <v>0</v>
      </c>
      <c r="H252" s="396">
        <f t="shared" si="116"/>
        <v>0</v>
      </c>
      <c r="I252" s="396">
        <f t="shared" si="116"/>
        <v>0</v>
      </c>
      <c r="J252" s="171"/>
      <c r="K252" s="171"/>
      <c r="L252" s="171"/>
      <c r="M252" s="171"/>
    </row>
    <row r="253" spans="1:13" ht="12.75" customHeight="1" outlineLevel="1" x14ac:dyDescent="0.2">
      <c r="A253" s="171"/>
      <c r="B253" s="422">
        <v>4</v>
      </c>
      <c r="C253" s="11" t="s">
        <v>129</v>
      </c>
      <c r="D253" s="396">
        <f t="shared" ref="D253:I253" si="117">INDEX(RPBSScriptsChanged,$B244,D245)*(INDEX(DPMQCoPayChangedPub,$B244,$B253)/INDEX(CoPayCountChanged,$B244))</f>
        <v>0</v>
      </c>
      <c r="E253" s="396">
        <f t="shared" si="117"/>
        <v>0</v>
      </c>
      <c r="F253" s="396">
        <f t="shared" si="117"/>
        <v>0</v>
      </c>
      <c r="G253" s="396">
        <f t="shared" si="117"/>
        <v>0</v>
      </c>
      <c r="H253" s="396">
        <f t="shared" si="117"/>
        <v>0</v>
      </c>
      <c r="I253" s="396">
        <f t="shared" si="117"/>
        <v>0</v>
      </c>
      <c r="J253" s="171"/>
      <c r="K253" s="171"/>
      <c r="L253" s="171"/>
      <c r="M253" s="171"/>
    </row>
    <row r="254" spans="1:13" ht="12.75" customHeight="1" outlineLevel="1" x14ac:dyDescent="0.2">
      <c r="A254" s="171"/>
      <c r="B254" s="224"/>
      <c r="C254" s="11" t="s">
        <v>107</v>
      </c>
      <c r="D254" s="396">
        <f t="shared" ref="D254:I254" si="118">D252+D253</f>
        <v>0</v>
      </c>
      <c r="E254" s="396">
        <f t="shared" si="118"/>
        <v>0</v>
      </c>
      <c r="F254" s="396">
        <f t="shared" si="118"/>
        <v>0</v>
      </c>
      <c r="G254" s="396">
        <f t="shared" si="118"/>
        <v>0</v>
      </c>
      <c r="H254" s="396">
        <f t="shared" si="118"/>
        <v>0</v>
      </c>
      <c r="I254" s="396">
        <f t="shared" si="118"/>
        <v>0</v>
      </c>
      <c r="J254" s="171"/>
      <c r="K254" s="171"/>
      <c r="L254" s="171"/>
      <c r="M254" s="171"/>
    </row>
    <row r="255" spans="1:13" ht="12.75" customHeight="1" x14ac:dyDescent="0.2">
      <c r="A255" s="171"/>
      <c r="B255" s="224"/>
      <c r="C255" s="171"/>
      <c r="D255" s="171"/>
      <c r="E255" s="171"/>
      <c r="F255" s="171"/>
      <c r="G255" s="171"/>
      <c r="H255" s="171"/>
      <c r="I255" s="171"/>
      <c r="J255" s="171"/>
      <c r="K255" s="171"/>
      <c r="L255" s="171"/>
      <c r="M255" s="171"/>
    </row>
    <row r="256" spans="1:13" ht="15" x14ac:dyDescent="0.2">
      <c r="A256" s="171"/>
      <c r="B256" s="423">
        <v>20</v>
      </c>
      <c r="C256" s="221" t="str">
        <f>INDEX(PBSScriptsChanged,B256,1)</f>
        <v>** NOT USED **</v>
      </c>
      <c r="D256" s="207"/>
      <c r="E256" s="207"/>
      <c r="F256" s="207"/>
      <c r="G256" s="207"/>
      <c r="H256" s="207"/>
      <c r="I256" s="207"/>
      <c r="J256" s="188"/>
      <c r="K256" s="188"/>
      <c r="L256" s="782" t="str">
        <f>IF(C256&lt;&gt;MsgNotUsed,"Co-payment group " &amp; INDEX(CoPayBandChanged,B256),"")</f>
        <v/>
      </c>
      <c r="M256" s="782"/>
    </row>
    <row r="257" spans="1:13" ht="12.75" customHeight="1" outlineLevel="1" x14ac:dyDescent="0.2">
      <c r="A257" s="171"/>
      <c r="B257" s="352">
        <f>INDEX(SAChanged,B256,5)</f>
        <v>0</v>
      </c>
      <c r="C257" s="20"/>
      <c r="D257" s="419">
        <v>2</v>
      </c>
      <c r="E257" s="419">
        <v>3</v>
      </c>
      <c r="F257" s="201">
        <v>4</v>
      </c>
      <c r="G257" s="201">
        <v>5</v>
      </c>
      <c r="H257" s="201">
        <v>6</v>
      </c>
      <c r="I257" s="201">
        <v>7</v>
      </c>
      <c r="J257" s="19"/>
      <c r="K257" s="19"/>
      <c r="L257" s="19"/>
      <c r="M257" s="19"/>
    </row>
    <row r="258" spans="1:13" ht="12.75" customHeight="1" outlineLevel="1" x14ac:dyDescent="0.2">
      <c r="A258" s="171"/>
      <c r="B258" s="224"/>
      <c r="C258" s="171"/>
      <c r="D258" s="414">
        <f>FirstYear</f>
        <v>0</v>
      </c>
      <c r="E258" s="414">
        <f>D258+1</f>
        <v>1</v>
      </c>
      <c r="F258" s="414">
        <f>E258+1</f>
        <v>2</v>
      </c>
      <c r="G258" s="414">
        <f>F258+1</f>
        <v>3</v>
      </c>
      <c r="H258" s="414">
        <f>G258+1</f>
        <v>4</v>
      </c>
      <c r="I258" s="414">
        <f>H258+1</f>
        <v>5</v>
      </c>
      <c r="J258" s="171"/>
      <c r="K258" s="171"/>
      <c r="L258" s="171"/>
      <c r="M258" s="171"/>
    </row>
    <row r="259" spans="1:13" ht="12.75" customHeight="1" outlineLevel="1" x14ac:dyDescent="0.2">
      <c r="A259" s="171"/>
      <c r="B259" s="422">
        <v>1</v>
      </c>
      <c r="C259" s="416" t="s">
        <v>104</v>
      </c>
      <c r="D259" s="396">
        <f t="shared" ref="D259:I259" si="119">INDEX(PBSScriptsChanged,$B256,D257)*INDEX(DPMQCoPayChangedPub,$B256,$B259)</f>
        <v>0</v>
      </c>
      <c r="E259" s="396">
        <f t="shared" si="119"/>
        <v>0</v>
      </c>
      <c r="F259" s="396">
        <f t="shared" si="119"/>
        <v>0</v>
      </c>
      <c r="G259" s="396">
        <f t="shared" si="119"/>
        <v>0</v>
      </c>
      <c r="H259" s="396">
        <f t="shared" si="119"/>
        <v>0</v>
      </c>
      <c r="I259" s="396">
        <f t="shared" si="119"/>
        <v>0</v>
      </c>
      <c r="J259" s="171"/>
      <c r="K259" s="171"/>
      <c r="L259" s="171"/>
      <c r="M259" s="171"/>
    </row>
    <row r="260" spans="1:13" ht="12.75" customHeight="1" outlineLevel="1" x14ac:dyDescent="0.2">
      <c r="A260" s="171"/>
      <c r="B260" s="422">
        <v>3</v>
      </c>
      <c r="C260" s="11" t="s">
        <v>129</v>
      </c>
      <c r="D260" s="396">
        <f t="shared" ref="D260:I260" si="120">INDEX(PBSScriptsChanged,$B256,D257)*(INDEX(DPMQCoPayChangedPub,$B256,$B260)/INDEX(CoPayCountChanged,$B256))</f>
        <v>0</v>
      </c>
      <c r="E260" s="396">
        <f t="shared" si="120"/>
        <v>0</v>
      </c>
      <c r="F260" s="396">
        <f t="shared" si="120"/>
        <v>0</v>
      </c>
      <c r="G260" s="396">
        <f t="shared" si="120"/>
        <v>0</v>
      </c>
      <c r="H260" s="396">
        <f t="shared" si="120"/>
        <v>0</v>
      </c>
      <c r="I260" s="396">
        <f t="shared" si="120"/>
        <v>0</v>
      </c>
      <c r="J260" s="171"/>
      <c r="K260" s="763" t="str">
        <f>IF(B257&lt;&gt;0,MsgNote&amp;IF(B257="Yes",INDEX(CoPayMethod,1),INDEX(CoPayMethod,2)),"")</f>
        <v/>
      </c>
      <c r="L260" s="763"/>
      <c r="M260" s="763"/>
    </row>
    <row r="261" spans="1:13" ht="12.75" customHeight="1" outlineLevel="1" x14ac:dyDescent="0.2">
      <c r="A261" s="171"/>
      <c r="B261" s="224"/>
      <c r="C261" s="11" t="s">
        <v>106</v>
      </c>
      <c r="D261" s="396">
        <f t="shared" ref="D261:I261" si="121">D259+D260</f>
        <v>0</v>
      </c>
      <c r="E261" s="396">
        <f t="shared" si="121"/>
        <v>0</v>
      </c>
      <c r="F261" s="396">
        <f t="shared" si="121"/>
        <v>0</v>
      </c>
      <c r="G261" s="396">
        <f t="shared" si="121"/>
        <v>0</v>
      </c>
      <c r="H261" s="396">
        <f t="shared" si="121"/>
        <v>0</v>
      </c>
      <c r="I261" s="396">
        <f t="shared" si="121"/>
        <v>0</v>
      </c>
      <c r="J261" s="171"/>
      <c r="K261" s="171"/>
      <c r="L261" s="171"/>
      <c r="M261" s="171"/>
    </row>
    <row r="262" spans="1:13" ht="12.75" customHeight="1" outlineLevel="1" x14ac:dyDescent="0.2">
      <c r="A262" s="171"/>
      <c r="B262" s="202"/>
      <c r="C262" s="171"/>
      <c r="D262" s="171"/>
      <c r="E262" s="171"/>
      <c r="F262" s="171"/>
      <c r="G262" s="171"/>
      <c r="H262" s="171"/>
      <c r="I262" s="171"/>
      <c r="J262" s="171"/>
      <c r="K262" s="171"/>
      <c r="L262" s="171"/>
      <c r="M262" s="171"/>
    </row>
    <row r="263" spans="1:13" ht="15.75" customHeight="1" outlineLevel="1" x14ac:dyDescent="0.2">
      <c r="A263" s="171"/>
      <c r="B263" s="202"/>
      <c r="C263" s="193"/>
      <c r="D263" s="414">
        <f>FirstYear</f>
        <v>0</v>
      </c>
      <c r="E263" s="414">
        <f>D263+1</f>
        <v>1</v>
      </c>
      <c r="F263" s="414">
        <f>E263+1</f>
        <v>2</v>
      </c>
      <c r="G263" s="414">
        <f>F263+1</f>
        <v>3</v>
      </c>
      <c r="H263" s="414">
        <f>G263+1</f>
        <v>4</v>
      </c>
      <c r="I263" s="414">
        <f>H263+1</f>
        <v>5</v>
      </c>
      <c r="J263" s="171"/>
      <c r="K263" s="171"/>
      <c r="L263" s="171"/>
      <c r="M263" s="171"/>
    </row>
    <row r="264" spans="1:13" ht="12.75" customHeight="1" outlineLevel="1" x14ac:dyDescent="0.2">
      <c r="A264" s="171"/>
      <c r="B264" s="422">
        <v>1</v>
      </c>
      <c r="C264" s="416" t="s">
        <v>105</v>
      </c>
      <c r="D264" s="396">
        <f t="shared" ref="D264:I264" si="122">INDEX(RPBSScriptsChanged,$B256,D257)*INDEX(DPMQCoPayChangedPub,$B256,$B264)</f>
        <v>0</v>
      </c>
      <c r="E264" s="396">
        <f t="shared" si="122"/>
        <v>0</v>
      </c>
      <c r="F264" s="396">
        <f t="shared" si="122"/>
        <v>0</v>
      </c>
      <c r="G264" s="396">
        <f t="shared" si="122"/>
        <v>0</v>
      </c>
      <c r="H264" s="396">
        <f t="shared" si="122"/>
        <v>0</v>
      </c>
      <c r="I264" s="396">
        <f t="shared" si="122"/>
        <v>0</v>
      </c>
      <c r="J264" s="171"/>
      <c r="K264" s="171"/>
      <c r="L264" s="171"/>
      <c r="M264" s="171"/>
    </row>
    <row r="265" spans="1:13" ht="12.75" customHeight="1" outlineLevel="1" x14ac:dyDescent="0.2">
      <c r="A265" s="171"/>
      <c r="B265" s="422">
        <v>4</v>
      </c>
      <c r="C265" s="11" t="s">
        <v>129</v>
      </c>
      <c r="D265" s="396">
        <f t="shared" ref="D265:I265" si="123">INDEX(RPBSScriptsChanged,$B256,D257)*(INDEX(DPMQCoPayChangedPub,$B256,$B265)/INDEX(CoPayCountChanged,$B256))</f>
        <v>0</v>
      </c>
      <c r="E265" s="396">
        <f t="shared" si="123"/>
        <v>0</v>
      </c>
      <c r="F265" s="396">
        <f t="shared" si="123"/>
        <v>0</v>
      </c>
      <c r="G265" s="396">
        <f t="shared" si="123"/>
        <v>0</v>
      </c>
      <c r="H265" s="396">
        <f t="shared" si="123"/>
        <v>0</v>
      </c>
      <c r="I265" s="396">
        <f t="shared" si="123"/>
        <v>0</v>
      </c>
      <c r="J265" s="171"/>
      <c r="K265" s="171"/>
      <c r="L265" s="171"/>
      <c r="M265" s="171"/>
    </row>
    <row r="266" spans="1:13" ht="12.75" customHeight="1" outlineLevel="1" x14ac:dyDescent="0.2">
      <c r="A266" s="171"/>
      <c r="B266" s="224"/>
      <c r="C266" s="11" t="s">
        <v>107</v>
      </c>
      <c r="D266" s="396">
        <f t="shared" ref="D266:I266" si="124">D264+D265</f>
        <v>0</v>
      </c>
      <c r="E266" s="396">
        <f t="shared" si="124"/>
        <v>0</v>
      </c>
      <c r="F266" s="396">
        <f t="shared" si="124"/>
        <v>0</v>
      </c>
      <c r="G266" s="396">
        <f t="shared" si="124"/>
        <v>0</v>
      </c>
      <c r="H266" s="396">
        <f t="shared" si="124"/>
        <v>0</v>
      </c>
      <c r="I266" s="396">
        <f t="shared" si="124"/>
        <v>0</v>
      </c>
      <c r="J266" s="171"/>
      <c r="K266" s="171"/>
      <c r="L266" s="171"/>
      <c r="M266" s="171"/>
    </row>
    <row r="267" spans="1:13" outlineLevel="1" x14ac:dyDescent="0.2">
      <c r="A267" s="171"/>
      <c r="B267" s="224"/>
      <c r="C267" s="171"/>
      <c r="D267" s="171"/>
      <c r="E267" s="171"/>
      <c r="F267" s="171"/>
      <c r="G267" s="171"/>
      <c r="H267" s="171"/>
      <c r="I267" s="171"/>
      <c r="J267" s="171"/>
      <c r="K267" s="171"/>
      <c r="L267" s="171"/>
      <c r="M267" s="171"/>
    </row>
    <row r="268" spans="1:13" s="570" customFormat="1" x14ac:dyDescent="0.2">
      <c r="A268" s="592"/>
      <c r="B268" s="224"/>
      <c r="C268" s="592"/>
      <c r="D268" s="592"/>
      <c r="E268" s="592"/>
      <c r="F268" s="592"/>
      <c r="G268" s="592"/>
      <c r="H268" s="592"/>
      <c r="I268" s="592"/>
      <c r="J268" s="592"/>
      <c r="K268" s="592"/>
      <c r="L268" s="592"/>
      <c r="M268" s="592"/>
    </row>
    <row r="269" spans="1:13" ht="15.75" x14ac:dyDescent="0.2">
      <c r="A269" s="176"/>
      <c r="B269" s="425"/>
      <c r="C269" s="174" t="s">
        <v>1006</v>
      </c>
      <c r="D269" s="174"/>
      <c r="E269" s="174"/>
      <c r="F269" s="214"/>
      <c r="G269" s="178"/>
      <c r="H269" s="178"/>
      <c r="I269" s="178"/>
      <c r="J269" s="178"/>
      <c r="K269" s="178"/>
      <c r="L269" s="178"/>
      <c r="M269" s="178"/>
    </row>
    <row r="270" spans="1:13" x14ac:dyDescent="0.2">
      <c r="A270" s="171"/>
      <c r="B270" s="171"/>
      <c r="C270" s="6"/>
      <c r="D270" s="6"/>
      <c r="E270" s="6"/>
      <c r="F270" s="215"/>
      <c r="G270" s="171"/>
      <c r="H270" s="171"/>
      <c r="I270" s="171"/>
      <c r="J270" s="171"/>
      <c r="K270" s="171"/>
      <c r="L270" s="171"/>
      <c r="M270" s="171"/>
    </row>
    <row r="271" spans="1:13" x14ac:dyDescent="0.2">
      <c r="A271" s="171"/>
      <c r="B271" s="171"/>
      <c r="C271" s="6" t="s">
        <v>905</v>
      </c>
      <c r="D271" s="6"/>
      <c r="E271" s="6"/>
      <c r="F271" s="215"/>
      <c r="G271" s="171"/>
      <c r="H271" s="171"/>
      <c r="I271" s="171"/>
      <c r="J271" s="171"/>
      <c r="K271" s="171"/>
      <c r="L271" s="171"/>
      <c r="M271" s="171"/>
    </row>
    <row r="272" spans="1:13" x14ac:dyDescent="0.2">
      <c r="A272" s="171"/>
      <c r="B272" s="171"/>
      <c r="C272" s="6"/>
      <c r="D272" s="6"/>
      <c r="E272" s="6"/>
      <c r="F272" s="215"/>
      <c r="G272" s="171"/>
      <c r="H272" s="832" t="str">
        <f>IF(R294&gt;0,"DPMA / DPMQ","")</f>
        <v/>
      </c>
      <c r="I272" s="832"/>
      <c r="J272" s="832"/>
      <c r="K272" s="171"/>
      <c r="L272" s="171"/>
      <c r="M272" s="171"/>
    </row>
    <row r="273" spans="1:19" ht="25.5" x14ac:dyDescent="0.2">
      <c r="A273" s="171"/>
      <c r="B273" s="171"/>
      <c r="C273" s="792" t="s">
        <v>884</v>
      </c>
      <c r="D273" s="833"/>
      <c r="E273" s="834"/>
      <c r="F273" s="113" t="s">
        <v>130</v>
      </c>
      <c r="G273" s="113" t="s">
        <v>1016</v>
      </c>
      <c r="H273" s="90" t="str">
        <f>IF(R294&gt;0,"Public","DPMA / DPMQ")</f>
        <v>DPMA / DPMQ</v>
      </c>
      <c r="I273" s="90" t="str">
        <f>IF(R294&gt;0,"Private","")</f>
        <v/>
      </c>
      <c r="J273" s="90" t="str">
        <f>IF(R294&gt;0,"Weighted","")</f>
        <v/>
      </c>
      <c r="K273" s="90" t="s">
        <v>817</v>
      </c>
      <c r="L273" s="614" t="s">
        <v>474</v>
      </c>
      <c r="M273" s="614" t="s">
        <v>475</v>
      </c>
      <c r="N273" s="570"/>
      <c r="O273" s="336" t="s">
        <v>837</v>
      </c>
      <c r="P273" s="336" t="s">
        <v>474</v>
      </c>
      <c r="Q273" s="336" t="s">
        <v>475</v>
      </c>
    </row>
    <row r="274" spans="1:19" x14ac:dyDescent="0.2">
      <c r="A274" s="171"/>
      <c r="B274" s="422">
        <v>1</v>
      </c>
      <c r="C274" s="829" t="str">
        <f t="shared" ref="C274:C293" si="125">INDEX(PBSScriptsChanged,B274,1)</f>
        <v>** NOT USED **</v>
      </c>
      <c r="D274" s="830"/>
      <c r="E274" s="831"/>
      <c r="F274" s="401"/>
      <c r="G274" s="232"/>
      <c r="H274" s="401"/>
      <c r="I274" s="401"/>
      <c r="J274" s="402">
        <f>IF(AND(R274&lt;&gt;"",S274&lt;&gt;""),IF(R274+S274=1,(H274*R274+I274*S274),H274),0)</f>
        <v>0</v>
      </c>
      <c r="K274" s="643" t="str">
        <f t="shared" ref="K274:K293" si="126">IF(AND(C274&lt;&gt;MsgNotUsed,ISERROR(O274)=FALSE),O274,"")</f>
        <v/>
      </c>
      <c r="L274" s="402">
        <f>IF(J274&gt;P274,-P274,0)</f>
        <v>0</v>
      </c>
      <c r="M274" s="402">
        <f>IF(J274&gt;Q274,-Q274,0)</f>
        <v>0</v>
      </c>
      <c r="N274" s="570"/>
      <c r="O274" s="665" t="str">
        <f t="shared" ref="O274:O293" si="127">IF(C274&lt;&gt;MsgNotUsed,INDEX(CoPayBandChanged,B274),"")</f>
        <v/>
      </c>
      <c r="P274" s="628">
        <f t="shared" ref="P274:P293" si="128">IF(K274&lt;&gt;"",INDEX(CoPayPBS,K274),0)</f>
        <v>0</v>
      </c>
      <c r="Q274" s="628">
        <f t="shared" ref="Q274:Q293" si="129">IF(K274&lt;&gt;"",INDEX(CoPayRPBS,K274),0)</f>
        <v>0</v>
      </c>
      <c r="R274" s="647" t="str">
        <f t="shared" ref="R274:R293" si="130">IF(K274&lt;&gt;"",INDEX(ServiceSplitPublic,K274),"")</f>
        <v/>
      </c>
      <c r="S274" s="647" t="str">
        <f t="shared" ref="S274:S293" si="131">IF(K274&lt;&gt;"",INDEX(ServiceSplitPrivate,K274),"")</f>
        <v/>
      </c>
    </row>
    <row r="275" spans="1:19" x14ac:dyDescent="0.2">
      <c r="A275" s="171"/>
      <c r="B275" s="422">
        <v>2</v>
      </c>
      <c r="C275" s="829" t="str">
        <f t="shared" si="125"/>
        <v>** NOT USED **</v>
      </c>
      <c r="D275" s="830"/>
      <c r="E275" s="831"/>
      <c r="F275" s="401"/>
      <c r="G275" s="232"/>
      <c r="H275" s="401"/>
      <c r="I275" s="401"/>
      <c r="J275" s="402">
        <f t="shared" ref="J275:J293" si="132">IF(AND(R275&lt;&gt;"",S275&lt;&gt;""),IF(R275+S275=1,(H275*R275+I275*S275),H275),0)</f>
        <v>0</v>
      </c>
      <c r="K275" s="643" t="str">
        <f t="shared" si="126"/>
        <v/>
      </c>
      <c r="L275" s="402">
        <f t="shared" ref="L275:L293" si="133">IF(J275&gt;P275,-P275,0)</f>
        <v>0</v>
      </c>
      <c r="M275" s="402">
        <f t="shared" ref="M275:M293" si="134">IF(J275&gt;Q275,-Q275,0)</f>
        <v>0</v>
      </c>
      <c r="N275" s="570"/>
      <c r="O275" s="665" t="str">
        <f t="shared" si="127"/>
        <v/>
      </c>
      <c r="P275" s="628">
        <f t="shared" si="128"/>
        <v>0</v>
      </c>
      <c r="Q275" s="628">
        <f t="shared" si="129"/>
        <v>0</v>
      </c>
      <c r="R275" s="647" t="str">
        <f t="shared" si="130"/>
        <v/>
      </c>
      <c r="S275" s="647" t="str">
        <f t="shared" si="131"/>
        <v/>
      </c>
    </row>
    <row r="276" spans="1:19" x14ac:dyDescent="0.2">
      <c r="A276" s="171"/>
      <c r="B276" s="422">
        <v>3</v>
      </c>
      <c r="C276" s="829" t="str">
        <f t="shared" si="125"/>
        <v>** NOT USED **</v>
      </c>
      <c r="D276" s="830"/>
      <c r="E276" s="831"/>
      <c r="F276" s="401"/>
      <c r="G276" s="232"/>
      <c r="H276" s="401"/>
      <c r="I276" s="401"/>
      <c r="J276" s="402">
        <f t="shared" si="132"/>
        <v>0</v>
      </c>
      <c r="K276" s="643" t="str">
        <f t="shared" si="126"/>
        <v/>
      </c>
      <c r="L276" s="402">
        <f t="shared" si="133"/>
        <v>0</v>
      </c>
      <c r="M276" s="402">
        <f t="shared" si="134"/>
        <v>0</v>
      </c>
      <c r="N276" s="570"/>
      <c r="O276" s="665" t="str">
        <f t="shared" si="127"/>
        <v/>
      </c>
      <c r="P276" s="628">
        <f t="shared" si="128"/>
        <v>0</v>
      </c>
      <c r="Q276" s="628">
        <f t="shared" si="129"/>
        <v>0</v>
      </c>
      <c r="R276" s="647" t="str">
        <f t="shared" si="130"/>
        <v/>
      </c>
      <c r="S276" s="647" t="str">
        <f t="shared" si="131"/>
        <v/>
      </c>
    </row>
    <row r="277" spans="1:19" x14ac:dyDescent="0.2">
      <c r="A277" s="171"/>
      <c r="B277" s="422">
        <v>4</v>
      </c>
      <c r="C277" s="829" t="str">
        <f t="shared" si="125"/>
        <v>** NOT USED **</v>
      </c>
      <c r="D277" s="830"/>
      <c r="E277" s="831"/>
      <c r="F277" s="401"/>
      <c r="G277" s="232"/>
      <c r="H277" s="401"/>
      <c r="I277" s="401"/>
      <c r="J277" s="402">
        <f t="shared" si="132"/>
        <v>0</v>
      </c>
      <c r="K277" s="643" t="str">
        <f t="shared" si="126"/>
        <v/>
      </c>
      <c r="L277" s="402">
        <f t="shared" si="133"/>
        <v>0</v>
      </c>
      <c r="M277" s="402">
        <f t="shared" si="134"/>
        <v>0</v>
      </c>
      <c r="N277" s="570"/>
      <c r="O277" s="665" t="str">
        <f t="shared" si="127"/>
        <v/>
      </c>
      <c r="P277" s="628">
        <f t="shared" si="128"/>
        <v>0</v>
      </c>
      <c r="Q277" s="628">
        <f t="shared" si="129"/>
        <v>0</v>
      </c>
      <c r="R277" s="647" t="str">
        <f t="shared" si="130"/>
        <v/>
      </c>
      <c r="S277" s="647" t="str">
        <f t="shared" si="131"/>
        <v/>
      </c>
    </row>
    <row r="278" spans="1:19" x14ac:dyDescent="0.2">
      <c r="A278" s="171"/>
      <c r="B278" s="422">
        <v>5</v>
      </c>
      <c r="C278" s="829" t="str">
        <f t="shared" si="125"/>
        <v>** NOT USED **</v>
      </c>
      <c r="D278" s="830"/>
      <c r="E278" s="831"/>
      <c r="F278" s="401"/>
      <c r="G278" s="232"/>
      <c r="H278" s="401"/>
      <c r="I278" s="401"/>
      <c r="J278" s="402">
        <f t="shared" si="132"/>
        <v>0</v>
      </c>
      <c r="K278" s="643" t="str">
        <f t="shared" si="126"/>
        <v/>
      </c>
      <c r="L278" s="402">
        <f t="shared" si="133"/>
        <v>0</v>
      </c>
      <c r="M278" s="402">
        <f t="shared" si="134"/>
        <v>0</v>
      </c>
      <c r="N278" s="570"/>
      <c r="O278" s="665" t="str">
        <f t="shared" si="127"/>
        <v/>
      </c>
      <c r="P278" s="628">
        <f t="shared" si="128"/>
        <v>0</v>
      </c>
      <c r="Q278" s="628">
        <f t="shared" si="129"/>
        <v>0</v>
      </c>
      <c r="R278" s="647" t="str">
        <f t="shared" si="130"/>
        <v/>
      </c>
      <c r="S278" s="647" t="str">
        <f t="shared" si="131"/>
        <v/>
      </c>
    </row>
    <row r="279" spans="1:19" x14ac:dyDescent="0.2">
      <c r="A279" s="171"/>
      <c r="B279" s="422">
        <v>6</v>
      </c>
      <c r="C279" s="829" t="str">
        <f t="shared" si="125"/>
        <v>** NOT USED **</v>
      </c>
      <c r="D279" s="830"/>
      <c r="E279" s="831"/>
      <c r="F279" s="401"/>
      <c r="G279" s="232"/>
      <c r="H279" s="401"/>
      <c r="I279" s="401"/>
      <c r="J279" s="402">
        <f t="shared" si="132"/>
        <v>0</v>
      </c>
      <c r="K279" s="643" t="str">
        <f t="shared" si="126"/>
        <v/>
      </c>
      <c r="L279" s="402">
        <f t="shared" si="133"/>
        <v>0</v>
      </c>
      <c r="M279" s="402">
        <f t="shared" si="134"/>
        <v>0</v>
      </c>
      <c r="N279" s="570"/>
      <c r="O279" s="665" t="str">
        <f t="shared" si="127"/>
        <v/>
      </c>
      <c r="P279" s="628">
        <f t="shared" si="128"/>
        <v>0</v>
      </c>
      <c r="Q279" s="628">
        <f t="shared" si="129"/>
        <v>0</v>
      </c>
      <c r="R279" s="647" t="str">
        <f t="shared" si="130"/>
        <v/>
      </c>
      <c r="S279" s="647" t="str">
        <f t="shared" si="131"/>
        <v/>
      </c>
    </row>
    <row r="280" spans="1:19" x14ac:dyDescent="0.2">
      <c r="A280" s="171"/>
      <c r="B280" s="422">
        <v>7</v>
      </c>
      <c r="C280" s="829" t="str">
        <f t="shared" si="125"/>
        <v>** NOT USED **</v>
      </c>
      <c r="D280" s="830"/>
      <c r="E280" s="831"/>
      <c r="F280" s="401"/>
      <c r="G280" s="232"/>
      <c r="H280" s="401"/>
      <c r="I280" s="401"/>
      <c r="J280" s="402">
        <f t="shared" si="132"/>
        <v>0</v>
      </c>
      <c r="K280" s="643" t="str">
        <f t="shared" si="126"/>
        <v/>
      </c>
      <c r="L280" s="402">
        <f t="shared" si="133"/>
        <v>0</v>
      </c>
      <c r="M280" s="402">
        <f t="shared" si="134"/>
        <v>0</v>
      </c>
      <c r="N280" s="570"/>
      <c r="O280" s="665" t="str">
        <f t="shared" si="127"/>
        <v/>
      </c>
      <c r="P280" s="628">
        <f t="shared" si="128"/>
        <v>0</v>
      </c>
      <c r="Q280" s="628">
        <f t="shared" si="129"/>
        <v>0</v>
      </c>
      <c r="R280" s="647" t="str">
        <f t="shared" si="130"/>
        <v/>
      </c>
      <c r="S280" s="647" t="str">
        <f t="shared" si="131"/>
        <v/>
      </c>
    </row>
    <row r="281" spans="1:19" x14ac:dyDescent="0.2">
      <c r="A281" s="171"/>
      <c r="B281" s="422">
        <v>8</v>
      </c>
      <c r="C281" s="829" t="str">
        <f t="shared" si="125"/>
        <v>** NOT USED **</v>
      </c>
      <c r="D281" s="830"/>
      <c r="E281" s="831"/>
      <c r="F281" s="401"/>
      <c r="G281" s="232"/>
      <c r="H281" s="401"/>
      <c r="I281" s="401"/>
      <c r="J281" s="402">
        <f t="shared" si="132"/>
        <v>0</v>
      </c>
      <c r="K281" s="643" t="str">
        <f t="shared" si="126"/>
        <v/>
      </c>
      <c r="L281" s="402">
        <f t="shared" si="133"/>
        <v>0</v>
      </c>
      <c r="M281" s="402">
        <f t="shared" si="134"/>
        <v>0</v>
      </c>
      <c r="N281" s="570"/>
      <c r="O281" s="665" t="str">
        <f t="shared" si="127"/>
        <v/>
      </c>
      <c r="P281" s="628">
        <f t="shared" si="128"/>
        <v>0</v>
      </c>
      <c r="Q281" s="628">
        <f t="shared" si="129"/>
        <v>0</v>
      </c>
      <c r="R281" s="647" t="str">
        <f t="shared" si="130"/>
        <v/>
      </c>
      <c r="S281" s="647" t="str">
        <f t="shared" si="131"/>
        <v/>
      </c>
    </row>
    <row r="282" spans="1:19" x14ac:dyDescent="0.2">
      <c r="A282" s="171"/>
      <c r="B282" s="422">
        <v>9</v>
      </c>
      <c r="C282" s="829" t="str">
        <f t="shared" si="125"/>
        <v>** NOT USED **</v>
      </c>
      <c r="D282" s="830"/>
      <c r="E282" s="831"/>
      <c r="F282" s="401"/>
      <c r="G282" s="232"/>
      <c r="H282" s="401"/>
      <c r="I282" s="401"/>
      <c r="J282" s="402">
        <f t="shared" si="132"/>
        <v>0</v>
      </c>
      <c r="K282" s="643" t="str">
        <f t="shared" si="126"/>
        <v/>
      </c>
      <c r="L282" s="402">
        <f t="shared" si="133"/>
        <v>0</v>
      </c>
      <c r="M282" s="402">
        <f t="shared" si="134"/>
        <v>0</v>
      </c>
      <c r="N282" s="570"/>
      <c r="O282" s="665" t="str">
        <f t="shared" si="127"/>
        <v/>
      </c>
      <c r="P282" s="628">
        <f t="shared" si="128"/>
        <v>0</v>
      </c>
      <c r="Q282" s="628">
        <f t="shared" si="129"/>
        <v>0</v>
      </c>
      <c r="R282" s="647" t="str">
        <f t="shared" si="130"/>
        <v/>
      </c>
      <c r="S282" s="647" t="str">
        <f t="shared" si="131"/>
        <v/>
      </c>
    </row>
    <row r="283" spans="1:19" x14ac:dyDescent="0.2">
      <c r="A283" s="171"/>
      <c r="B283" s="422">
        <v>10</v>
      </c>
      <c r="C283" s="829" t="str">
        <f t="shared" si="125"/>
        <v>** NOT USED **</v>
      </c>
      <c r="D283" s="830"/>
      <c r="E283" s="831"/>
      <c r="F283" s="401"/>
      <c r="G283" s="232"/>
      <c r="H283" s="401"/>
      <c r="I283" s="401"/>
      <c r="J283" s="402">
        <f t="shared" si="132"/>
        <v>0</v>
      </c>
      <c r="K283" s="643" t="str">
        <f t="shared" si="126"/>
        <v/>
      </c>
      <c r="L283" s="402">
        <f t="shared" si="133"/>
        <v>0</v>
      </c>
      <c r="M283" s="402">
        <f t="shared" si="134"/>
        <v>0</v>
      </c>
      <c r="N283" s="570"/>
      <c r="O283" s="665" t="str">
        <f t="shared" si="127"/>
        <v/>
      </c>
      <c r="P283" s="628">
        <f t="shared" si="128"/>
        <v>0</v>
      </c>
      <c r="Q283" s="628">
        <f t="shared" si="129"/>
        <v>0</v>
      </c>
      <c r="R283" s="647" t="str">
        <f t="shared" si="130"/>
        <v/>
      </c>
      <c r="S283" s="647" t="str">
        <f t="shared" si="131"/>
        <v/>
      </c>
    </row>
    <row r="284" spans="1:19" x14ac:dyDescent="0.2">
      <c r="A284" s="171"/>
      <c r="B284" s="422">
        <v>11</v>
      </c>
      <c r="C284" s="829" t="str">
        <f t="shared" si="125"/>
        <v>** NOT USED **</v>
      </c>
      <c r="D284" s="830"/>
      <c r="E284" s="831"/>
      <c r="F284" s="401"/>
      <c r="G284" s="232"/>
      <c r="H284" s="401"/>
      <c r="I284" s="401"/>
      <c r="J284" s="402">
        <f t="shared" si="132"/>
        <v>0</v>
      </c>
      <c r="K284" s="643" t="str">
        <f t="shared" si="126"/>
        <v/>
      </c>
      <c r="L284" s="402">
        <f t="shared" si="133"/>
        <v>0</v>
      </c>
      <c r="M284" s="402">
        <f t="shared" si="134"/>
        <v>0</v>
      </c>
      <c r="N284" s="570"/>
      <c r="O284" s="665" t="str">
        <f t="shared" si="127"/>
        <v/>
      </c>
      <c r="P284" s="628">
        <f t="shared" si="128"/>
        <v>0</v>
      </c>
      <c r="Q284" s="628">
        <f t="shared" si="129"/>
        <v>0</v>
      </c>
      <c r="R284" s="647" t="str">
        <f t="shared" si="130"/>
        <v/>
      </c>
      <c r="S284" s="647" t="str">
        <f t="shared" si="131"/>
        <v/>
      </c>
    </row>
    <row r="285" spans="1:19" x14ac:dyDescent="0.2">
      <c r="A285" s="171"/>
      <c r="B285" s="422">
        <v>12</v>
      </c>
      <c r="C285" s="829" t="str">
        <f t="shared" si="125"/>
        <v>** NOT USED **</v>
      </c>
      <c r="D285" s="830"/>
      <c r="E285" s="831"/>
      <c r="F285" s="401"/>
      <c r="G285" s="232"/>
      <c r="H285" s="401"/>
      <c r="I285" s="401"/>
      <c r="J285" s="402">
        <f t="shared" si="132"/>
        <v>0</v>
      </c>
      <c r="K285" s="643" t="str">
        <f t="shared" si="126"/>
        <v/>
      </c>
      <c r="L285" s="402">
        <f t="shared" si="133"/>
        <v>0</v>
      </c>
      <c r="M285" s="402">
        <f t="shared" si="134"/>
        <v>0</v>
      </c>
      <c r="N285" s="570"/>
      <c r="O285" s="665" t="str">
        <f t="shared" si="127"/>
        <v/>
      </c>
      <c r="P285" s="628">
        <f t="shared" si="128"/>
        <v>0</v>
      </c>
      <c r="Q285" s="628">
        <f t="shared" si="129"/>
        <v>0</v>
      </c>
      <c r="R285" s="647" t="str">
        <f t="shared" si="130"/>
        <v/>
      </c>
      <c r="S285" s="647" t="str">
        <f t="shared" si="131"/>
        <v/>
      </c>
    </row>
    <row r="286" spans="1:19" x14ac:dyDescent="0.2">
      <c r="A286" s="171"/>
      <c r="B286" s="422">
        <v>13</v>
      </c>
      <c r="C286" s="829" t="str">
        <f t="shared" si="125"/>
        <v>** NOT USED **</v>
      </c>
      <c r="D286" s="830"/>
      <c r="E286" s="831"/>
      <c r="F286" s="401"/>
      <c r="G286" s="232"/>
      <c r="H286" s="401"/>
      <c r="I286" s="401"/>
      <c r="J286" s="402">
        <f t="shared" si="132"/>
        <v>0</v>
      </c>
      <c r="K286" s="643" t="str">
        <f t="shared" si="126"/>
        <v/>
      </c>
      <c r="L286" s="402">
        <f t="shared" si="133"/>
        <v>0</v>
      </c>
      <c r="M286" s="402">
        <f t="shared" si="134"/>
        <v>0</v>
      </c>
      <c r="N286" s="570"/>
      <c r="O286" s="665" t="str">
        <f t="shared" si="127"/>
        <v/>
      </c>
      <c r="P286" s="628">
        <f t="shared" si="128"/>
        <v>0</v>
      </c>
      <c r="Q286" s="628">
        <f t="shared" si="129"/>
        <v>0</v>
      </c>
      <c r="R286" s="647" t="str">
        <f t="shared" si="130"/>
        <v/>
      </c>
      <c r="S286" s="647" t="str">
        <f t="shared" si="131"/>
        <v/>
      </c>
    </row>
    <row r="287" spans="1:19" x14ac:dyDescent="0.2">
      <c r="A287" s="171"/>
      <c r="B287" s="422">
        <v>14</v>
      </c>
      <c r="C287" s="829" t="str">
        <f t="shared" si="125"/>
        <v>** NOT USED **</v>
      </c>
      <c r="D287" s="830"/>
      <c r="E287" s="831"/>
      <c r="F287" s="401"/>
      <c r="G287" s="232"/>
      <c r="H287" s="401"/>
      <c r="I287" s="401"/>
      <c r="J287" s="402">
        <f t="shared" si="132"/>
        <v>0</v>
      </c>
      <c r="K287" s="643" t="str">
        <f t="shared" si="126"/>
        <v/>
      </c>
      <c r="L287" s="402">
        <f t="shared" si="133"/>
        <v>0</v>
      </c>
      <c r="M287" s="402">
        <f t="shared" si="134"/>
        <v>0</v>
      </c>
      <c r="N287" s="570"/>
      <c r="O287" s="665" t="str">
        <f t="shared" si="127"/>
        <v/>
      </c>
      <c r="P287" s="628">
        <f t="shared" si="128"/>
        <v>0</v>
      </c>
      <c r="Q287" s="628">
        <f t="shared" si="129"/>
        <v>0</v>
      </c>
      <c r="R287" s="647" t="str">
        <f t="shared" si="130"/>
        <v/>
      </c>
      <c r="S287" s="647" t="str">
        <f t="shared" si="131"/>
        <v/>
      </c>
    </row>
    <row r="288" spans="1:19" x14ac:dyDescent="0.2">
      <c r="A288" s="171"/>
      <c r="B288" s="422">
        <v>15</v>
      </c>
      <c r="C288" s="829" t="str">
        <f t="shared" si="125"/>
        <v>** NOT USED **</v>
      </c>
      <c r="D288" s="830"/>
      <c r="E288" s="831"/>
      <c r="F288" s="401"/>
      <c r="G288" s="232"/>
      <c r="H288" s="401"/>
      <c r="I288" s="401"/>
      <c r="J288" s="402">
        <f t="shared" si="132"/>
        <v>0</v>
      </c>
      <c r="K288" s="643" t="str">
        <f t="shared" si="126"/>
        <v/>
      </c>
      <c r="L288" s="402">
        <f t="shared" si="133"/>
        <v>0</v>
      </c>
      <c r="M288" s="402">
        <f t="shared" si="134"/>
        <v>0</v>
      </c>
      <c r="N288" s="570"/>
      <c r="O288" s="665" t="str">
        <f t="shared" si="127"/>
        <v/>
      </c>
      <c r="P288" s="628">
        <f t="shared" si="128"/>
        <v>0</v>
      </c>
      <c r="Q288" s="628">
        <f t="shared" si="129"/>
        <v>0</v>
      </c>
      <c r="R288" s="647" t="str">
        <f t="shared" si="130"/>
        <v/>
      </c>
      <c r="S288" s="647" t="str">
        <f t="shared" si="131"/>
        <v/>
      </c>
    </row>
    <row r="289" spans="1:19" x14ac:dyDescent="0.2">
      <c r="A289" s="171"/>
      <c r="B289" s="422">
        <v>16</v>
      </c>
      <c r="C289" s="829" t="str">
        <f t="shared" si="125"/>
        <v>** NOT USED **</v>
      </c>
      <c r="D289" s="830"/>
      <c r="E289" s="831"/>
      <c r="F289" s="401"/>
      <c r="G289" s="232"/>
      <c r="H289" s="401"/>
      <c r="I289" s="401"/>
      <c r="J289" s="402">
        <f t="shared" si="132"/>
        <v>0</v>
      </c>
      <c r="K289" s="643" t="str">
        <f t="shared" si="126"/>
        <v/>
      </c>
      <c r="L289" s="402">
        <f t="shared" si="133"/>
        <v>0</v>
      </c>
      <c r="M289" s="402">
        <f t="shared" si="134"/>
        <v>0</v>
      </c>
      <c r="N289" s="570"/>
      <c r="O289" s="665" t="str">
        <f t="shared" si="127"/>
        <v/>
      </c>
      <c r="P289" s="628">
        <f t="shared" si="128"/>
        <v>0</v>
      </c>
      <c r="Q289" s="628">
        <f t="shared" si="129"/>
        <v>0</v>
      </c>
      <c r="R289" s="647" t="str">
        <f t="shared" si="130"/>
        <v/>
      </c>
      <c r="S289" s="647" t="str">
        <f t="shared" si="131"/>
        <v/>
      </c>
    </row>
    <row r="290" spans="1:19" x14ac:dyDescent="0.2">
      <c r="A290" s="171"/>
      <c r="B290" s="422">
        <v>17</v>
      </c>
      <c r="C290" s="829" t="str">
        <f t="shared" si="125"/>
        <v>** NOT USED **</v>
      </c>
      <c r="D290" s="830"/>
      <c r="E290" s="831"/>
      <c r="F290" s="401"/>
      <c r="G290" s="232"/>
      <c r="H290" s="401"/>
      <c r="I290" s="401"/>
      <c r="J290" s="402">
        <f t="shared" si="132"/>
        <v>0</v>
      </c>
      <c r="K290" s="643" t="str">
        <f t="shared" si="126"/>
        <v/>
      </c>
      <c r="L290" s="402">
        <f t="shared" si="133"/>
        <v>0</v>
      </c>
      <c r="M290" s="402">
        <f t="shared" si="134"/>
        <v>0</v>
      </c>
      <c r="N290" s="570"/>
      <c r="O290" s="665" t="str">
        <f t="shared" si="127"/>
        <v/>
      </c>
      <c r="P290" s="628">
        <f t="shared" si="128"/>
        <v>0</v>
      </c>
      <c r="Q290" s="628">
        <f t="shared" si="129"/>
        <v>0</v>
      </c>
      <c r="R290" s="647" t="str">
        <f t="shared" si="130"/>
        <v/>
      </c>
      <c r="S290" s="647" t="str">
        <f t="shared" si="131"/>
        <v/>
      </c>
    </row>
    <row r="291" spans="1:19" x14ac:dyDescent="0.2">
      <c r="A291" s="171"/>
      <c r="B291" s="422">
        <v>18</v>
      </c>
      <c r="C291" s="829" t="str">
        <f t="shared" si="125"/>
        <v>** NOT USED **</v>
      </c>
      <c r="D291" s="830"/>
      <c r="E291" s="831"/>
      <c r="F291" s="401"/>
      <c r="G291" s="232"/>
      <c r="H291" s="401"/>
      <c r="I291" s="401"/>
      <c r="J291" s="402">
        <f t="shared" si="132"/>
        <v>0</v>
      </c>
      <c r="K291" s="643" t="str">
        <f t="shared" si="126"/>
        <v/>
      </c>
      <c r="L291" s="402">
        <f t="shared" si="133"/>
        <v>0</v>
      </c>
      <c r="M291" s="402">
        <f t="shared" si="134"/>
        <v>0</v>
      </c>
      <c r="N291" s="570"/>
      <c r="O291" s="665" t="str">
        <f t="shared" si="127"/>
        <v/>
      </c>
      <c r="P291" s="628">
        <f t="shared" si="128"/>
        <v>0</v>
      </c>
      <c r="Q291" s="628">
        <f t="shared" si="129"/>
        <v>0</v>
      </c>
      <c r="R291" s="647" t="str">
        <f t="shared" si="130"/>
        <v/>
      </c>
      <c r="S291" s="647" t="str">
        <f t="shared" si="131"/>
        <v/>
      </c>
    </row>
    <row r="292" spans="1:19" x14ac:dyDescent="0.2">
      <c r="A292" s="171"/>
      <c r="B292" s="422">
        <v>19</v>
      </c>
      <c r="C292" s="829" t="str">
        <f t="shared" si="125"/>
        <v>** NOT USED **</v>
      </c>
      <c r="D292" s="830"/>
      <c r="E292" s="831"/>
      <c r="F292" s="401"/>
      <c r="G292" s="232"/>
      <c r="H292" s="401"/>
      <c r="I292" s="401"/>
      <c r="J292" s="402">
        <f t="shared" si="132"/>
        <v>0</v>
      </c>
      <c r="K292" s="643" t="str">
        <f t="shared" si="126"/>
        <v/>
      </c>
      <c r="L292" s="402">
        <f t="shared" si="133"/>
        <v>0</v>
      </c>
      <c r="M292" s="402">
        <f t="shared" si="134"/>
        <v>0</v>
      </c>
      <c r="N292" s="570"/>
      <c r="O292" s="665" t="str">
        <f t="shared" si="127"/>
        <v/>
      </c>
      <c r="P292" s="628">
        <f t="shared" si="128"/>
        <v>0</v>
      </c>
      <c r="Q292" s="628">
        <f t="shared" si="129"/>
        <v>0</v>
      </c>
      <c r="R292" s="647" t="str">
        <f t="shared" si="130"/>
        <v/>
      </c>
      <c r="S292" s="647" t="str">
        <f t="shared" si="131"/>
        <v/>
      </c>
    </row>
    <row r="293" spans="1:19" x14ac:dyDescent="0.2">
      <c r="A293" s="171"/>
      <c r="B293" s="422">
        <v>20</v>
      </c>
      <c r="C293" s="829" t="str">
        <f t="shared" si="125"/>
        <v>** NOT USED **</v>
      </c>
      <c r="D293" s="830"/>
      <c r="E293" s="831"/>
      <c r="F293" s="401"/>
      <c r="G293" s="232"/>
      <c r="H293" s="401"/>
      <c r="I293" s="401"/>
      <c r="J293" s="402">
        <f t="shared" si="132"/>
        <v>0</v>
      </c>
      <c r="K293" s="643" t="str">
        <f t="shared" si="126"/>
        <v/>
      </c>
      <c r="L293" s="402">
        <f t="shared" si="133"/>
        <v>0</v>
      </c>
      <c r="M293" s="402">
        <f t="shared" si="134"/>
        <v>0</v>
      </c>
      <c r="N293" s="570"/>
      <c r="O293" s="665" t="str">
        <f t="shared" si="127"/>
        <v/>
      </c>
      <c r="P293" s="628">
        <f t="shared" si="128"/>
        <v>0</v>
      </c>
      <c r="Q293" s="628">
        <f t="shared" si="129"/>
        <v>0</v>
      </c>
      <c r="R293" s="647" t="str">
        <f t="shared" si="130"/>
        <v/>
      </c>
      <c r="S293" s="647" t="str">
        <f t="shared" si="131"/>
        <v/>
      </c>
    </row>
    <row r="294" spans="1:19" x14ac:dyDescent="0.2">
      <c r="A294" s="171"/>
      <c r="B294" s="171"/>
      <c r="C294" s="171"/>
      <c r="D294" s="171"/>
      <c r="E294" s="171"/>
      <c r="F294" s="171"/>
      <c r="G294" s="171"/>
      <c r="H294" s="171"/>
      <c r="I294" s="171"/>
      <c r="J294" s="243"/>
      <c r="K294" s="243"/>
      <c r="L294" s="243"/>
      <c r="M294" s="171"/>
      <c r="R294" s="646">
        <f>SUM(R274:R293)</f>
        <v>0</v>
      </c>
      <c r="S294" s="570"/>
    </row>
    <row r="295" spans="1:19" x14ac:dyDescent="0.2">
      <c r="A295" s="171"/>
      <c r="B295" s="171"/>
      <c r="C295" s="220"/>
      <c r="D295" s="220"/>
      <c r="E295" s="220"/>
      <c r="F295" s="215"/>
      <c r="G295" s="171"/>
      <c r="H295" s="171"/>
      <c r="I295" s="171"/>
      <c r="J295" s="171"/>
      <c r="K295" s="171"/>
      <c r="L295" s="171"/>
      <c r="M295" s="171"/>
    </row>
    <row r="296" spans="1:19" ht="15.75" x14ac:dyDescent="0.2">
      <c r="A296" s="176"/>
      <c r="B296" s="176"/>
      <c r="C296" s="174" t="s">
        <v>941</v>
      </c>
      <c r="D296" s="174"/>
      <c r="E296" s="174"/>
      <c r="F296" s="240"/>
      <c r="G296" s="177"/>
      <c r="H296" s="177"/>
      <c r="I296" s="177"/>
      <c r="J296" s="177"/>
      <c r="K296" s="177"/>
      <c r="L296" s="177"/>
      <c r="M296" s="177"/>
    </row>
    <row r="297" spans="1:19" x14ac:dyDescent="0.2">
      <c r="A297" s="5"/>
      <c r="B297" s="5"/>
      <c r="C297" s="18"/>
      <c r="D297" s="18"/>
      <c r="E297" s="18"/>
      <c r="F297" s="18"/>
      <c r="G297" s="18"/>
      <c r="H297" s="18"/>
      <c r="I297" s="18"/>
      <c r="J297" s="18"/>
      <c r="K297" s="18"/>
      <c r="L297" s="18"/>
      <c r="M297" s="18"/>
    </row>
    <row r="298" spans="1:19" x14ac:dyDescent="0.2">
      <c r="A298" s="5"/>
      <c r="B298" s="5"/>
      <c r="C298" s="18" t="s">
        <v>951</v>
      </c>
      <c r="D298" s="18"/>
      <c r="E298" s="18"/>
      <c r="F298" s="18"/>
      <c r="G298" s="18"/>
      <c r="H298" s="18"/>
      <c r="I298" s="18"/>
      <c r="J298" s="18"/>
      <c r="K298" s="18"/>
      <c r="L298" s="18"/>
      <c r="M298" s="16"/>
    </row>
  </sheetData>
  <mergeCells count="63">
    <mergeCell ref="K1:M1"/>
    <mergeCell ref="C293:E293"/>
    <mergeCell ref="K152:M152"/>
    <mergeCell ref="K164:M164"/>
    <mergeCell ref="K176:M176"/>
    <mergeCell ref="K188:M188"/>
    <mergeCell ref="K200:M200"/>
    <mergeCell ref="K212:M212"/>
    <mergeCell ref="K224:M224"/>
    <mergeCell ref="K236:M236"/>
    <mergeCell ref="K248:M248"/>
    <mergeCell ref="K260:M260"/>
    <mergeCell ref="C288:E288"/>
    <mergeCell ref="C289:E289"/>
    <mergeCell ref="C290:E290"/>
    <mergeCell ref="C291:E291"/>
    <mergeCell ref="C292:E292"/>
    <mergeCell ref="C284:E284"/>
    <mergeCell ref="C285:E285"/>
    <mergeCell ref="C286:E286"/>
    <mergeCell ref="C287:E287"/>
    <mergeCell ref="C283:E283"/>
    <mergeCell ref="C277:E277"/>
    <mergeCell ref="C278:E278"/>
    <mergeCell ref="C279:E279"/>
    <mergeCell ref="C280:E280"/>
    <mergeCell ref="C281:E281"/>
    <mergeCell ref="C282:E282"/>
    <mergeCell ref="K80:M80"/>
    <mergeCell ref="C276:E276"/>
    <mergeCell ref="C273:E273"/>
    <mergeCell ref="C274:E274"/>
    <mergeCell ref="C275:E275"/>
    <mergeCell ref="H272:J272"/>
    <mergeCell ref="K92:M92"/>
    <mergeCell ref="K104:M104"/>
    <mergeCell ref="K116:M116"/>
    <mergeCell ref="K128:M128"/>
    <mergeCell ref="K140:M140"/>
    <mergeCell ref="L148:M148"/>
    <mergeCell ref="L160:M160"/>
    <mergeCell ref="L172:M172"/>
    <mergeCell ref="L184:M184"/>
    <mergeCell ref="L196:M196"/>
    <mergeCell ref="L208:M208"/>
    <mergeCell ref="L220:M220"/>
    <mergeCell ref="L232:M232"/>
    <mergeCell ref="L244:M244"/>
    <mergeCell ref="L256:M256"/>
    <mergeCell ref="L28:M28"/>
    <mergeCell ref="L40:M40"/>
    <mergeCell ref="L52:M52"/>
    <mergeCell ref="L64:M64"/>
    <mergeCell ref="L76:M76"/>
    <mergeCell ref="K32:M32"/>
    <mergeCell ref="K44:M44"/>
    <mergeCell ref="K56:M56"/>
    <mergeCell ref="K68:M68"/>
    <mergeCell ref="L88:M88"/>
    <mergeCell ref="L100:M100"/>
    <mergeCell ref="L112:M112"/>
    <mergeCell ref="L124:M124"/>
    <mergeCell ref="L136:M136"/>
  </mergeCells>
  <conditionalFormatting sqref="I274:I293">
    <cfRule type="expression" dxfId="375" priority="132">
      <formula>SplitPPMarket&lt;&gt;"Y"</formula>
    </cfRule>
  </conditionalFormatting>
  <conditionalFormatting sqref="F275:I275">
    <cfRule type="expression" dxfId="374" priority="141">
      <formula>$C$275=MsgNotUsed</formula>
    </cfRule>
  </conditionalFormatting>
  <conditionalFormatting sqref="F276:I276">
    <cfRule type="expression" dxfId="373" priority="140">
      <formula>$C$276=MsgNotUsed</formula>
    </cfRule>
  </conditionalFormatting>
  <conditionalFormatting sqref="F277:I277">
    <cfRule type="expression" dxfId="372" priority="139">
      <formula>$C$277=MsgNotUsed</formula>
    </cfRule>
  </conditionalFormatting>
  <conditionalFormatting sqref="F278:I278">
    <cfRule type="expression" dxfId="371" priority="138">
      <formula>$C$278=MsgNotUsed</formula>
    </cfRule>
  </conditionalFormatting>
  <conditionalFormatting sqref="F279:I279">
    <cfRule type="expression" dxfId="370" priority="137">
      <formula>$C$279=MsgNotUsed</formula>
    </cfRule>
  </conditionalFormatting>
  <conditionalFormatting sqref="F280:I280">
    <cfRule type="expression" dxfId="369" priority="136">
      <formula>$C$280=MsgNotUsed</formula>
    </cfRule>
  </conditionalFormatting>
  <conditionalFormatting sqref="F281:I281">
    <cfRule type="expression" dxfId="368" priority="135">
      <formula>$C$281=MsgNotUsed</formula>
    </cfRule>
  </conditionalFormatting>
  <conditionalFormatting sqref="F282:I282">
    <cfRule type="expression" dxfId="367" priority="134">
      <formula>$C$282=MsgNotUsed</formula>
    </cfRule>
  </conditionalFormatting>
  <conditionalFormatting sqref="F283:I283">
    <cfRule type="expression" dxfId="366" priority="133">
      <formula>$C$283=MsgNotUsed</formula>
    </cfRule>
  </conditionalFormatting>
  <conditionalFormatting sqref="F274:I274">
    <cfRule type="expression" dxfId="365" priority="131">
      <formula>$C$274=MsgNotUsed</formula>
    </cfRule>
  </conditionalFormatting>
  <conditionalFormatting sqref="F284:I284">
    <cfRule type="expression" dxfId="364" priority="93">
      <formula>$C$284=MsgNotUsed</formula>
    </cfRule>
  </conditionalFormatting>
  <conditionalFormatting sqref="F285:I285">
    <cfRule type="expression" dxfId="363" priority="92">
      <formula>$C$285=MsgNotUsed</formula>
    </cfRule>
  </conditionalFormatting>
  <conditionalFormatting sqref="F286:I286">
    <cfRule type="expression" dxfId="362" priority="91">
      <formula>$C$286=MsgNotUsed</formula>
    </cfRule>
  </conditionalFormatting>
  <conditionalFormatting sqref="F287:I287">
    <cfRule type="expression" dxfId="361" priority="90">
      <formula>$C$287=MsgNotUsed</formula>
    </cfRule>
  </conditionalFormatting>
  <conditionalFormatting sqref="F288:I288">
    <cfRule type="expression" dxfId="360" priority="89">
      <formula>$C$288=MsgNotUsed</formula>
    </cfRule>
  </conditionalFormatting>
  <conditionalFormatting sqref="F289:I289">
    <cfRule type="expression" dxfId="359" priority="88">
      <formula>$C$289=MsgNotUsed</formula>
    </cfRule>
  </conditionalFormatting>
  <conditionalFormatting sqref="F290:I290">
    <cfRule type="expression" dxfId="358" priority="87">
      <formula>$C$290=MsgNotUsed</formula>
    </cfRule>
  </conditionalFormatting>
  <conditionalFormatting sqref="F291:I291">
    <cfRule type="expression" dxfId="357" priority="86">
      <formula>$C$291=MsgNotUsed</formula>
    </cfRule>
  </conditionalFormatting>
  <conditionalFormatting sqref="F292:I292">
    <cfRule type="expression" dxfId="356" priority="85">
      <formula>$C$292=MsgNotUsed</formula>
    </cfRule>
  </conditionalFormatting>
  <conditionalFormatting sqref="F293:I293">
    <cfRule type="expression" dxfId="355" priority="84">
      <formula>$C$293=MsgNotUsed</formula>
    </cfRule>
  </conditionalFormatting>
  <conditionalFormatting sqref="K32:M32">
    <cfRule type="notContainsBlanks" dxfId="354" priority="63">
      <formula>LEN(TRIM(K32))&gt;0</formula>
    </cfRule>
  </conditionalFormatting>
  <conditionalFormatting sqref="K44:M44">
    <cfRule type="notContainsBlanks" dxfId="353" priority="62">
      <formula>LEN(TRIM(K44))&gt;0</formula>
    </cfRule>
  </conditionalFormatting>
  <conditionalFormatting sqref="K56:M56">
    <cfRule type="notContainsBlanks" dxfId="352" priority="61">
      <formula>LEN(TRIM(K56))&gt;0</formula>
    </cfRule>
  </conditionalFormatting>
  <conditionalFormatting sqref="K68:M68">
    <cfRule type="notContainsBlanks" dxfId="351" priority="60">
      <formula>LEN(TRIM(K68))&gt;0</formula>
    </cfRule>
  </conditionalFormatting>
  <conditionalFormatting sqref="K80:M80">
    <cfRule type="notContainsBlanks" dxfId="350" priority="59">
      <formula>LEN(TRIM(K80))&gt;0</formula>
    </cfRule>
  </conditionalFormatting>
  <conditionalFormatting sqref="K92:M92">
    <cfRule type="notContainsBlanks" dxfId="349" priority="58">
      <formula>LEN(TRIM(K92))&gt;0</formula>
    </cfRule>
  </conditionalFormatting>
  <conditionalFormatting sqref="K104:M104">
    <cfRule type="notContainsBlanks" dxfId="348" priority="57">
      <formula>LEN(TRIM(K104))&gt;0</formula>
    </cfRule>
  </conditionalFormatting>
  <conditionalFormatting sqref="K116:M116">
    <cfRule type="notContainsBlanks" dxfId="347" priority="56">
      <formula>LEN(TRIM(K116))&gt;0</formula>
    </cfRule>
  </conditionalFormatting>
  <conditionalFormatting sqref="K128:M128">
    <cfRule type="notContainsBlanks" dxfId="346" priority="55">
      <formula>LEN(TRIM(K128))&gt;0</formula>
    </cfRule>
  </conditionalFormatting>
  <conditionalFormatting sqref="K140:M140">
    <cfRule type="notContainsBlanks" dxfId="345" priority="54">
      <formula>LEN(TRIM(K140))&gt;0</formula>
    </cfRule>
  </conditionalFormatting>
  <conditionalFormatting sqref="K152:M152">
    <cfRule type="notContainsBlanks" dxfId="344" priority="53">
      <formula>LEN(TRIM(K152))&gt;0</formula>
    </cfRule>
  </conditionalFormatting>
  <conditionalFormatting sqref="K164:M164">
    <cfRule type="notContainsBlanks" dxfId="343" priority="52">
      <formula>LEN(TRIM(K164))&gt;0</formula>
    </cfRule>
  </conditionalFormatting>
  <conditionalFormatting sqref="K176:M176">
    <cfRule type="notContainsBlanks" dxfId="342" priority="51">
      <formula>LEN(TRIM(K176))&gt;0</formula>
    </cfRule>
  </conditionalFormatting>
  <conditionalFormatting sqref="K188:M188">
    <cfRule type="notContainsBlanks" dxfId="341" priority="50">
      <formula>LEN(TRIM(K188))&gt;0</formula>
    </cfRule>
  </conditionalFormatting>
  <conditionalFormatting sqref="K200:M200">
    <cfRule type="notContainsBlanks" dxfId="340" priority="49">
      <formula>LEN(TRIM(K200))&gt;0</formula>
    </cfRule>
  </conditionalFormatting>
  <conditionalFormatting sqref="K212:M212">
    <cfRule type="notContainsBlanks" dxfId="339" priority="48">
      <formula>LEN(TRIM(K212))&gt;0</formula>
    </cfRule>
  </conditionalFormatting>
  <conditionalFormatting sqref="K224:M224">
    <cfRule type="notContainsBlanks" dxfId="338" priority="47">
      <formula>LEN(TRIM(K224))&gt;0</formula>
    </cfRule>
  </conditionalFormatting>
  <conditionalFormatting sqref="K236:M236">
    <cfRule type="notContainsBlanks" dxfId="337" priority="46">
      <formula>LEN(TRIM(K236))&gt;0</formula>
    </cfRule>
  </conditionalFormatting>
  <conditionalFormatting sqref="K248:M248">
    <cfRule type="notContainsBlanks" dxfId="336" priority="45">
      <formula>LEN(TRIM(K248))&gt;0</formula>
    </cfRule>
  </conditionalFormatting>
  <conditionalFormatting sqref="K260:M260">
    <cfRule type="notContainsBlanks" dxfId="335" priority="44">
      <formula>LEN(TRIM(K260))&gt;0</formula>
    </cfRule>
  </conditionalFormatting>
  <conditionalFormatting sqref="H272:J272">
    <cfRule type="notContainsBlanks" dxfId="334" priority="22">
      <formula>LEN(TRIM(H272))&gt;0</formula>
    </cfRule>
  </conditionalFormatting>
  <conditionalFormatting sqref="I273:J273">
    <cfRule type="expression" dxfId="333" priority="21">
      <formula>$R$294=0</formula>
    </cfRule>
  </conditionalFormatting>
  <conditionalFormatting sqref="I274:J274">
    <cfRule type="expression" dxfId="332" priority="20">
      <formula>$R$274=0</formula>
    </cfRule>
  </conditionalFormatting>
  <conditionalFormatting sqref="I275:J275">
    <cfRule type="expression" dxfId="331" priority="19">
      <formula>$R$275=0</formula>
    </cfRule>
  </conditionalFormatting>
  <conditionalFormatting sqref="I276:J276">
    <cfRule type="expression" dxfId="330" priority="18">
      <formula>$R$276=0</formula>
    </cfRule>
  </conditionalFormatting>
  <conditionalFormatting sqref="I277:J277">
    <cfRule type="expression" dxfId="329" priority="17">
      <formula>$R$277=0</formula>
    </cfRule>
  </conditionalFormatting>
  <conditionalFormatting sqref="I278:J278">
    <cfRule type="expression" dxfId="328" priority="16">
      <formula>$R$278=0</formula>
    </cfRule>
  </conditionalFormatting>
  <conditionalFormatting sqref="I279:J279">
    <cfRule type="expression" dxfId="327" priority="15">
      <formula>$R$279=0</formula>
    </cfRule>
  </conditionalFormatting>
  <conditionalFormatting sqref="I280:J280">
    <cfRule type="expression" dxfId="326" priority="14">
      <formula>$R$280=0</formula>
    </cfRule>
  </conditionalFormatting>
  <conditionalFormatting sqref="I281:J281">
    <cfRule type="expression" dxfId="325" priority="13">
      <formula>$R$281=0</formula>
    </cfRule>
  </conditionalFormatting>
  <conditionalFormatting sqref="I282:J282">
    <cfRule type="expression" dxfId="324" priority="12">
      <formula>$R$282=0</formula>
    </cfRule>
  </conditionalFormatting>
  <conditionalFormatting sqref="I283:J283">
    <cfRule type="expression" dxfId="323" priority="11">
      <formula>$R$283=0</formula>
    </cfRule>
  </conditionalFormatting>
  <conditionalFormatting sqref="I284:J284">
    <cfRule type="expression" dxfId="322" priority="10">
      <formula>$R$284=0</formula>
    </cfRule>
  </conditionalFormatting>
  <conditionalFormatting sqref="I285:J285">
    <cfRule type="expression" dxfId="321" priority="9">
      <formula>$R$285=0</formula>
    </cfRule>
  </conditionalFormatting>
  <conditionalFormatting sqref="I286:J286">
    <cfRule type="expression" dxfId="320" priority="8">
      <formula>$R$286=0</formula>
    </cfRule>
  </conditionalFormatting>
  <conditionalFormatting sqref="I287:J287">
    <cfRule type="expression" dxfId="319" priority="7">
      <formula>$R$287=0</formula>
    </cfRule>
  </conditionalFormatting>
  <conditionalFormatting sqref="I288:J288">
    <cfRule type="expression" dxfId="318" priority="6">
      <formula>$R$288=0</formula>
    </cfRule>
  </conditionalFormatting>
  <conditionalFormatting sqref="I289:J289">
    <cfRule type="expression" dxfId="317" priority="5">
      <formula>$R$289=0</formula>
    </cfRule>
  </conditionalFormatting>
  <conditionalFormatting sqref="I290:J290">
    <cfRule type="expression" dxfId="316" priority="4">
      <formula>$R$290=0</formula>
    </cfRule>
  </conditionalFormatting>
  <conditionalFormatting sqref="I291:J291">
    <cfRule type="expression" dxfId="315" priority="3">
      <formula>$R$291=0</formula>
    </cfRule>
  </conditionalFormatting>
  <conditionalFormatting sqref="I292:J292">
    <cfRule type="expression" dxfId="314" priority="2">
      <formula>$R$292=0</formula>
    </cfRule>
  </conditionalFormatting>
  <conditionalFormatting sqref="I293:J293">
    <cfRule type="expression" dxfId="313" priority="1">
      <formula>$R$293=0</formula>
    </cfRule>
  </conditionalFormatting>
  <dataValidations count="1">
    <dataValidation allowBlank="1" showErrorMessage="1" sqref="D60:I62 D36:I38 D127:I129 D48:I50 D55:I57 D31:I34 D67:I69 D264:I266 D120:I122 D72:I74 D79:I81 D84:I86 D91:I93 D96:I98 D103:I105 D108:I110 D115:I117 D43:I45 D24:I24 D139:I141 D15:I17 F58:I58 D132:I134 D144:I146 D151:I153 D156:I158 D163:I165 D168:I170 D175:I177 D180:I182 D187:I189 D192:I194 D199:I201 D204:I206 D211:I213 D216:I218 D223:I225 D228:I230 D235:I237 D240:I242 D247:I249 D252:I254 D259:I261 D20:I22 J58:M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pageSetUpPr fitToPage="1"/>
  </sheetPr>
  <dimension ref="A1:R29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9.140625" customWidth="1"/>
    <col min="15" max="16" width="15.7109375" hidden="1" customWidth="1"/>
    <col min="17" max="18" width="9.140625" hidden="1" customWidth="1"/>
  </cols>
  <sheetData>
    <row r="1" spans="1:13" ht="23.25" x14ac:dyDescent="0.2">
      <c r="A1" s="477">
        <f>IF((SUM(D24:I24)&lt;&gt;0),2,0)</f>
        <v>0</v>
      </c>
      <c r="B1" s="473"/>
      <c r="C1" s="474" t="s">
        <v>1025</v>
      </c>
      <c r="D1" s="474"/>
      <c r="E1" s="474"/>
      <c r="F1" s="473"/>
      <c r="G1" s="473"/>
      <c r="H1" s="473"/>
      <c r="I1" s="473"/>
      <c r="J1" s="473"/>
      <c r="K1" s="835" t="str">
        <f>IF(SPAChangeFlag=0,MsgNotRequired,IF(A1=0,MsgNotUsed,""))</f>
        <v>** NOT REQUIRED **</v>
      </c>
      <c r="L1" s="835"/>
      <c r="M1" s="835"/>
    </row>
    <row r="2" spans="1:13" ht="15.75" x14ac:dyDescent="0.2">
      <c r="A2" s="473"/>
      <c r="B2" s="473"/>
      <c r="C2" s="475" t="str">
        <f>CONCATENATE("Name of medicine: ", MedicineBrand)</f>
        <v>Name of medicine:  (®)</v>
      </c>
      <c r="D2" s="476"/>
      <c r="E2" s="476"/>
      <c r="F2" s="473"/>
      <c r="G2" s="473"/>
      <c r="H2" s="473"/>
      <c r="I2" s="473"/>
      <c r="J2" s="473"/>
      <c r="K2" s="473"/>
      <c r="L2" s="473"/>
      <c r="M2" s="473"/>
    </row>
    <row r="3" spans="1:13" ht="15.75" x14ac:dyDescent="0.2">
      <c r="A3" s="473"/>
      <c r="B3" s="473"/>
      <c r="C3" s="475" t="str">
        <f>CONCATENATE("Indication: ",Indication)</f>
        <v xml:space="preserve">Indication: </v>
      </c>
      <c r="D3" s="476"/>
      <c r="E3" s="476"/>
      <c r="F3" s="473"/>
      <c r="G3" s="473"/>
      <c r="H3" s="473"/>
      <c r="I3" s="473"/>
      <c r="J3" s="473"/>
      <c r="K3" s="473"/>
      <c r="L3" s="473"/>
      <c r="M3" s="473"/>
    </row>
    <row r="4" spans="1:13" s="575" customFormat="1" x14ac:dyDescent="0.2">
      <c r="A4" s="600"/>
      <c r="B4" s="600"/>
      <c r="C4" s="714"/>
      <c r="D4" s="714"/>
      <c r="E4" s="714"/>
      <c r="F4" s="600"/>
      <c r="G4" s="600"/>
      <c r="H4" s="600"/>
      <c r="I4" s="600"/>
      <c r="J4" s="600"/>
      <c r="K4" s="600"/>
      <c r="L4" s="600"/>
      <c r="M4" s="600"/>
    </row>
    <row r="5" spans="1:13" ht="15.75" x14ac:dyDescent="0.2">
      <c r="A5" s="173"/>
      <c r="B5" s="173"/>
      <c r="C5" s="174" t="s">
        <v>2</v>
      </c>
      <c r="D5" s="174"/>
      <c r="E5" s="174"/>
      <c r="F5" s="214"/>
      <c r="G5" s="178"/>
      <c r="H5" s="178"/>
      <c r="I5" s="178"/>
      <c r="J5" s="178"/>
      <c r="K5" s="178"/>
      <c r="L5" s="178"/>
      <c r="M5" s="178"/>
    </row>
    <row r="6" spans="1:13" ht="14.25" x14ac:dyDescent="0.2">
      <c r="A6" s="171"/>
      <c r="B6" s="171"/>
      <c r="C6" s="209"/>
      <c r="D6" s="209"/>
      <c r="E6" s="209"/>
      <c r="F6" s="215"/>
      <c r="G6" s="171"/>
      <c r="H6" s="171"/>
      <c r="I6" s="171"/>
      <c r="J6" s="171"/>
      <c r="K6" s="171"/>
      <c r="L6" s="171"/>
      <c r="M6" s="171"/>
    </row>
    <row r="7" spans="1:13" x14ac:dyDescent="0.2">
      <c r="A7" s="171"/>
      <c r="B7" s="171"/>
      <c r="C7" s="572" t="s">
        <v>845</v>
      </c>
      <c r="D7" s="6"/>
      <c r="E7" s="6"/>
      <c r="F7" s="6"/>
      <c r="G7" s="6"/>
      <c r="H7" s="6"/>
      <c r="I7" s="6"/>
      <c r="J7" s="6"/>
      <c r="K7" s="6"/>
      <c r="L7" s="6"/>
      <c r="M7" s="6"/>
    </row>
    <row r="8" spans="1:13" x14ac:dyDescent="0.2">
      <c r="A8" s="171"/>
      <c r="B8" s="171"/>
      <c r="C8" s="36"/>
      <c r="D8" s="36"/>
      <c r="E8" s="36"/>
      <c r="F8" s="229"/>
      <c r="G8" s="229"/>
      <c r="H8" s="229"/>
      <c r="I8" s="229"/>
      <c r="J8" s="229"/>
      <c r="K8" s="229"/>
      <c r="L8" s="229"/>
      <c r="M8" s="229"/>
    </row>
    <row r="9" spans="1:13" x14ac:dyDescent="0.2">
      <c r="A9" s="171"/>
      <c r="B9" s="171"/>
      <c r="C9" s="6"/>
      <c r="D9" s="6"/>
      <c r="E9" s="6"/>
      <c r="F9" s="6"/>
      <c r="G9" s="6"/>
      <c r="H9" s="6"/>
      <c r="I9" s="6"/>
      <c r="J9" s="6"/>
      <c r="K9" s="6"/>
      <c r="L9" s="6"/>
      <c r="M9" s="6"/>
    </row>
    <row r="10" spans="1:13" ht="15.75" x14ac:dyDescent="0.2">
      <c r="A10" s="176"/>
      <c r="B10" s="176"/>
      <c r="C10" s="174" t="s">
        <v>946</v>
      </c>
      <c r="D10" s="174"/>
      <c r="E10" s="174"/>
      <c r="F10" s="214"/>
      <c r="G10" s="178"/>
      <c r="H10" s="178"/>
      <c r="I10" s="178"/>
      <c r="J10" s="178"/>
      <c r="K10" s="178"/>
      <c r="L10" s="178"/>
      <c r="M10" s="178"/>
    </row>
    <row r="11" spans="1:13" ht="15.75" x14ac:dyDescent="0.2">
      <c r="A11" s="171"/>
      <c r="B11" s="171"/>
      <c r="C11" s="193"/>
      <c r="D11" s="193"/>
      <c r="E11" s="193"/>
      <c r="F11" s="215"/>
      <c r="G11" s="171"/>
      <c r="H11" s="171"/>
      <c r="I11" s="171"/>
      <c r="J11" s="171"/>
      <c r="K11" s="171"/>
      <c r="L11" s="171"/>
      <c r="M11" s="171"/>
    </row>
    <row r="12" spans="1:13" x14ac:dyDescent="0.2">
      <c r="A12" s="171"/>
      <c r="B12" s="171"/>
      <c r="C12" s="211" t="s">
        <v>906</v>
      </c>
      <c r="D12" s="211"/>
      <c r="E12" s="211"/>
      <c r="F12" s="211"/>
      <c r="G12" s="211"/>
      <c r="H12" s="211"/>
      <c r="I12" s="211"/>
      <c r="J12" s="211"/>
      <c r="K12" s="211"/>
      <c r="L12" s="211"/>
      <c r="M12" s="211"/>
    </row>
    <row r="13" spans="1:13" x14ac:dyDescent="0.2">
      <c r="A13" s="171"/>
      <c r="B13" s="171"/>
      <c r="C13" s="213"/>
      <c r="D13" s="213"/>
      <c r="E13" s="213"/>
      <c r="F13" s="171"/>
      <c r="G13" s="171"/>
      <c r="H13" s="171"/>
      <c r="I13" s="171"/>
      <c r="J13" s="171"/>
      <c r="K13" s="171"/>
      <c r="L13" s="213"/>
      <c r="M13" s="213"/>
    </row>
    <row r="14" spans="1:13" ht="15.75" x14ac:dyDescent="0.2">
      <c r="A14" s="171"/>
      <c r="B14" s="171"/>
      <c r="C14" s="193" t="s">
        <v>119</v>
      </c>
      <c r="D14" s="112">
        <f>FirstYear</f>
        <v>0</v>
      </c>
      <c r="E14" s="112">
        <f>D14+1</f>
        <v>1</v>
      </c>
      <c r="F14" s="112">
        <f>E14+1</f>
        <v>2</v>
      </c>
      <c r="G14" s="112">
        <f>F14+1</f>
        <v>3</v>
      </c>
      <c r="H14" s="112">
        <f>G14+1</f>
        <v>4</v>
      </c>
      <c r="I14" s="112">
        <f>H14+1</f>
        <v>5</v>
      </c>
      <c r="J14" s="171"/>
      <c r="K14" s="171"/>
      <c r="L14" s="171"/>
      <c r="M14" s="171"/>
    </row>
    <row r="15" spans="1:13" x14ac:dyDescent="0.2">
      <c r="A15" s="171"/>
      <c r="B15" s="171"/>
      <c r="C15" s="115" t="s">
        <v>104</v>
      </c>
      <c r="D15" s="397">
        <f>D31+D43+D55+D67+D79+D91+D103+D115+D127+D139+D151+D163+D175+D187+D199+D211+D223+D235+D247+D259</f>
        <v>0</v>
      </c>
      <c r="E15" s="397">
        <f t="shared" ref="E15:I16" si="0">E31+E43+E55+E67+E79+E91+E103+E115+E127+E139+E151+E163+E175+E187+E199+E211+E223+E235+E247+E259</f>
        <v>0</v>
      </c>
      <c r="F15" s="397">
        <f t="shared" si="0"/>
        <v>0</v>
      </c>
      <c r="G15" s="397">
        <f t="shared" si="0"/>
        <v>0</v>
      </c>
      <c r="H15" s="397">
        <f t="shared" si="0"/>
        <v>0</v>
      </c>
      <c r="I15" s="397">
        <f t="shared" si="0"/>
        <v>0</v>
      </c>
      <c r="J15" s="171"/>
      <c r="K15" s="171"/>
      <c r="L15" s="171"/>
      <c r="M15" s="171"/>
    </row>
    <row r="16" spans="1:13" x14ac:dyDescent="0.2">
      <c r="A16" s="171"/>
      <c r="B16" s="171"/>
      <c r="C16" s="11" t="s">
        <v>129</v>
      </c>
      <c r="D16" s="397">
        <f>D32+D44+D56+D68+D80+D92+D104+D116+D128+D140+D152+D164+D176+D188+D200+D212+D224+D236+D248+D260</f>
        <v>0</v>
      </c>
      <c r="E16" s="397">
        <f t="shared" si="0"/>
        <v>0</v>
      </c>
      <c r="F16" s="397">
        <f t="shared" si="0"/>
        <v>0</v>
      </c>
      <c r="G16" s="397">
        <f t="shared" si="0"/>
        <v>0</v>
      </c>
      <c r="H16" s="397">
        <f t="shared" si="0"/>
        <v>0</v>
      </c>
      <c r="I16" s="397">
        <f t="shared" si="0"/>
        <v>0</v>
      </c>
      <c r="J16" s="171"/>
      <c r="K16" s="171"/>
      <c r="L16" s="171"/>
      <c r="M16" s="171"/>
    </row>
    <row r="17" spans="1:13" x14ac:dyDescent="0.2">
      <c r="A17" s="171"/>
      <c r="B17" s="171"/>
      <c r="C17" s="11" t="s">
        <v>106</v>
      </c>
      <c r="D17" s="398">
        <f t="shared" ref="D17:I17" si="1">D15+D16</f>
        <v>0</v>
      </c>
      <c r="E17" s="398">
        <f t="shared" si="1"/>
        <v>0</v>
      </c>
      <c r="F17" s="398">
        <f t="shared" si="1"/>
        <v>0</v>
      </c>
      <c r="G17" s="398">
        <f t="shared" si="1"/>
        <v>0</v>
      </c>
      <c r="H17" s="398">
        <f t="shared" si="1"/>
        <v>0</v>
      </c>
      <c r="I17" s="398">
        <f t="shared" si="1"/>
        <v>0</v>
      </c>
      <c r="J17" s="171"/>
      <c r="K17" s="171"/>
      <c r="L17" s="171"/>
      <c r="M17" s="171"/>
    </row>
    <row r="18" spans="1:13" x14ac:dyDescent="0.2">
      <c r="A18" s="171"/>
      <c r="B18" s="171"/>
      <c r="C18" s="20"/>
      <c r="D18" s="20"/>
      <c r="E18" s="20"/>
      <c r="F18" s="19"/>
      <c r="G18" s="19"/>
      <c r="H18" s="19"/>
      <c r="I18" s="19"/>
      <c r="J18" s="19"/>
      <c r="K18" s="19"/>
      <c r="L18" s="171"/>
      <c r="M18" s="171"/>
    </row>
    <row r="19" spans="1:13" ht="15.75" x14ac:dyDescent="0.2">
      <c r="A19" s="171"/>
      <c r="B19" s="171"/>
      <c r="C19" s="193" t="s">
        <v>120</v>
      </c>
      <c r="D19" s="112">
        <f>FirstYear</f>
        <v>0</v>
      </c>
      <c r="E19" s="112">
        <f>D19+1</f>
        <v>1</v>
      </c>
      <c r="F19" s="112">
        <f>E19+1</f>
        <v>2</v>
      </c>
      <c r="G19" s="112">
        <f>F19+1</f>
        <v>3</v>
      </c>
      <c r="H19" s="112">
        <f>G19+1</f>
        <v>4</v>
      </c>
      <c r="I19" s="112">
        <f>H19+1</f>
        <v>5</v>
      </c>
      <c r="J19" s="171"/>
      <c r="K19" s="171"/>
      <c r="L19" s="171"/>
      <c r="M19" s="171"/>
    </row>
    <row r="20" spans="1:13" x14ac:dyDescent="0.2">
      <c r="A20" s="171"/>
      <c r="B20" s="171"/>
      <c r="C20" s="115" t="s">
        <v>105</v>
      </c>
      <c r="D20" s="396">
        <f>D36+D48+D60+D72+D84+D96+D108+D120+D132+D144+D156+D168+D180+D192+D204+D216+D228+D240+D252+D264</f>
        <v>0</v>
      </c>
      <c r="E20" s="396">
        <f t="shared" ref="E20:I21" si="2">E36+E48+E60+E72+E84+E96+E108+E120+E132+E144+E156+E168+E180+E192+E204+E216+E228+E240+E252+E264</f>
        <v>0</v>
      </c>
      <c r="F20" s="396">
        <f t="shared" si="2"/>
        <v>0</v>
      </c>
      <c r="G20" s="396">
        <f t="shared" si="2"/>
        <v>0</v>
      </c>
      <c r="H20" s="396">
        <f t="shared" si="2"/>
        <v>0</v>
      </c>
      <c r="I20" s="396">
        <f t="shared" si="2"/>
        <v>0</v>
      </c>
      <c r="J20" s="171"/>
      <c r="K20" s="171"/>
      <c r="L20" s="171"/>
      <c r="M20" s="171"/>
    </row>
    <row r="21" spans="1:13" x14ac:dyDescent="0.2">
      <c r="A21" s="171"/>
      <c r="B21" s="171"/>
      <c r="C21" s="11" t="s">
        <v>129</v>
      </c>
      <c r="D21" s="396">
        <f>D37+D49+D61+D73+D85+D97+D109+D121+D133+D145+D157+D169+D181+D193+D205+D217+D229+D241+D253+D265</f>
        <v>0</v>
      </c>
      <c r="E21" s="396">
        <f t="shared" si="2"/>
        <v>0</v>
      </c>
      <c r="F21" s="396">
        <f t="shared" si="2"/>
        <v>0</v>
      </c>
      <c r="G21" s="396">
        <f t="shared" si="2"/>
        <v>0</v>
      </c>
      <c r="H21" s="396">
        <f t="shared" si="2"/>
        <v>0</v>
      </c>
      <c r="I21" s="396">
        <f t="shared" si="2"/>
        <v>0</v>
      </c>
      <c r="J21" s="171"/>
      <c r="K21" s="171"/>
      <c r="L21" s="171"/>
      <c r="M21" s="171"/>
    </row>
    <row r="22" spans="1:13" x14ac:dyDescent="0.2">
      <c r="A22" s="171"/>
      <c r="B22" s="171"/>
      <c r="C22" s="11" t="s">
        <v>107</v>
      </c>
      <c r="D22" s="400">
        <f t="shared" ref="D22:I22" si="3">D20+D21</f>
        <v>0</v>
      </c>
      <c r="E22" s="400">
        <f t="shared" si="3"/>
        <v>0</v>
      </c>
      <c r="F22" s="400">
        <f t="shared" si="3"/>
        <v>0</v>
      </c>
      <c r="G22" s="400">
        <f t="shared" si="3"/>
        <v>0</v>
      </c>
      <c r="H22" s="400">
        <f t="shared" si="3"/>
        <v>0</v>
      </c>
      <c r="I22" s="400">
        <f t="shared" si="3"/>
        <v>0</v>
      </c>
      <c r="J22" s="171"/>
      <c r="K22" s="171"/>
      <c r="L22" s="171"/>
      <c r="M22" s="171"/>
    </row>
    <row r="23" spans="1:13" x14ac:dyDescent="0.2">
      <c r="A23" s="171"/>
      <c r="B23" s="171"/>
      <c r="C23" s="20"/>
      <c r="D23" s="20"/>
      <c r="E23" s="20"/>
      <c r="F23" s="19"/>
      <c r="G23" s="19"/>
      <c r="H23" s="19"/>
      <c r="I23" s="19"/>
      <c r="J23" s="19"/>
      <c r="K23" s="19"/>
      <c r="L23" s="171"/>
      <c r="M23" s="171"/>
    </row>
    <row r="24" spans="1:13" x14ac:dyDescent="0.2">
      <c r="A24" s="171"/>
      <c r="B24" s="171"/>
      <c r="C24" s="386" t="s">
        <v>919</v>
      </c>
      <c r="D24" s="399">
        <f>D22+D17</f>
        <v>0</v>
      </c>
      <c r="E24" s="399">
        <f t="shared" ref="E24:I24" si="4">E22+E17</f>
        <v>0</v>
      </c>
      <c r="F24" s="399">
        <f t="shared" si="4"/>
        <v>0</v>
      </c>
      <c r="G24" s="399">
        <f t="shared" si="4"/>
        <v>0</v>
      </c>
      <c r="H24" s="399">
        <f t="shared" si="4"/>
        <v>0</v>
      </c>
      <c r="I24" s="399">
        <f t="shared" si="4"/>
        <v>0</v>
      </c>
      <c r="J24" s="19"/>
      <c r="K24" s="19"/>
      <c r="L24" s="171"/>
      <c r="M24" s="171"/>
    </row>
    <row r="25" spans="1:13" x14ac:dyDescent="0.2">
      <c r="A25" s="171"/>
      <c r="B25" s="171"/>
      <c r="C25" s="20"/>
      <c r="D25" s="20"/>
      <c r="E25" s="20"/>
      <c r="F25" s="19"/>
      <c r="G25" s="19"/>
      <c r="H25" s="19"/>
      <c r="I25" s="19"/>
      <c r="J25" s="19"/>
      <c r="K25" s="19"/>
      <c r="L25" s="171"/>
      <c r="M25" s="171"/>
    </row>
    <row r="26" spans="1:13" ht="15.75" x14ac:dyDescent="0.2">
      <c r="A26" s="171"/>
      <c r="B26" s="171"/>
      <c r="C26" s="174" t="s">
        <v>947</v>
      </c>
      <c r="D26" s="174"/>
      <c r="E26" s="174"/>
      <c r="F26" s="188"/>
      <c r="G26" s="188"/>
      <c r="H26" s="188"/>
      <c r="I26" s="188"/>
      <c r="J26" s="188"/>
      <c r="K26" s="188"/>
      <c r="L26" s="188"/>
      <c r="M26" s="178"/>
    </row>
    <row r="27" spans="1:13" x14ac:dyDescent="0.2">
      <c r="A27" s="171"/>
      <c r="B27" s="171"/>
      <c r="C27" s="20"/>
      <c r="D27" s="20"/>
      <c r="E27" s="20"/>
      <c r="F27" s="19"/>
      <c r="G27" s="19"/>
      <c r="H27" s="19"/>
      <c r="I27" s="19"/>
      <c r="J27" s="19"/>
      <c r="K27" s="19"/>
      <c r="L27" s="19"/>
      <c r="M27" s="19"/>
    </row>
    <row r="28" spans="1:13" ht="15" x14ac:dyDescent="0.2">
      <c r="A28" s="171"/>
      <c r="B28" s="422">
        <v>1</v>
      </c>
      <c r="C28" s="221" t="str">
        <f>INDEX(PBSScriptsChanged,B28,1)</f>
        <v>** NOT USED **</v>
      </c>
      <c r="D28" s="207"/>
      <c r="E28" s="207"/>
      <c r="F28" s="207"/>
      <c r="G28" s="207"/>
      <c r="H28" s="207"/>
      <c r="I28" s="207"/>
      <c r="J28" s="188"/>
      <c r="K28" s="188"/>
      <c r="L28" s="782" t="str">
        <f>IF(C28&lt;&gt;MsgNotUsed,"Co-payment group " &amp; INDEX(CoPayBandChanged,B28),"")</f>
        <v/>
      </c>
      <c r="M28" s="782"/>
    </row>
    <row r="29" spans="1:13" ht="12.75" customHeight="1" outlineLevel="1" x14ac:dyDescent="0.2">
      <c r="A29" s="171"/>
      <c r="B29" s="352">
        <f>INDEX(SAChanged,B28,5)</f>
        <v>0</v>
      </c>
      <c r="C29" s="20"/>
      <c r="D29" s="419">
        <v>2</v>
      </c>
      <c r="E29" s="419">
        <v>3</v>
      </c>
      <c r="F29" s="201">
        <v>4</v>
      </c>
      <c r="G29" s="201">
        <v>5</v>
      </c>
      <c r="H29" s="201">
        <v>6</v>
      </c>
      <c r="I29" s="201">
        <v>7</v>
      </c>
      <c r="J29" s="19"/>
      <c r="K29" s="19"/>
      <c r="L29" s="19"/>
      <c r="M29" s="19"/>
    </row>
    <row r="30" spans="1:13" ht="12.75" customHeight="1" outlineLevel="1" x14ac:dyDescent="0.2">
      <c r="A30" s="171"/>
      <c r="B30" s="224"/>
      <c r="C30" s="171"/>
      <c r="D30" s="112">
        <f>FirstYear</f>
        <v>0</v>
      </c>
      <c r="E30" s="112">
        <f>D30+1</f>
        <v>1</v>
      </c>
      <c r="F30" s="112">
        <f>E30+1</f>
        <v>2</v>
      </c>
      <c r="G30" s="112">
        <f>F30+1</f>
        <v>3</v>
      </c>
      <c r="H30" s="112">
        <f>G30+1</f>
        <v>4</v>
      </c>
      <c r="I30" s="112">
        <f>H30+1</f>
        <v>5</v>
      </c>
      <c r="J30" s="171"/>
      <c r="K30" s="171"/>
      <c r="L30" s="171"/>
      <c r="M30" s="176"/>
    </row>
    <row r="31" spans="1:13" ht="12.75" customHeight="1" outlineLevel="1" x14ac:dyDescent="0.2">
      <c r="A31" s="171"/>
      <c r="B31" s="422">
        <v>1</v>
      </c>
      <c r="C31" s="115" t="s">
        <v>104</v>
      </c>
      <c r="D31" s="396">
        <f t="shared" ref="D31:I31" si="5">INDEX(PBSScriptsChanged,$B28,D29)*INDEX(DPMQCoPayChangedEff,$B28,$B31)</f>
        <v>0</v>
      </c>
      <c r="E31" s="396">
        <f t="shared" si="5"/>
        <v>0</v>
      </c>
      <c r="F31" s="396">
        <f t="shared" si="5"/>
        <v>0</v>
      </c>
      <c r="G31" s="396">
        <f t="shared" si="5"/>
        <v>0</v>
      </c>
      <c r="H31" s="396">
        <f t="shared" si="5"/>
        <v>0</v>
      </c>
      <c r="I31" s="396">
        <f t="shared" si="5"/>
        <v>0</v>
      </c>
      <c r="J31" s="171"/>
      <c r="K31" s="171"/>
      <c r="L31" s="171"/>
      <c r="M31" s="176"/>
    </row>
    <row r="32" spans="1:13" ht="12.75" customHeight="1" outlineLevel="1" x14ac:dyDescent="0.2">
      <c r="A32" s="171"/>
      <c r="B32" s="422">
        <v>3</v>
      </c>
      <c r="C32" s="11" t="s">
        <v>129</v>
      </c>
      <c r="D32" s="396">
        <f t="shared" ref="D32:I32" si="6">INDEX(PBSScriptsChanged,$B28,D29)*(INDEX(DPMQCoPayChangedEff,$B28,$B32)/INDEX(CoPayCountChanged,$B28))</f>
        <v>0</v>
      </c>
      <c r="E32" s="396">
        <f t="shared" si="6"/>
        <v>0</v>
      </c>
      <c r="F32" s="396">
        <f t="shared" si="6"/>
        <v>0</v>
      </c>
      <c r="G32" s="396">
        <f t="shared" si="6"/>
        <v>0</v>
      </c>
      <c r="H32" s="396">
        <f t="shared" si="6"/>
        <v>0</v>
      </c>
      <c r="I32" s="396">
        <f t="shared" si="6"/>
        <v>0</v>
      </c>
      <c r="J32" s="171"/>
      <c r="K32" s="763" t="str">
        <f>IF(B29&lt;&gt;0,MsgNote&amp;IF(B29="Yes",INDEX(CoPayMethod,1),INDEX(CoPayMethod,2)),"")</f>
        <v/>
      </c>
      <c r="L32" s="763"/>
      <c r="M32" s="763"/>
    </row>
    <row r="33" spans="1:13" ht="12.75" customHeight="1" outlineLevel="1" x14ac:dyDescent="0.2">
      <c r="A33" s="171"/>
      <c r="B33" s="224"/>
      <c r="C33" s="11" t="s">
        <v>106</v>
      </c>
      <c r="D33" s="396">
        <f t="shared" ref="D33:I33" si="7">D31+D32</f>
        <v>0</v>
      </c>
      <c r="E33" s="396">
        <f t="shared" si="7"/>
        <v>0</v>
      </c>
      <c r="F33" s="396">
        <f t="shared" si="7"/>
        <v>0</v>
      </c>
      <c r="G33" s="396">
        <f t="shared" si="7"/>
        <v>0</v>
      </c>
      <c r="H33" s="396">
        <f t="shared" si="7"/>
        <v>0</v>
      </c>
      <c r="I33" s="396">
        <f t="shared" si="7"/>
        <v>0</v>
      </c>
      <c r="J33" s="171"/>
      <c r="K33" s="171"/>
      <c r="L33" s="171"/>
      <c r="M33" s="176"/>
    </row>
    <row r="34" spans="1:13" ht="12.75" customHeight="1" outlineLevel="1" x14ac:dyDescent="0.2">
      <c r="A34" s="172"/>
      <c r="B34" s="202"/>
      <c r="C34" s="172"/>
      <c r="D34" s="172"/>
      <c r="E34" s="172"/>
      <c r="F34" s="172"/>
      <c r="G34" s="172"/>
      <c r="H34" s="172"/>
      <c r="I34" s="172"/>
      <c r="J34" s="171"/>
      <c r="K34" s="171"/>
      <c r="L34" s="171"/>
      <c r="M34" s="176"/>
    </row>
    <row r="35" spans="1:13" ht="15.75" customHeight="1" outlineLevel="1" x14ac:dyDescent="0.2">
      <c r="A35" s="172"/>
      <c r="B35" s="202"/>
      <c r="C35" s="193"/>
      <c r="D35" s="112">
        <f>FirstYear</f>
        <v>0</v>
      </c>
      <c r="E35" s="112">
        <f>D35+1</f>
        <v>1</v>
      </c>
      <c r="F35" s="112">
        <f>E35+1</f>
        <v>2</v>
      </c>
      <c r="G35" s="112">
        <f>F35+1</f>
        <v>3</v>
      </c>
      <c r="H35" s="112">
        <f>G35+1</f>
        <v>4</v>
      </c>
      <c r="I35" s="112">
        <f>H35+1</f>
        <v>5</v>
      </c>
      <c r="J35" s="171"/>
      <c r="K35" s="171"/>
      <c r="L35" s="171"/>
      <c r="M35" s="176"/>
    </row>
    <row r="36" spans="1:13" ht="12.75" customHeight="1" outlineLevel="1" x14ac:dyDescent="0.2">
      <c r="A36" s="172"/>
      <c r="B36" s="422">
        <v>1</v>
      </c>
      <c r="C36" s="115" t="s">
        <v>105</v>
      </c>
      <c r="D36" s="396">
        <f t="shared" ref="D36:I36" si="8">INDEX(RPBSScriptsChanged,$B28,D29)*INDEX(DPMQCoPayChangedEff,$B28,$B36)</f>
        <v>0</v>
      </c>
      <c r="E36" s="396">
        <f t="shared" si="8"/>
        <v>0</v>
      </c>
      <c r="F36" s="396">
        <f t="shared" si="8"/>
        <v>0</v>
      </c>
      <c r="G36" s="396">
        <f t="shared" si="8"/>
        <v>0</v>
      </c>
      <c r="H36" s="396">
        <f t="shared" si="8"/>
        <v>0</v>
      </c>
      <c r="I36" s="396">
        <f t="shared" si="8"/>
        <v>0</v>
      </c>
      <c r="J36" s="171"/>
      <c r="K36" s="171"/>
      <c r="L36" s="171"/>
      <c r="M36" s="176"/>
    </row>
    <row r="37" spans="1:13" ht="12.75" customHeight="1" outlineLevel="1" x14ac:dyDescent="0.2">
      <c r="A37" s="172"/>
      <c r="B37" s="422">
        <v>4</v>
      </c>
      <c r="C37" s="11" t="s">
        <v>129</v>
      </c>
      <c r="D37" s="396">
        <f t="shared" ref="D37:I37" si="9">INDEX(RPBSScriptsChanged,$B28,D29)*(INDEX(DPMQCoPayChangedEff,$B28,$B37)/INDEX(CoPayCountChanged,$B28))</f>
        <v>0</v>
      </c>
      <c r="E37" s="396">
        <f t="shared" si="9"/>
        <v>0</v>
      </c>
      <c r="F37" s="396">
        <f t="shared" si="9"/>
        <v>0</v>
      </c>
      <c r="G37" s="396">
        <f t="shared" si="9"/>
        <v>0</v>
      </c>
      <c r="H37" s="396">
        <f t="shared" si="9"/>
        <v>0</v>
      </c>
      <c r="I37" s="396">
        <f t="shared" si="9"/>
        <v>0</v>
      </c>
      <c r="J37" s="171"/>
      <c r="K37" s="171"/>
      <c r="L37" s="171"/>
      <c r="M37" s="176"/>
    </row>
    <row r="38" spans="1:13" ht="12.75" customHeight="1" outlineLevel="1" x14ac:dyDescent="0.2">
      <c r="A38" s="172"/>
      <c r="B38" s="202"/>
      <c r="C38" s="11" t="s">
        <v>107</v>
      </c>
      <c r="D38" s="396">
        <f t="shared" ref="D38:I38" si="10">D36+D37</f>
        <v>0</v>
      </c>
      <c r="E38" s="396">
        <f t="shared" si="10"/>
        <v>0</v>
      </c>
      <c r="F38" s="396">
        <f t="shared" si="10"/>
        <v>0</v>
      </c>
      <c r="G38" s="396">
        <f t="shared" si="10"/>
        <v>0</v>
      </c>
      <c r="H38" s="396">
        <f t="shared" si="10"/>
        <v>0</v>
      </c>
      <c r="I38" s="396">
        <f t="shared" si="10"/>
        <v>0</v>
      </c>
      <c r="J38" s="171"/>
      <c r="K38" s="171"/>
      <c r="L38" s="171"/>
      <c r="M38" s="176"/>
    </row>
    <row r="39" spans="1:13" ht="12.75" customHeight="1" x14ac:dyDescent="0.2">
      <c r="A39" s="171"/>
      <c r="B39" s="224"/>
      <c r="C39" s="20"/>
      <c r="D39" s="20"/>
      <c r="E39" s="20"/>
      <c r="F39" s="19"/>
      <c r="G39" s="19"/>
      <c r="H39" s="19"/>
      <c r="I39" s="19"/>
      <c r="J39" s="19"/>
      <c r="K39" s="19"/>
      <c r="L39" s="19"/>
      <c r="M39" s="577"/>
    </row>
    <row r="40" spans="1:13" ht="15" x14ac:dyDescent="0.2">
      <c r="A40" s="171"/>
      <c r="B40" s="423">
        <v>2</v>
      </c>
      <c r="C40" s="221" t="str">
        <f>INDEX(PBSScriptsChanged,B40,1)</f>
        <v>** NOT USED **</v>
      </c>
      <c r="D40" s="207"/>
      <c r="E40" s="207"/>
      <c r="F40" s="207"/>
      <c r="G40" s="207"/>
      <c r="H40" s="207"/>
      <c r="I40" s="207"/>
      <c r="J40" s="188"/>
      <c r="K40" s="188"/>
      <c r="L40" s="782" t="str">
        <f>IF(C40&lt;&gt;MsgNotUsed,"Co-payment group " &amp; INDEX(CoPayBandChanged,B40),"")</f>
        <v/>
      </c>
      <c r="M40" s="782"/>
    </row>
    <row r="41" spans="1:13" ht="12.75" customHeight="1" outlineLevel="1" x14ac:dyDescent="0.2">
      <c r="A41" s="171"/>
      <c r="B41" s="352">
        <f>INDEX(SAChanged,B40,5)</f>
        <v>0</v>
      </c>
      <c r="C41" s="20"/>
      <c r="D41" s="419">
        <v>2</v>
      </c>
      <c r="E41" s="419">
        <v>3</v>
      </c>
      <c r="F41" s="201">
        <v>4</v>
      </c>
      <c r="G41" s="201">
        <v>5</v>
      </c>
      <c r="H41" s="201">
        <v>6</v>
      </c>
      <c r="I41" s="201">
        <v>7</v>
      </c>
      <c r="J41" s="19"/>
      <c r="K41" s="19"/>
      <c r="L41" s="19"/>
      <c r="M41" s="19"/>
    </row>
    <row r="42" spans="1:13" ht="12.75" customHeight="1" outlineLevel="1" x14ac:dyDescent="0.2">
      <c r="A42" s="171"/>
      <c r="B42" s="224"/>
      <c r="C42" s="171"/>
      <c r="D42" s="112">
        <f>FirstYear</f>
        <v>0</v>
      </c>
      <c r="E42" s="112">
        <f>D42+1</f>
        <v>1</v>
      </c>
      <c r="F42" s="112">
        <f>E42+1</f>
        <v>2</v>
      </c>
      <c r="G42" s="112">
        <f>F42+1</f>
        <v>3</v>
      </c>
      <c r="H42" s="112">
        <f>G42+1</f>
        <v>4</v>
      </c>
      <c r="I42" s="112">
        <f>H42+1</f>
        <v>5</v>
      </c>
      <c r="J42" s="171"/>
      <c r="K42" s="171"/>
      <c r="L42" s="171"/>
      <c r="M42" s="176"/>
    </row>
    <row r="43" spans="1:13" ht="12.75" customHeight="1" outlineLevel="1" x14ac:dyDescent="0.2">
      <c r="A43" s="171"/>
      <c r="B43" s="422">
        <v>1</v>
      </c>
      <c r="C43" s="115" t="s">
        <v>104</v>
      </c>
      <c r="D43" s="396">
        <f t="shared" ref="D43:I43" si="11">INDEX(PBSScriptsChanged,$B40,D41)*INDEX(DPMQCoPayChangedEff,$B40,$B43)</f>
        <v>0</v>
      </c>
      <c r="E43" s="396">
        <f t="shared" si="11"/>
        <v>0</v>
      </c>
      <c r="F43" s="396">
        <f t="shared" si="11"/>
        <v>0</v>
      </c>
      <c r="G43" s="396">
        <f t="shared" si="11"/>
        <v>0</v>
      </c>
      <c r="H43" s="396">
        <f t="shared" si="11"/>
        <v>0</v>
      </c>
      <c r="I43" s="396">
        <f t="shared" si="11"/>
        <v>0</v>
      </c>
      <c r="J43" s="171"/>
      <c r="K43" s="171"/>
      <c r="L43" s="171"/>
      <c r="M43" s="176"/>
    </row>
    <row r="44" spans="1:13" ht="12.75" customHeight="1" outlineLevel="1" x14ac:dyDescent="0.2">
      <c r="A44" s="171"/>
      <c r="B44" s="422">
        <v>3</v>
      </c>
      <c r="C44" s="11" t="s">
        <v>129</v>
      </c>
      <c r="D44" s="396">
        <f t="shared" ref="D44:I44" si="12">INDEX(PBSScriptsChanged,$B40,D41)*(INDEX(DPMQCoPayChangedEff,$B40,$B44)/INDEX(CoPayCountChanged,$B40))</f>
        <v>0</v>
      </c>
      <c r="E44" s="396">
        <f t="shared" si="12"/>
        <v>0</v>
      </c>
      <c r="F44" s="396">
        <f t="shared" si="12"/>
        <v>0</v>
      </c>
      <c r="G44" s="396">
        <f t="shared" si="12"/>
        <v>0</v>
      </c>
      <c r="H44" s="396">
        <f t="shared" si="12"/>
        <v>0</v>
      </c>
      <c r="I44" s="396">
        <f t="shared" si="12"/>
        <v>0</v>
      </c>
      <c r="J44" s="171"/>
      <c r="K44" s="763" t="str">
        <f>IF(B41&lt;&gt;0,MsgNote&amp;IF(B41="Yes",INDEX(CoPayMethod,1),INDEX(CoPayMethod,2)),"")</f>
        <v/>
      </c>
      <c r="L44" s="763"/>
      <c r="M44" s="763"/>
    </row>
    <row r="45" spans="1:13" ht="12.75" customHeight="1" outlineLevel="1" x14ac:dyDescent="0.2">
      <c r="A45" s="171"/>
      <c r="B45" s="224"/>
      <c r="C45" s="11" t="s">
        <v>106</v>
      </c>
      <c r="D45" s="396">
        <f t="shared" ref="D45:I45" si="13">D43+D44</f>
        <v>0</v>
      </c>
      <c r="E45" s="396">
        <f t="shared" si="13"/>
        <v>0</v>
      </c>
      <c r="F45" s="396">
        <f t="shared" si="13"/>
        <v>0</v>
      </c>
      <c r="G45" s="396">
        <f t="shared" si="13"/>
        <v>0</v>
      </c>
      <c r="H45" s="396">
        <f t="shared" si="13"/>
        <v>0</v>
      </c>
      <c r="I45" s="396">
        <f t="shared" si="13"/>
        <v>0</v>
      </c>
      <c r="J45" s="171"/>
      <c r="K45" s="171"/>
      <c r="L45" s="171"/>
      <c r="M45" s="176"/>
    </row>
    <row r="46" spans="1:13" ht="12.75" customHeight="1" outlineLevel="1" x14ac:dyDescent="0.2">
      <c r="A46" s="171"/>
      <c r="B46" s="202"/>
      <c r="C46" s="19"/>
      <c r="D46" s="19"/>
      <c r="E46" s="19"/>
      <c r="F46" s="19"/>
      <c r="G46" s="19"/>
      <c r="H46" s="19"/>
      <c r="I46" s="19"/>
      <c r="J46" s="171"/>
      <c r="K46" s="171"/>
      <c r="L46" s="171"/>
      <c r="M46" s="176"/>
    </row>
    <row r="47" spans="1:13" ht="15.75" customHeight="1" outlineLevel="1" x14ac:dyDescent="0.2">
      <c r="A47" s="171"/>
      <c r="B47" s="202"/>
      <c r="C47" s="193"/>
      <c r="D47" s="112">
        <f>FirstYear</f>
        <v>0</v>
      </c>
      <c r="E47" s="112">
        <f>D47+1</f>
        <v>1</v>
      </c>
      <c r="F47" s="112">
        <f>E47+1</f>
        <v>2</v>
      </c>
      <c r="G47" s="112">
        <f>F47+1</f>
        <v>3</v>
      </c>
      <c r="H47" s="112">
        <f>G47+1</f>
        <v>4</v>
      </c>
      <c r="I47" s="112">
        <f>H47+1</f>
        <v>5</v>
      </c>
      <c r="J47" s="171"/>
      <c r="K47" s="171"/>
      <c r="L47" s="171"/>
      <c r="M47" s="176"/>
    </row>
    <row r="48" spans="1:13" ht="12.75" customHeight="1" outlineLevel="1" x14ac:dyDescent="0.2">
      <c r="A48" s="171"/>
      <c r="B48" s="422">
        <v>1</v>
      </c>
      <c r="C48" s="115" t="s">
        <v>105</v>
      </c>
      <c r="D48" s="396">
        <f t="shared" ref="D48:I48" si="14">INDEX(RPBSScriptsChanged,$B40,D41)*INDEX(DPMQCoPayChangedEff,$B40,$B48)</f>
        <v>0</v>
      </c>
      <c r="E48" s="396">
        <f t="shared" si="14"/>
        <v>0</v>
      </c>
      <c r="F48" s="396">
        <f t="shared" si="14"/>
        <v>0</v>
      </c>
      <c r="G48" s="396">
        <f t="shared" si="14"/>
        <v>0</v>
      </c>
      <c r="H48" s="396">
        <f t="shared" si="14"/>
        <v>0</v>
      </c>
      <c r="I48" s="396">
        <f t="shared" si="14"/>
        <v>0</v>
      </c>
      <c r="J48" s="171"/>
      <c r="K48" s="171"/>
      <c r="L48" s="171"/>
      <c r="M48" s="176"/>
    </row>
    <row r="49" spans="1:13" ht="12.75" customHeight="1" outlineLevel="1" x14ac:dyDescent="0.2">
      <c r="A49" s="171"/>
      <c r="B49" s="422">
        <v>4</v>
      </c>
      <c r="C49" s="11" t="s">
        <v>129</v>
      </c>
      <c r="D49" s="396">
        <f t="shared" ref="D49:I49" si="15">INDEX(RPBSScriptsChanged,$B40,D41)*(INDEX(DPMQCoPayChangedEff,$B40,$B49)/INDEX(CoPayCountChanged,$B40))</f>
        <v>0</v>
      </c>
      <c r="E49" s="396">
        <f t="shared" si="15"/>
        <v>0</v>
      </c>
      <c r="F49" s="396">
        <f t="shared" si="15"/>
        <v>0</v>
      </c>
      <c r="G49" s="396">
        <f t="shared" si="15"/>
        <v>0</v>
      </c>
      <c r="H49" s="396">
        <f t="shared" si="15"/>
        <v>0</v>
      </c>
      <c r="I49" s="396">
        <f t="shared" si="15"/>
        <v>0</v>
      </c>
      <c r="J49" s="171"/>
      <c r="K49" s="171"/>
      <c r="L49" s="171"/>
      <c r="M49" s="176"/>
    </row>
    <row r="50" spans="1:13" ht="12.75" customHeight="1" outlineLevel="1" x14ac:dyDescent="0.2">
      <c r="A50" s="171"/>
      <c r="B50" s="224"/>
      <c r="C50" s="11" t="s">
        <v>107</v>
      </c>
      <c r="D50" s="396">
        <f t="shared" ref="D50:I50" si="16">D48+D49</f>
        <v>0</v>
      </c>
      <c r="E50" s="396">
        <f t="shared" si="16"/>
        <v>0</v>
      </c>
      <c r="F50" s="396">
        <f t="shared" si="16"/>
        <v>0</v>
      </c>
      <c r="G50" s="396">
        <f t="shared" si="16"/>
        <v>0</v>
      </c>
      <c r="H50" s="396">
        <f t="shared" si="16"/>
        <v>0</v>
      </c>
      <c r="I50" s="396">
        <f t="shared" si="16"/>
        <v>0</v>
      </c>
      <c r="J50" s="171"/>
      <c r="K50" s="171"/>
      <c r="L50" s="171"/>
      <c r="M50" s="176"/>
    </row>
    <row r="51" spans="1:13" ht="12.75" customHeight="1" x14ac:dyDescent="0.2">
      <c r="A51" s="171"/>
      <c r="B51" s="224"/>
      <c r="C51" s="19"/>
      <c r="D51" s="19"/>
      <c r="E51" s="19"/>
      <c r="F51" s="19"/>
      <c r="G51" s="19"/>
      <c r="H51" s="19"/>
      <c r="I51" s="19"/>
      <c r="J51" s="19"/>
      <c r="K51" s="19"/>
      <c r="L51" s="19"/>
      <c r="M51" s="577"/>
    </row>
    <row r="52" spans="1:13" ht="15" x14ac:dyDescent="0.2">
      <c r="A52" s="171"/>
      <c r="B52" s="423">
        <v>3</v>
      </c>
      <c r="C52" s="221" t="str">
        <f>INDEX(PBSScriptsChanged,B52,1)</f>
        <v>** NOT USED **</v>
      </c>
      <c r="D52" s="207"/>
      <c r="E52" s="207"/>
      <c r="F52" s="207"/>
      <c r="G52" s="207"/>
      <c r="H52" s="207"/>
      <c r="I52" s="207"/>
      <c r="J52" s="188"/>
      <c r="K52" s="188"/>
      <c r="L52" s="782" t="str">
        <f>IF(C52&lt;&gt;MsgNotUsed,"Co-payment group " &amp; INDEX(CoPayBandChanged,B52),"")</f>
        <v/>
      </c>
      <c r="M52" s="782"/>
    </row>
    <row r="53" spans="1:13" ht="12.75" customHeight="1" outlineLevel="1" x14ac:dyDescent="0.2">
      <c r="A53" s="171"/>
      <c r="B53" s="352">
        <f>INDEX(SAChanged,B52,5)</f>
        <v>0</v>
      </c>
      <c r="C53" s="20"/>
      <c r="D53" s="419">
        <v>2</v>
      </c>
      <c r="E53" s="419">
        <v>3</v>
      </c>
      <c r="F53" s="201">
        <v>4</v>
      </c>
      <c r="G53" s="201">
        <v>5</v>
      </c>
      <c r="H53" s="201">
        <v>6</v>
      </c>
      <c r="I53" s="201">
        <v>7</v>
      </c>
      <c r="J53" s="19"/>
      <c r="K53" s="19"/>
      <c r="L53" s="19"/>
      <c r="M53" s="19"/>
    </row>
    <row r="54" spans="1:13" ht="12.75" customHeight="1" outlineLevel="1" x14ac:dyDescent="0.2">
      <c r="A54" s="171"/>
      <c r="B54" s="224"/>
      <c r="C54" s="171"/>
      <c r="D54" s="112">
        <f>FirstYear</f>
        <v>0</v>
      </c>
      <c r="E54" s="112">
        <f>D54+1</f>
        <v>1</v>
      </c>
      <c r="F54" s="112">
        <f>E54+1</f>
        <v>2</v>
      </c>
      <c r="G54" s="112">
        <f>F54+1</f>
        <v>3</v>
      </c>
      <c r="H54" s="112">
        <f>G54+1</f>
        <v>4</v>
      </c>
      <c r="I54" s="112">
        <f>H54+1</f>
        <v>5</v>
      </c>
      <c r="J54" s="171"/>
      <c r="K54" s="171"/>
      <c r="L54" s="171"/>
      <c r="M54" s="176"/>
    </row>
    <row r="55" spans="1:13" ht="12.75" customHeight="1" outlineLevel="1" x14ac:dyDescent="0.2">
      <c r="A55" s="171"/>
      <c r="B55" s="422">
        <v>1</v>
      </c>
      <c r="C55" s="115" t="s">
        <v>104</v>
      </c>
      <c r="D55" s="396">
        <f t="shared" ref="D55:I55" si="17">INDEX(PBSScriptsChanged,$B52,D53)*INDEX(DPMQCoPayChangedEff,$B52,$B55)</f>
        <v>0</v>
      </c>
      <c r="E55" s="396">
        <f t="shared" si="17"/>
        <v>0</v>
      </c>
      <c r="F55" s="396">
        <f t="shared" si="17"/>
        <v>0</v>
      </c>
      <c r="G55" s="396">
        <f t="shared" si="17"/>
        <v>0</v>
      </c>
      <c r="H55" s="396">
        <f t="shared" si="17"/>
        <v>0</v>
      </c>
      <c r="I55" s="396">
        <f t="shared" si="17"/>
        <v>0</v>
      </c>
      <c r="J55" s="171"/>
      <c r="K55" s="171"/>
      <c r="L55" s="171"/>
      <c r="M55" s="176"/>
    </row>
    <row r="56" spans="1:13" ht="12.75" customHeight="1" outlineLevel="1" x14ac:dyDescent="0.2">
      <c r="A56" s="171"/>
      <c r="B56" s="422">
        <v>3</v>
      </c>
      <c r="C56" s="11" t="s">
        <v>129</v>
      </c>
      <c r="D56" s="396">
        <f t="shared" ref="D56:I56" si="18">INDEX(PBSScriptsChanged,$B52,D53)*(INDEX(DPMQCoPayChangedEff,$B52,$B56)/INDEX(CoPayCountChanged,$B52))</f>
        <v>0</v>
      </c>
      <c r="E56" s="396">
        <f t="shared" si="18"/>
        <v>0</v>
      </c>
      <c r="F56" s="396">
        <f t="shared" si="18"/>
        <v>0</v>
      </c>
      <c r="G56" s="396">
        <f t="shared" si="18"/>
        <v>0</v>
      </c>
      <c r="H56" s="396">
        <f t="shared" si="18"/>
        <v>0</v>
      </c>
      <c r="I56" s="396">
        <f t="shared" si="18"/>
        <v>0</v>
      </c>
      <c r="J56" s="171"/>
      <c r="K56" s="763" t="str">
        <f>IF(B53&lt;&gt;0,MsgNote&amp;IF(B53="Yes",INDEX(CoPayMethod,1),INDEX(CoPayMethod,2)),"")</f>
        <v/>
      </c>
      <c r="L56" s="763"/>
      <c r="M56" s="763"/>
    </row>
    <row r="57" spans="1:13" ht="12.75" customHeight="1" outlineLevel="1" x14ac:dyDescent="0.2">
      <c r="A57" s="171"/>
      <c r="B57" s="224"/>
      <c r="C57" s="11" t="s">
        <v>106</v>
      </c>
      <c r="D57" s="396">
        <f t="shared" ref="D57:I57" si="19">D55+D56</f>
        <v>0</v>
      </c>
      <c r="E57" s="396">
        <f t="shared" si="19"/>
        <v>0</v>
      </c>
      <c r="F57" s="396">
        <f t="shared" si="19"/>
        <v>0</v>
      </c>
      <c r="G57" s="396">
        <f t="shared" si="19"/>
        <v>0</v>
      </c>
      <c r="H57" s="396">
        <f t="shared" si="19"/>
        <v>0</v>
      </c>
      <c r="I57" s="396">
        <f t="shared" si="19"/>
        <v>0</v>
      </c>
      <c r="J57" s="171"/>
      <c r="K57" s="171"/>
      <c r="L57" s="171"/>
      <c r="M57" s="176"/>
    </row>
    <row r="58" spans="1:13" ht="12.75" customHeight="1" outlineLevel="1" x14ac:dyDescent="0.2">
      <c r="A58" s="172"/>
      <c r="B58" s="202"/>
      <c r="C58" s="172"/>
      <c r="D58" s="172"/>
      <c r="E58" s="172"/>
      <c r="F58" s="172"/>
      <c r="G58" s="172"/>
      <c r="H58" s="172"/>
      <c r="I58" s="172"/>
      <c r="J58" s="172"/>
      <c r="K58" s="498"/>
      <c r="L58" s="498"/>
      <c r="M58" s="176"/>
    </row>
    <row r="59" spans="1:13" ht="15.75" customHeight="1" outlineLevel="1" x14ac:dyDescent="0.2">
      <c r="A59" s="172"/>
      <c r="B59" s="202"/>
      <c r="C59" s="193"/>
      <c r="D59" s="112">
        <f>FirstYear</f>
        <v>0</v>
      </c>
      <c r="E59" s="112">
        <f>D59+1</f>
        <v>1</v>
      </c>
      <c r="F59" s="112">
        <f>E59+1</f>
        <v>2</v>
      </c>
      <c r="G59" s="112">
        <f>F59+1</f>
        <v>3</v>
      </c>
      <c r="H59" s="112">
        <f>G59+1</f>
        <v>4</v>
      </c>
      <c r="I59" s="112">
        <f>H59+1</f>
        <v>5</v>
      </c>
      <c r="J59" s="172"/>
      <c r="K59" s="498"/>
      <c r="L59" s="498"/>
      <c r="M59" s="176"/>
    </row>
    <row r="60" spans="1:13" ht="12.75" customHeight="1" outlineLevel="1" x14ac:dyDescent="0.2">
      <c r="A60" s="172"/>
      <c r="B60" s="422">
        <v>1</v>
      </c>
      <c r="C60" s="115" t="s">
        <v>105</v>
      </c>
      <c r="D60" s="396">
        <f t="shared" ref="D60:I60" si="20">INDEX(RPBSScriptsChanged,$B52,D53)*INDEX(DPMQCoPayChangedEff,$B52,$B60)</f>
        <v>0</v>
      </c>
      <c r="E60" s="396">
        <f t="shared" si="20"/>
        <v>0</v>
      </c>
      <c r="F60" s="396">
        <f t="shared" si="20"/>
        <v>0</v>
      </c>
      <c r="G60" s="396">
        <f t="shared" si="20"/>
        <v>0</v>
      </c>
      <c r="H60" s="396">
        <f t="shared" si="20"/>
        <v>0</v>
      </c>
      <c r="I60" s="396">
        <f t="shared" si="20"/>
        <v>0</v>
      </c>
      <c r="J60" s="172"/>
      <c r="K60" s="498"/>
      <c r="L60" s="498"/>
      <c r="M60" s="176"/>
    </row>
    <row r="61" spans="1:13" ht="12.75" customHeight="1" outlineLevel="1" x14ac:dyDescent="0.2">
      <c r="A61" s="172"/>
      <c r="B61" s="422">
        <v>4</v>
      </c>
      <c r="C61" s="11" t="s">
        <v>129</v>
      </c>
      <c r="D61" s="396">
        <f t="shared" ref="D61:I61" si="21">INDEX(RPBSScriptsChanged,$B52,D53)*(INDEX(DPMQCoPayChangedEff,$B52,$B61)/INDEX(CoPayCountChanged,$B52))</f>
        <v>0</v>
      </c>
      <c r="E61" s="396">
        <f t="shared" si="21"/>
        <v>0</v>
      </c>
      <c r="F61" s="396">
        <f t="shared" si="21"/>
        <v>0</v>
      </c>
      <c r="G61" s="396">
        <f t="shared" si="21"/>
        <v>0</v>
      </c>
      <c r="H61" s="396">
        <f t="shared" si="21"/>
        <v>0</v>
      </c>
      <c r="I61" s="396">
        <f t="shared" si="21"/>
        <v>0</v>
      </c>
      <c r="J61" s="172"/>
      <c r="K61" s="498"/>
      <c r="L61" s="498"/>
      <c r="M61" s="176"/>
    </row>
    <row r="62" spans="1:13" ht="12.75" customHeight="1" outlineLevel="1" x14ac:dyDescent="0.2">
      <c r="A62" s="172"/>
      <c r="B62" s="202"/>
      <c r="C62" s="11" t="s">
        <v>107</v>
      </c>
      <c r="D62" s="396">
        <f t="shared" ref="D62:I62" si="22">D60+D61</f>
        <v>0</v>
      </c>
      <c r="E62" s="396">
        <f t="shared" si="22"/>
        <v>0</v>
      </c>
      <c r="F62" s="396">
        <f t="shared" si="22"/>
        <v>0</v>
      </c>
      <c r="G62" s="396">
        <f t="shared" si="22"/>
        <v>0</v>
      </c>
      <c r="H62" s="396">
        <f t="shared" si="22"/>
        <v>0</v>
      </c>
      <c r="I62" s="396">
        <f t="shared" si="22"/>
        <v>0</v>
      </c>
      <c r="J62" s="172"/>
      <c r="K62" s="498"/>
      <c r="L62" s="498"/>
      <c r="M62" s="176"/>
    </row>
    <row r="63" spans="1:13" ht="12.75" customHeight="1" x14ac:dyDescent="0.2">
      <c r="A63" s="171"/>
      <c r="B63" s="224"/>
      <c r="C63" s="20"/>
      <c r="D63" s="20"/>
      <c r="E63" s="20"/>
      <c r="F63" s="19"/>
      <c r="G63" s="19"/>
      <c r="H63" s="19"/>
      <c r="I63" s="19"/>
      <c r="J63" s="19"/>
      <c r="K63" s="19"/>
      <c r="L63" s="19"/>
      <c r="M63" s="577"/>
    </row>
    <row r="64" spans="1:13" ht="15" x14ac:dyDescent="0.2">
      <c r="A64" s="171"/>
      <c r="B64" s="423">
        <v>4</v>
      </c>
      <c r="C64" s="221" t="str">
        <f>INDEX(PBSScriptsChanged,B64,1)</f>
        <v>** NOT USED **</v>
      </c>
      <c r="D64" s="207"/>
      <c r="E64" s="207"/>
      <c r="F64" s="207"/>
      <c r="G64" s="207"/>
      <c r="H64" s="207"/>
      <c r="I64" s="207"/>
      <c r="J64" s="188"/>
      <c r="K64" s="188"/>
      <c r="L64" s="782" t="str">
        <f>IF(C64&lt;&gt;MsgNotUsed,"Co-payment group " &amp; INDEX(CoPayBandChanged,B64),"")</f>
        <v/>
      </c>
      <c r="M64" s="782"/>
    </row>
    <row r="65" spans="1:13" ht="12.75" customHeight="1" outlineLevel="1" x14ac:dyDescent="0.2">
      <c r="A65" s="171"/>
      <c r="B65" s="352">
        <f>INDEX(SAChanged,B64,5)</f>
        <v>0</v>
      </c>
      <c r="C65" s="20"/>
      <c r="D65" s="419">
        <v>2</v>
      </c>
      <c r="E65" s="419">
        <v>3</v>
      </c>
      <c r="F65" s="201">
        <v>4</v>
      </c>
      <c r="G65" s="201">
        <v>5</v>
      </c>
      <c r="H65" s="201">
        <v>6</v>
      </c>
      <c r="I65" s="201">
        <v>7</v>
      </c>
      <c r="J65" s="19"/>
      <c r="K65" s="19"/>
      <c r="L65" s="19"/>
      <c r="M65" s="19"/>
    </row>
    <row r="66" spans="1:13" ht="12.75" customHeight="1" outlineLevel="1" x14ac:dyDescent="0.2">
      <c r="A66" s="171"/>
      <c r="B66" s="224"/>
      <c r="C66" s="171"/>
      <c r="D66" s="112">
        <f>FirstYear</f>
        <v>0</v>
      </c>
      <c r="E66" s="112">
        <f>D66+1</f>
        <v>1</v>
      </c>
      <c r="F66" s="112">
        <f>E66+1</f>
        <v>2</v>
      </c>
      <c r="G66" s="112">
        <f>F66+1</f>
        <v>3</v>
      </c>
      <c r="H66" s="112">
        <f>G66+1</f>
        <v>4</v>
      </c>
      <c r="I66" s="112">
        <f>H66+1</f>
        <v>5</v>
      </c>
      <c r="J66" s="171"/>
      <c r="K66" s="171"/>
      <c r="L66" s="171"/>
      <c r="M66" s="176"/>
    </row>
    <row r="67" spans="1:13" ht="12.75" customHeight="1" outlineLevel="1" x14ac:dyDescent="0.2">
      <c r="A67" s="171"/>
      <c r="B67" s="422">
        <v>1</v>
      </c>
      <c r="C67" s="115" t="s">
        <v>104</v>
      </c>
      <c r="D67" s="396">
        <f t="shared" ref="D67:I67" si="23">INDEX(PBSScriptsChanged,$B64,D65)*INDEX(DPMQCoPayChangedEff,$B64,$B67)</f>
        <v>0</v>
      </c>
      <c r="E67" s="396">
        <f t="shared" si="23"/>
        <v>0</v>
      </c>
      <c r="F67" s="396">
        <f t="shared" si="23"/>
        <v>0</v>
      </c>
      <c r="G67" s="396">
        <f t="shared" si="23"/>
        <v>0</v>
      </c>
      <c r="H67" s="396">
        <f t="shared" si="23"/>
        <v>0</v>
      </c>
      <c r="I67" s="396">
        <f t="shared" si="23"/>
        <v>0</v>
      </c>
      <c r="J67" s="171"/>
      <c r="K67" s="171"/>
      <c r="L67" s="171"/>
      <c r="M67" s="176"/>
    </row>
    <row r="68" spans="1:13" ht="12.75" customHeight="1" outlineLevel="1" x14ac:dyDescent="0.2">
      <c r="A68" s="171"/>
      <c r="B68" s="422">
        <v>3</v>
      </c>
      <c r="C68" s="11" t="s">
        <v>129</v>
      </c>
      <c r="D68" s="396">
        <f t="shared" ref="D68:I68" si="24">INDEX(PBSScriptsChanged,$B64,D65)*(INDEX(DPMQCoPayChangedEff,$B64,$B68)/INDEX(CoPayCountChanged,$B64))</f>
        <v>0</v>
      </c>
      <c r="E68" s="396">
        <f t="shared" si="24"/>
        <v>0</v>
      </c>
      <c r="F68" s="396">
        <f t="shared" si="24"/>
        <v>0</v>
      </c>
      <c r="G68" s="396">
        <f t="shared" si="24"/>
        <v>0</v>
      </c>
      <c r="H68" s="396">
        <f t="shared" si="24"/>
        <v>0</v>
      </c>
      <c r="I68" s="396">
        <f t="shared" si="24"/>
        <v>0</v>
      </c>
      <c r="J68" s="171"/>
      <c r="K68" s="763" t="str">
        <f>IF(B65&lt;&gt;0,MsgNote&amp;IF(B65="Yes",INDEX(CoPayMethod,1),INDEX(CoPayMethod,2)),"")</f>
        <v/>
      </c>
      <c r="L68" s="763"/>
      <c r="M68" s="763"/>
    </row>
    <row r="69" spans="1:13" ht="12.75" customHeight="1" outlineLevel="1" x14ac:dyDescent="0.2">
      <c r="A69" s="171"/>
      <c r="B69" s="224"/>
      <c r="C69" s="11" t="s">
        <v>106</v>
      </c>
      <c r="D69" s="396">
        <f t="shared" ref="D69:I69" si="25">D67+D68</f>
        <v>0</v>
      </c>
      <c r="E69" s="396">
        <f t="shared" si="25"/>
        <v>0</v>
      </c>
      <c r="F69" s="396">
        <f t="shared" si="25"/>
        <v>0</v>
      </c>
      <c r="G69" s="396">
        <f t="shared" si="25"/>
        <v>0</v>
      </c>
      <c r="H69" s="396">
        <f t="shared" si="25"/>
        <v>0</v>
      </c>
      <c r="I69" s="396">
        <f t="shared" si="25"/>
        <v>0</v>
      </c>
      <c r="J69" s="171"/>
      <c r="K69" s="171"/>
      <c r="L69" s="171"/>
      <c r="M69" s="176"/>
    </row>
    <row r="70" spans="1:13" ht="12.75" customHeight="1" outlineLevel="1" x14ac:dyDescent="0.2">
      <c r="A70" s="171"/>
      <c r="B70" s="202"/>
      <c r="C70" s="19"/>
      <c r="D70" s="19"/>
      <c r="E70" s="19"/>
      <c r="F70" s="19"/>
      <c r="G70" s="19"/>
      <c r="H70" s="19"/>
      <c r="I70" s="19"/>
      <c r="J70" s="19"/>
      <c r="K70" s="19"/>
      <c r="L70" s="19"/>
      <c r="M70" s="51"/>
    </row>
    <row r="71" spans="1:13" ht="15.75" customHeight="1" outlineLevel="1" x14ac:dyDescent="0.2">
      <c r="A71" s="171"/>
      <c r="B71" s="202"/>
      <c r="C71" s="193"/>
      <c r="D71" s="112">
        <f>FirstYear</f>
        <v>0</v>
      </c>
      <c r="E71" s="112">
        <f>D71+1</f>
        <v>1</v>
      </c>
      <c r="F71" s="112">
        <f>E71+1</f>
        <v>2</v>
      </c>
      <c r="G71" s="112">
        <f>F71+1</f>
        <v>3</v>
      </c>
      <c r="H71" s="112">
        <f>G71+1</f>
        <v>4</v>
      </c>
      <c r="I71" s="112">
        <f>H71+1</f>
        <v>5</v>
      </c>
      <c r="J71" s="19"/>
      <c r="K71" s="19"/>
      <c r="L71" s="19"/>
      <c r="M71" s="51"/>
    </row>
    <row r="72" spans="1:13" ht="12.75" customHeight="1" outlineLevel="1" x14ac:dyDescent="0.2">
      <c r="A72" s="171"/>
      <c r="B72" s="422">
        <v>1</v>
      </c>
      <c r="C72" s="115" t="s">
        <v>105</v>
      </c>
      <c r="D72" s="396">
        <f t="shared" ref="D72:I72" si="26">INDEX(RPBSScriptsChanged,$B64,D65)*INDEX(DPMQCoPayChangedEff,$B64,$B72)</f>
        <v>0</v>
      </c>
      <c r="E72" s="396">
        <f t="shared" si="26"/>
        <v>0</v>
      </c>
      <c r="F72" s="396">
        <f t="shared" si="26"/>
        <v>0</v>
      </c>
      <c r="G72" s="396">
        <f t="shared" si="26"/>
        <v>0</v>
      </c>
      <c r="H72" s="396">
        <f t="shared" si="26"/>
        <v>0</v>
      </c>
      <c r="I72" s="396">
        <f t="shared" si="26"/>
        <v>0</v>
      </c>
      <c r="J72" s="19"/>
      <c r="K72" s="19"/>
      <c r="L72" s="19"/>
      <c r="M72" s="51"/>
    </row>
    <row r="73" spans="1:13" ht="12.75" customHeight="1" outlineLevel="1" x14ac:dyDescent="0.2">
      <c r="A73" s="171"/>
      <c r="B73" s="422">
        <v>4</v>
      </c>
      <c r="C73" s="11" t="s">
        <v>129</v>
      </c>
      <c r="D73" s="396">
        <f t="shared" ref="D73:I73" si="27">INDEX(RPBSScriptsChanged,$B64,D65)*(INDEX(DPMQCoPayChangedEff,$B64,$B73)/INDEX(CoPayCountChanged,$B64))</f>
        <v>0</v>
      </c>
      <c r="E73" s="396">
        <f t="shared" si="27"/>
        <v>0</v>
      </c>
      <c r="F73" s="396">
        <f t="shared" si="27"/>
        <v>0</v>
      </c>
      <c r="G73" s="396">
        <f t="shared" si="27"/>
        <v>0</v>
      </c>
      <c r="H73" s="396">
        <f t="shared" si="27"/>
        <v>0</v>
      </c>
      <c r="I73" s="396">
        <f t="shared" si="27"/>
        <v>0</v>
      </c>
      <c r="J73" s="19"/>
      <c r="K73" s="19"/>
      <c r="L73" s="19"/>
      <c r="M73" s="51"/>
    </row>
    <row r="74" spans="1:13" ht="12.75" customHeight="1" outlineLevel="1" x14ac:dyDescent="0.2">
      <c r="A74" s="171"/>
      <c r="B74" s="224"/>
      <c r="C74" s="11" t="s">
        <v>107</v>
      </c>
      <c r="D74" s="396">
        <f t="shared" ref="D74:I74" si="28">D72+D73</f>
        <v>0</v>
      </c>
      <c r="E74" s="396">
        <f t="shared" si="28"/>
        <v>0</v>
      </c>
      <c r="F74" s="396">
        <f t="shared" si="28"/>
        <v>0</v>
      </c>
      <c r="G74" s="396">
        <f t="shared" si="28"/>
        <v>0</v>
      </c>
      <c r="H74" s="396">
        <f t="shared" si="28"/>
        <v>0</v>
      </c>
      <c r="I74" s="396">
        <f t="shared" si="28"/>
        <v>0</v>
      </c>
      <c r="J74" s="19"/>
      <c r="K74" s="19"/>
      <c r="L74" s="19"/>
      <c r="M74" s="51"/>
    </row>
    <row r="75" spans="1:13" ht="12.75" customHeight="1" x14ac:dyDescent="0.2">
      <c r="A75" s="171"/>
      <c r="B75" s="224"/>
      <c r="C75" s="20"/>
      <c r="D75" s="20"/>
      <c r="E75" s="20"/>
      <c r="F75" s="19"/>
      <c r="G75" s="19"/>
      <c r="H75" s="19"/>
      <c r="I75" s="19"/>
      <c r="J75" s="19"/>
      <c r="K75" s="19"/>
      <c r="L75" s="19"/>
      <c r="M75" s="577"/>
    </row>
    <row r="76" spans="1:13" ht="15" x14ac:dyDescent="0.2">
      <c r="A76" s="171"/>
      <c r="B76" s="423">
        <v>5</v>
      </c>
      <c r="C76" s="221" t="str">
        <f>INDEX(PBSScriptsChanged,B76,1)</f>
        <v>** NOT USED **</v>
      </c>
      <c r="D76" s="207"/>
      <c r="E76" s="207"/>
      <c r="F76" s="207"/>
      <c r="G76" s="207"/>
      <c r="H76" s="207"/>
      <c r="I76" s="207"/>
      <c r="J76" s="188"/>
      <c r="K76" s="188"/>
      <c r="L76" s="782" t="str">
        <f>IF(C76&lt;&gt;MsgNotUsed,"Co-payment group " &amp; INDEX(CoPayBandChanged,B76),"")</f>
        <v/>
      </c>
      <c r="M76" s="782"/>
    </row>
    <row r="77" spans="1:13" ht="12.75" customHeight="1" outlineLevel="1" x14ac:dyDescent="0.2">
      <c r="A77" s="171"/>
      <c r="B77" s="352">
        <f>INDEX(SAChanged,B76,5)</f>
        <v>0</v>
      </c>
      <c r="C77" s="20"/>
      <c r="D77" s="419">
        <v>2</v>
      </c>
      <c r="E77" s="419">
        <v>3</v>
      </c>
      <c r="F77" s="201">
        <v>4</v>
      </c>
      <c r="G77" s="201">
        <v>5</v>
      </c>
      <c r="H77" s="201">
        <v>6</v>
      </c>
      <c r="I77" s="201">
        <v>7</v>
      </c>
      <c r="J77" s="19"/>
      <c r="K77" s="19"/>
      <c r="L77" s="19"/>
      <c r="M77" s="19"/>
    </row>
    <row r="78" spans="1:13" ht="12.75" customHeight="1" outlineLevel="1" x14ac:dyDescent="0.2">
      <c r="A78" s="171"/>
      <c r="B78" s="224"/>
      <c r="C78" s="171"/>
      <c r="D78" s="112">
        <f>FirstYear</f>
        <v>0</v>
      </c>
      <c r="E78" s="112">
        <f>D78+1</f>
        <v>1</v>
      </c>
      <c r="F78" s="112">
        <f>E78+1</f>
        <v>2</v>
      </c>
      <c r="G78" s="112">
        <f>F78+1</f>
        <v>3</v>
      </c>
      <c r="H78" s="112">
        <f>G78+1</f>
        <v>4</v>
      </c>
      <c r="I78" s="112">
        <f>H78+1</f>
        <v>5</v>
      </c>
      <c r="J78" s="171"/>
      <c r="K78" s="171"/>
      <c r="L78" s="171"/>
      <c r="M78" s="176"/>
    </row>
    <row r="79" spans="1:13" ht="12.75" customHeight="1" outlineLevel="1" x14ac:dyDescent="0.2">
      <c r="A79" s="171"/>
      <c r="B79" s="422">
        <v>1</v>
      </c>
      <c r="C79" s="115" t="s">
        <v>104</v>
      </c>
      <c r="D79" s="396">
        <f t="shared" ref="D79:I79" si="29">INDEX(PBSScriptsChanged,$B76,D77)*INDEX(DPMQCoPayChangedEff,$B76,$B79)</f>
        <v>0</v>
      </c>
      <c r="E79" s="396">
        <f t="shared" si="29"/>
        <v>0</v>
      </c>
      <c r="F79" s="396">
        <f t="shared" si="29"/>
        <v>0</v>
      </c>
      <c r="G79" s="396">
        <f t="shared" si="29"/>
        <v>0</v>
      </c>
      <c r="H79" s="396">
        <f t="shared" si="29"/>
        <v>0</v>
      </c>
      <c r="I79" s="396">
        <f t="shared" si="29"/>
        <v>0</v>
      </c>
      <c r="J79" s="171"/>
      <c r="K79" s="171"/>
      <c r="L79" s="171"/>
      <c r="M79" s="176"/>
    </row>
    <row r="80" spans="1:13" ht="12.75" customHeight="1" outlineLevel="1" x14ac:dyDescent="0.2">
      <c r="A80" s="171"/>
      <c r="B80" s="422">
        <v>3</v>
      </c>
      <c r="C80" s="11" t="s">
        <v>129</v>
      </c>
      <c r="D80" s="396">
        <f t="shared" ref="D80:I80" si="30">INDEX(PBSScriptsChanged,$B76,D77)*(INDEX(DPMQCoPayChangedEff,$B76,$B80)/INDEX(CoPayCountChanged,$B76))</f>
        <v>0</v>
      </c>
      <c r="E80" s="396">
        <f t="shared" si="30"/>
        <v>0</v>
      </c>
      <c r="F80" s="396">
        <f t="shared" si="30"/>
        <v>0</v>
      </c>
      <c r="G80" s="396">
        <f t="shared" si="30"/>
        <v>0</v>
      </c>
      <c r="H80" s="396">
        <f t="shared" si="30"/>
        <v>0</v>
      </c>
      <c r="I80" s="396">
        <f t="shared" si="30"/>
        <v>0</v>
      </c>
      <c r="J80" s="171"/>
      <c r="K80" s="763" t="str">
        <f>IF(B77&lt;&gt;0,MsgNote&amp;IF(B77="Yes",INDEX(CoPayMethod,1),INDEX(CoPayMethod,2)),"")</f>
        <v/>
      </c>
      <c r="L80" s="763"/>
      <c r="M80" s="763"/>
    </row>
    <row r="81" spans="1:13" ht="12.75" customHeight="1" outlineLevel="1" x14ac:dyDescent="0.2">
      <c r="A81" s="171"/>
      <c r="B81" s="224"/>
      <c r="C81" s="11" t="s">
        <v>106</v>
      </c>
      <c r="D81" s="396">
        <f t="shared" ref="D81:I81" si="31">D79+D80</f>
        <v>0</v>
      </c>
      <c r="E81" s="396">
        <f t="shared" si="31"/>
        <v>0</v>
      </c>
      <c r="F81" s="396">
        <f t="shared" si="31"/>
        <v>0</v>
      </c>
      <c r="G81" s="396">
        <f t="shared" si="31"/>
        <v>0</v>
      </c>
      <c r="H81" s="396">
        <f t="shared" si="31"/>
        <v>0</v>
      </c>
      <c r="I81" s="396">
        <f t="shared" si="31"/>
        <v>0</v>
      </c>
      <c r="J81" s="171"/>
      <c r="K81" s="19"/>
      <c r="L81" s="19"/>
      <c r="M81" s="51"/>
    </row>
    <row r="82" spans="1:13" ht="12.75" customHeight="1" outlineLevel="1" x14ac:dyDescent="0.2">
      <c r="A82" s="171"/>
      <c r="B82" s="202"/>
      <c r="C82" s="20"/>
      <c r="D82" s="20"/>
      <c r="E82" s="20"/>
      <c r="F82" s="19"/>
      <c r="G82" s="19"/>
      <c r="H82" s="19"/>
      <c r="I82" s="19"/>
      <c r="J82" s="19"/>
      <c r="K82" s="19"/>
      <c r="L82" s="19"/>
      <c r="M82" s="51"/>
    </row>
    <row r="83" spans="1:13" ht="15.75" customHeight="1" outlineLevel="1" x14ac:dyDescent="0.2">
      <c r="A83" s="171"/>
      <c r="B83" s="202"/>
      <c r="C83" s="193"/>
      <c r="D83" s="112">
        <f>FirstYear</f>
        <v>0</v>
      </c>
      <c r="E83" s="112">
        <f>D83+1</f>
        <v>1</v>
      </c>
      <c r="F83" s="112">
        <f>E83+1</f>
        <v>2</v>
      </c>
      <c r="G83" s="112">
        <f>F83+1</f>
        <v>3</v>
      </c>
      <c r="H83" s="112">
        <f>G83+1</f>
        <v>4</v>
      </c>
      <c r="I83" s="112">
        <f>H83+1</f>
        <v>5</v>
      </c>
      <c r="J83" s="19"/>
      <c r="K83" s="19"/>
      <c r="L83" s="19"/>
      <c r="M83" s="51"/>
    </row>
    <row r="84" spans="1:13" ht="12.75" customHeight="1" outlineLevel="1" x14ac:dyDescent="0.2">
      <c r="A84" s="171"/>
      <c r="B84" s="422">
        <v>1</v>
      </c>
      <c r="C84" s="115" t="s">
        <v>105</v>
      </c>
      <c r="D84" s="396">
        <f t="shared" ref="D84:I84" si="32">INDEX(RPBSScriptsChanged,$B76,D77)*INDEX(DPMQCoPayChangedEff,$B76,$B84)</f>
        <v>0</v>
      </c>
      <c r="E84" s="396">
        <f t="shared" si="32"/>
        <v>0</v>
      </c>
      <c r="F84" s="396">
        <f t="shared" si="32"/>
        <v>0</v>
      </c>
      <c r="G84" s="396">
        <f t="shared" si="32"/>
        <v>0</v>
      </c>
      <c r="H84" s="396">
        <f t="shared" si="32"/>
        <v>0</v>
      </c>
      <c r="I84" s="396">
        <f t="shared" si="32"/>
        <v>0</v>
      </c>
      <c r="J84" s="19"/>
      <c r="K84" s="19"/>
      <c r="L84" s="19"/>
      <c r="M84" s="51"/>
    </row>
    <row r="85" spans="1:13" ht="12.75" customHeight="1" outlineLevel="1" x14ac:dyDescent="0.2">
      <c r="A85" s="171"/>
      <c r="B85" s="422">
        <v>4</v>
      </c>
      <c r="C85" s="11" t="s">
        <v>129</v>
      </c>
      <c r="D85" s="396">
        <f t="shared" ref="D85:I85" si="33">INDEX(RPBSScriptsChanged,$B76,D77)*(INDEX(DPMQCoPayChangedEff,$B76,$B85)/INDEX(CoPayCountChanged,$B76))</f>
        <v>0</v>
      </c>
      <c r="E85" s="396">
        <f t="shared" si="33"/>
        <v>0</v>
      </c>
      <c r="F85" s="396">
        <f t="shared" si="33"/>
        <v>0</v>
      </c>
      <c r="G85" s="396">
        <f t="shared" si="33"/>
        <v>0</v>
      </c>
      <c r="H85" s="396">
        <f t="shared" si="33"/>
        <v>0</v>
      </c>
      <c r="I85" s="396">
        <f t="shared" si="33"/>
        <v>0</v>
      </c>
      <c r="J85" s="19"/>
      <c r="K85" s="19"/>
      <c r="L85" s="19"/>
      <c r="M85" s="51"/>
    </row>
    <row r="86" spans="1:13" ht="12.75" customHeight="1" outlineLevel="1" x14ac:dyDescent="0.2">
      <c r="A86" s="171"/>
      <c r="B86" s="224"/>
      <c r="C86" s="11" t="s">
        <v>107</v>
      </c>
      <c r="D86" s="396">
        <f t="shared" ref="D86:I86" si="34">D84+D85</f>
        <v>0</v>
      </c>
      <c r="E86" s="396">
        <f t="shared" si="34"/>
        <v>0</v>
      </c>
      <c r="F86" s="396">
        <f t="shared" si="34"/>
        <v>0</v>
      </c>
      <c r="G86" s="396">
        <f t="shared" si="34"/>
        <v>0</v>
      </c>
      <c r="H86" s="396">
        <f t="shared" si="34"/>
        <v>0</v>
      </c>
      <c r="I86" s="396">
        <f t="shared" si="34"/>
        <v>0</v>
      </c>
      <c r="J86" s="19"/>
      <c r="K86" s="19"/>
      <c r="L86" s="19"/>
      <c r="M86" s="51"/>
    </row>
    <row r="87" spans="1:13" ht="12.75" customHeight="1" x14ac:dyDescent="0.2">
      <c r="A87" s="171"/>
      <c r="B87" s="224"/>
      <c r="C87" s="171"/>
      <c r="D87" s="171"/>
      <c r="E87" s="171"/>
      <c r="F87" s="171"/>
      <c r="G87" s="171"/>
      <c r="H87" s="171"/>
      <c r="I87" s="171"/>
      <c r="J87" s="171"/>
      <c r="K87" s="171"/>
      <c r="L87" s="171"/>
      <c r="M87" s="577"/>
    </row>
    <row r="88" spans="1:13" ht="15" x14ac:dyDescent="0.2">
      <c r="A88" s="171"/>
      <c r="B88" s="423">
        <v>6</v>
      </c>
      <c r="C88" s="221" t="str">
        <f>INDEX(PBSScriptsChanged,B88,1)</f>
        <v>** NOT USED **</v>
      </c>
      <c r="D88" s="207"/>
      <c r="E88" s="207"/>
      <c r="F88" s="207"/>
      <c r="G88" s="207"/>
      <c r="H88" s="207"/>
      <c r="I88" s="207"/>
      <c r="J88" s="188"/>
      <c r="K88" s="188"/>
      <c r="L88" s="782" t="str">
        <f>IF(C88&lt;&gt;MsgNotUsed,"Co-payment group " &amp; INDEX(CoPayBandChanged,B88),"")</f>
        <v/>
      </c>
      <c r="M88" s="782"/>
    </row>
    <row r="89" spans="1:13" ht="12.75" customHeight="1" outlineLevel="1" x14ac:dyDescent="0.2">
      <c r="A89" s="171"/>
      <c r="B89" s="352">
        <f>INDEX(SAChanged,B88,5)</f>
        <v>0</v>
      </c>
      <c r="C89" s="20"/>
      <c r="D89" s="419">
        <v>2</v>
      </c>
      <c r="E89" s="419">
        <v>3</v>
      </c>
      <c r="F89" s="201">
        <v>4</v>
      </c>
      <c r="G89" s="201">
        <v>5</v>
      </c>
      <c r="H89" s="201">
        <v>6</v>
      </c>
      <c r="I89" s="201">
        <v>7</v>
      </c>
      <c r="J89" s="19"/>
      <c r="K89" s="19"/>
      <c r="L89" s="19"/>
      <c r="M89" s="19"/>
    </row>
    <row r="90" spans="1:13" ht="12.75" customHeight="1" outlineLevel="1" x14ac:dyDescent="0.2">
      <c r="A90" s="171"/>
      <c r="B90" s="224"/>
      <c r="C90" s="171"/>
      <c r="D90" s="112">
        <f>FirstYear</f>
        <v>0</v>
      </c>
      <c r="E90" s="112">
        <f>D90+1</f>
        <v>1</v>
      </c>
      <c r="F90" s="112">
        <f>E90+1</f>
        <v>2</v>
      </c>
      <c r="G90" s="112">
        <f>F90+1</f>
        <v>3</v>
      </c>
      <c r="H90" s="112">
        <f>G90+1</f>
        <v>4</v>
      </c>
      <c r="I90" s="112">
        <f>H90+1</f>
        <v>5</v>
      </c>
      <c r="J90" s="171"/>
      <c r="K90" s="171"/>
      <c r="L90" s="171"/>
      <c r="M90" s="176"/>
    </row>
    <row r="91" spans="1:13" ht="12.75" customHeight="1" outlineLevel="1" x14ac:dyDescent="0.2">
      <c r="A91" s="171"/>
      <c r="B91" s="422">
        <v>1</v>
      </c>
      <c r="C91" s="115" t="s">
        <v>104</v>
      </c>
      <c r="D91" s="396">
        <f t="shared" ref="D91:I91" si="35">INDEX(PBSScriptsChanged,$B88,D89)*INDEX(DPMQCoPayChangedEff,$B88,$B91)</f>
        <v>0</v>
      </c>
      <c r="E91" s="396">
        <f t="shared" si="35"/>
        <v>0</v>
      </c>
      <c r="F91" s="396">
        <f t="shared" si="35"/>
        <v>0</v>
      </c>
      <c r="G91" s="396">
        <f t="shared" si="35"/>
        <v>0</v>
      </c>
      <c r="H91" s="396">
        <f t="shared" si="35"/>
        <v>0</v>
      </c>
      <c r="I91" s="396">
        <f t="shared" si="35"/>
        <v>0</v>
      </c>
      <c r="J91" s="171"/>
      <c r="K91" s="171"/>
      <c r="L91" s="171"/>
      <c r="M91" s="176"/>
    </row>
    <row r="92" spans="1:13" ht="12.75" customHeight="1" outlineLevel="1" x14ac:dyDescent="0.2">
      <c r="A92" s="171"/>
      <c r="B92" s="422">
        <v>3</v>
      </c>
      <c r="C92" s="11" t="s">
        <v>129</v>
      </c>
      <c r="D92" s="396">
        <f t="shared" ref="D92:I92" si="36">INDEX(PBSScriptsChanged,$B88,D89)*(INDEX(DPMQCoPayChangedEff,$B88,$B92)/INDEX(CoPayCountChanged,$B88))</f>
        <v>0</v>
      </c>
      <c r="E92" s="396">
        <f t="shared" si="36"/>
        <v>0</v>
      </c>
      <c r="F92" s="396">
        <f t="shared" si="36"/>
        <v>0</v>
      </c>
      <c r="G92" s="396">
        <f t="shared" si="36"/>
        <v>0</v>
      </c>
      <c r="H92" s="396">
        <f t="shared" si="36"/>
        <v>0</v>
      </c>
      <c r="I92" s="396">
        <f t="shared" si="36"/>
        <v>0</v>
      </c>
      <c r="J92" s="171"/>
      <c r="K92" s="763" t="str">
        <f>IF(B89&lt;&gt;0,MsgNote&amp;IF(B89="Yes",INDEX(CoPayMethod,1),INDEX(CoPayMethod,2)),"")</f>
        <v/>
      </c>
      <c r="L92" s="763"/>
      <c r="M92" s="763"/>
    </row>
    <row r="93" spans="1:13" ht="12.75" customHeight="1" outlineLevel="1" x14ac:dyDescent="0.2">
      <c r="A93" s="171"/>
      <c r="B93" s="224"/>
      <c r="C93" s="11" t="s">
        <v>106</v>
      </c>
      <c r="D93" s="396">
        <f t="shared" ref="D93:I93" si="37">D91+D92</f>
        <v>0</v>
      </c>
      <c r="E93" s="396">
        <f t="shared" si="37"/>
        <v>0</v>
      </c>
      <c r="F93" s="396">
        <f t="shared" si="37"/>
        <v>0</v>
      </c>
      <c r="G93" s="396">
        <f t="shared" si="37"/>
        <v>0</v>
      </c>
      <c r="H93" s="396">
        <f t="shared" si="37"/>
        <v>0</v>
      </c>
      <c r="I93" s="396">
        <f t="shared" si="37"/>
        <v>0</v>
      </c>
      <c r="J93" s="171"/>
      <c r="K93" s="171"/>
      <c r="L93" s="171"/>
      <c r="M93" s="176"/>
    </row>
    <row r="94" spans="1:13" ht="12.75" customHeight="1" outlineLevel="1" x14ac:dyDescent="0.2">
      <c r="A94" s="171"/>
      <c r="B94" s="202"/>
      <c r="C94" s="171"/>
      <c r="D94" s="171"/>
      <c r="E94" s="171"/>
      <c r="F94" s="171"/>
      <c r="G94" s="171"/>
      <c r="H94" s="171"/>
      <c r="I94" s="171"/>
      <c r="J94" s="171"/>
      <c r="K94" s="171"/>
      <c r="L94" s="171"/>
      <c r="M94" s="176"/>
    </row>
    <row r="95" spans="1:13" ht="15.75" customHeight="1" outlineLevel="1" x14ac:dyDescent="0.2">
      <c r="A95" s="171"/>
      <c r="B95" s="202"/>
      <c r="C95" s="193"/>
      <c r="D95" s="112">
        <f>FirstYear</f>
        <v>0</v>
      </c>
      <c r="E95" s="112">
        <f>D95+1</f>
        <v>1</v>
      </c>
      <c r="F95" s="112">
        <f>E95+1</f>
        <v>2</v>
      </c>
      <c r="G95" s="112">
        <f>F95+1</f>
        <v>3</v>
      </c>
      <c r="H95" s="112">
        <f>G95+1</f>
        <v>4</v>
      </c>
      <c r="I95" s="112">
        <f>H95+1</f>
        <v>5</v>
      </c>
      <c r="J95" s="171"/>
      <c r="K95" s="171"/>
      <c r="L95" s="171"/>
      <c r="M95" s="176"/>
    </row>
    <row r="96" spans="1:13" ht="12.75" customHeight="1" outlineLevel="1" x14ac:dyDescent="0.2">
      <c r="A96" s="171"/>
      <c r="B96" s="422">
        <v>1</v>
      </c>
      <c r="C96" s="115" t="s">
        <v>105</v>
      </c>
      <c r="D96" s="396">
        <f t="shared" ref="D96:I96" si="38">INDEX(RPBSScriptsChanged,$B88,D89)*INDEX(DPMQCoPayChangedEff,$B88,$B96)</f>
        <v>0</v>
      </c>
      <c r="E96" s="396">
        <f t="shared" si="38"/>
        <v>0</v>
      </c>
      <c r="F96" s="396">
        <f t="shared" si="38"/>
        <v>0</v>
      </c>
      <c r="G96" s="396">
        <f t="shared" si="38"/>
        <v>0</v>
      </c>
      <c r="H96" s="396">
        <f t="shared" si="38"/>
        <v>0</v>
      </c>
      <c r="I96" s="396">
        <f t="shared" si="38"/>
        <v>0</v>
      </c>
      <c r="J96" s="171"/>
      <c r="K96" s="171"/>
      <c r="L96" s="171"/>
      <c r="M96" s="176"/>
    </row>
    <row r="97" spans="1:13" ht="12.75" customHeight="1" outlineLevel="1" x14ac:dyDescent="0.2">
      <c r="A97" s="171"/>
      <c r="B97" s="422">
        <v>4</v>
      </c>
      <c r="C97" s="11" t="s">
        <v>129</v>
      </c>
      <c r="D97" s="396">
        <f t="shared" ref="D97:I97" si="39">INDEX(RPBSScriptsChanged,$B88,D89)*(INDEX(DPMQCoPayChangedEff,$B88,$B97)/INDEX(CoPayCountChanged,$B88))</f>
        <v>0</v>
      </c>
      <c r="E97" s="396">
        <f t="shared" si="39"/>
        <v>0</v>
      </c>
      <c r="F97" s="396">
        <f t="shared" si="39"/>
        <v>0</v>
      </c>
      <c r="G97" s="396">
        <f t="shared" si="39"/>
        <v>0</v>
      </c>
      <c r="H97" s="396">
        <f t="shared" si="39"/>
        <v>0</v>
      </c>
      <c r="I97" s="396">
        <f t="shared" si="39"/>
        <v>0</v>
      </c>
      <c r="J97" s="171"/>
      <c r="K97" s="171"/>
      <c r="L97" s="171"/>
      <c r="M97" s="176"/>
    </row>
    <row r="98" spans="1:13" ht="12.75" customHeight="1" outlineLevel="1" x14ac:dyDescent="0.2">
      <c r="A98" s="171"/>
      <c r="B98" s="224"/>
      <c r="C98" s="11" t="s">
        <v>107</v>
      </c>
      <c r="D98" s="396">
        <f t="shared" ref="D98:I98" si="40">D96+D97</f>
        <v>0</v>
      </c>
      <c r="E98" s="396">
        <f t="shared" si="40"/>
        <v>0</v>
      </c>
      <c r="F98" s="396">
        <f t="shared" si="40"/>
        <v>0</v>
      </c>
      <c r="G98" s="396">
        <f t="shared" si="40"/>
        <v>0</v>
      </c>
      <c r="H98" s="396">
        <f t="shared" si="40"/>
        <v>0</v>
      </c>
      <c r="I98" s="396">
        <f t="shared" si="40"/>
        <v>0</v>
      </c>
      <c r="J98" s="171"/>
      <c r="K98" s="171"/>
      <c r="L98" s="171"/>
      <c r="M98" s="176"/>
    </row>
    <row r="99" spans="1:13" ht="12.75" customHeight="1" x14ac:dyDescent="0.2">
      <c r="A99" s="171"/>
      <c r="B99" s="224"/>
      <c r="C99" s="171"/>
      <c r="D99" s="171"/>
      <c r="E99" s="171"/>
      <c r="F99" s="171"/>
      <c r="G99" s="171"/>
      <c r="H99" s="171"/>
      <c r="I99" s="171"/>
      <c r="J99" s="171"/>
      <c r="K99" s="171"/>
      <c r="L99" s="171"/>
      <c r="M99" s="577"/>
    </row>
    <row r="100" spans="1:13" ht="15" x14ac:dyDescent="0.2">
      <c r="A100" s="171"/>
      <c r="B100" s="423">
        <v>7</v>
      </c>
      <c r="C100" s="221" t="str">
        <f>INDEX(PBSScriptsChanged,B100,1)</f>
        <v>** NOT USED **</v>
      </c>
      <c r="D100" s="207"/>
      <c r="E100" s="207"/>
      <c r="F100" s="207"/>
      <c r="G100" s="207"/>
      <c r="H100" s="207"/>
      <c r="I100" s="207"/>
      <c r="J100" s="188"/>
      <c r="K100" s="188"/>
      <c r="L100" s="782" t="str">
        <f>IF(C100&lt;&gt;MsgNotUsed,"Co-payment group " &amp; INDEX(CoPayBandChanged,B100),"")</f>
        <v/>
      </c>
      <c r="M100" s="782"/>
    </row>
    <row r="101" spans="1:13" ht="12.75" customHeight="1" outlineLevel="1" x14ac:dyDescent="0.2">
      <c r="A101" s="171"/>
      <c r="B101" s="352">
        <f>INDEX(SAChanged,B100,5)</f>
        <v>0</v>
      </c>
      <c r="C101" s="20"/>
      <c r="D101" s="419">
        <v>2</v>
      </c>
      <c r="E101" s="419">
        <v>3</v>
      </c>
      <c r="F101" s="201">
        <v>4</v>
      </c>
      <c r="G101" s="201">
        <v>5</v>
      </c>
      <c r="H101" s="201">
        <v>6</v>
      </c>
      <c r="I101" s="201">
        <v>7</v>
      </c>
      <c r="J101" s="19"/>
      <c r="K101" s="19"/>
      <c r="L101" s="19"/>
      <c r="M101" s="19"/>
    </row>
    <row r="102" spans="1:13" ht="12.75" customHeight="1" outlineLevel="1" x14ac:dyDescent="0.2">
      <c r="A102" s="171"/>
      <c r="B102" s="224"/>
      <c r="C102" s="171"/>
      <c r="D102" s="112">
        <f>FirstYear</f>
        <v>0</v>
      </c>
      <c r="E102" s="112">
        <f>D102+1</f>
        <v>1</v>
      </c>
      <c r="F102" s="112">
        <f>E102+1</f>
        <v>2</v>
      </c>
      <c r="G102" s="112">
        <f>F102+1</f>
        <v>3</v>
      </c>
      <c r="H102" s="112">
        <f>G102+1</f>
        <v>4</v>
      </c>
      <c r="I102" s="112">
        <f>H102+1</f>
        <v>5</v>
      </c>
      <c r="J102" s="171"/>
      <c r="K102" s="171"/>
      <c r="L102" s="171"/>
      <c r="M102" s="176"/>
    </row>
    <row r="103" spans="1:13" ht="12.75" customHeight="1" outlineLevel="1" x14ac:dyDescent="0.2">
      <c r="A103" s="171"/>
      <c r="B103" s="422">
        <v>1</v>
      </c>
      <c r="C103" s="115" t="s">
        <v>104</v>
      </c>
      <c r="D103" s="396">
        <f t="shared" ref="D103:I103" si="41">INDEX(PBSScriptsChanged,$B100,D101)*INDEX(DPMQCoPayChangedEff,$B100,$B103)</f>
        <v>0</v>
      </c>
      <c r="E103" s="396">
        <f t="shared" si="41"/>
        <v>0</v>
      </c>
      <c r="F103" s="396">
        <f t="shared" si="41"/>
        <v>0</v>
      </c>
      <c r="G103" s="396">
        <f t="shared" si="41"/>
        <v>0</v>
      </c>
      <c r="H103" s="396">
        <f t="shared" si="41"/>
        <v>0</v>
      </c>
      <c r="I103" s="396">
        <f t="shared" si="41"/>
        <v>0</v>
      </c>
      <c r="J103" s="171"/>
      <c r="K103" s="171"/>
      <c r="L103" s="171"/>
      <c r="M103" s="176"/>
    </row>
    <row r="104" spans="1:13" ht="12.75" customHeight="1" outlineLevel="1" x14ac:dyDescent="0.2">
      <c r="A104" s="171"/>
      <c r="B104" s="422">
        <v>3</v>
      </c>
      <c r="C104" s="11" t="s">
        <v>129</v>
      </c>
      <c r="D104" s="396">
        <f t="shared" ref="D104:I104" si="42">INDEX(PBSScriptsChanged,$B100,D101)*(INDEX(DPMQCoPayChangedEff,$B100,$B104)/INDEX(CoPayCountChanged,$B100))</f>
        <v>0</v>
      </c>
      <c r="E104" s="396">
        <f t="shared" si="42"/>
        <v>0</v>
      </c>
      <c r="F104" s="396">
        <f t="shared" si="42"/>
        <v>0</v>
      </c>
      <c r="G104" s="396">
        <f t="shared" si="42"/>
        <v>0</v>
      </c>
      <c r="H104" s="396">
        <f t="shared" si="42"/>
        <v>0</v>
      </c>
      <c r="I104" s="396">
        <f t="shared" si="42"/>
        <v>0</v>
      </c>
      <c r="J104" s="171"/>
      <c r="K104" s="763" t="str">
        <f>IF(B101&lt;&gt;0,MsgNote&amp;IF(B101="Yes",INDEX(CoPayMethod,1),INDEX(CoPayMethod,2)),"")</f>
        <v/>
      </c>
      <c r="L104" s="763"/>
      <c r="M104" s="763"/>
    </row>
    <row r="105" spans="1:13" ht="12.75" customHeight="1" outlineLevel="1" x14ac:dyDescent="0.2">
      <c r="A105" s="171"/>
      <c r="B105" s="224"/>
      <c r="C105" s="11" t="s">
        <v>106</v>
      </c>
      <c r="D105" s="396">
        <f t="shared" ref="D105:I105" si="43">D103+D104</f>
        <v>0</v>
      </c>
      <c r="E105" s="396">
        <f t="shared" si="43"/>
        <v>0</v>
      </c>
      <c r="F105" s="396">
        <f t="shared" si="43"/>
        <v>0</v>
      </c>
      <c r="G105" s="396">
        <f t="shared" si="43"/>
        <v>0</v>
      </c>
      <c r="H105" s="396">
        <f t="shared" si="43"/>
        <v>0</v>
      </c>
      <c r="I105" s="396">
        <f t="shared" si="43"/>
        <v>0</v>
      </c>
      <c r="J105" s="171"/>
      <c r="K105" s="171"/>
      <c r="L105" s="171"/>
      <c r="M105" s="176"/>
    </row>
    <row r="106" spans="1:13" ht="12.75" customHeight="1" outlineLevel="1" x14ac:dyDescent="0.2">
      <c r="A106" s="171"/>
      <c r="B106" s="202"/>
      <c r="C106" s="171"/>
      <c r="D106" s="171"/>
      <c r="E106" s="171"/>
      <c r="F106" s="171"/>
      <c r="G106" s="171"/>
      <c r="H106" s="171"/>
      <c r="I106" s="171"/>
      <c r="J106" s="171"/>
      <c r="K106" s="171"/>
      <c r="L106" s="171"/>
      <c r="M106" s="176"/>
    </row>
    <row r="107" spans="1:13" ht="15.75" customHeight="1" outlineLevel="1" x14ac:dyDescent="0.2">
      <c r="A107" s="171"/>
      <c r="B107" s="202"/>
      <c r="C107" s="193"/>
      <c r="D107" s="112">
        <f>FirstYear</f>
        <v>0</v>
      </c>
      <c r="E107" s="112">
        <f>D107+1</f>
        <v>1</v>
      </c>
      <c r="F107" s="112">
        <f>E107+1</f>
        <v>2</v>
      </c>
      <c r="G107" s="112">
        <f>F107+1</f>
        <v>3</v>
      </c>
      <c r="H107" s="112">
        <f>G107+1</f>
        <v>4</v>
      </c>
      <c r="I107" s="112">
        <f>H107+1</f>
        <v>5</v>
      </c>
      <c r="J107" s="171"/>
      <c r="K107" s="171"/>
      <c r="L107" s="171"/>
      <c r="M107" s="176"/>
    </row>
    <row r="108" spans="1:13" ht="12.75" customHeight="1" outlineLevel="1" x14ac:dyDescent="0.2">
      <c r="A108" s="171"/>
      <c r="B108" s="422">
        <v>1</v>
      </c>
      <c r="C108" s="115" t="s">
        <v>105</v>
      </c>
      <c r="D108" s="396">
        <f t="shared" ref="D108:I108" si="44">INDEX(RPBSScriptsChanged,$B100,D101)*INDEX(DPMQCoPayChangedEff,$B100,$B108)</f>
        <v>0</v>
      </c>
      <c r="E108" s="396">
        <f t="shared" si="44"/>
        <v>0</v>
      </c>
      <c r="F108" s="396">
        <f t="shared" si="44"/>
        <v>0</v>
      </c>
      <c r="G108" s="396">
        <f t="shared" si="44"/>
        <v>0</v>
      </c>
      <c r="H108" s="396">
        <f t="shared" si="44"/>
        <v>0</v>
      </c>
      <c r="I108" s="396">
        <f t="shared" si="44"/>
        <v>0</v>
      </c>
      <c r="J108" s="171"/>
      <c r="K108" s="171"/>
      <c r="L108" s="171"/>
      <c r="M108" s="176"/>
    </row>
    <row r="109" spans="1:13" ht="12.75" customHeight="1" outlineLevel="1" x14ac:dyDescent="0.2">
      <c r="A109" s="171"/>
      <c r="B109" s="422">
        <v>4</v>
      </c>
      <c r="C109" s="11" t="s">
        <v>129</v>
      </c>
      <c r="D109" s="396">
        <f t="shared" ref="D109:I109" si="45">INDEX(RPBSScriptsChanged,$B100,D101)*(INDEX(DPMQCoPayChangedEff,$B100,$B109)/INDEX(CoPayCountChanged,$B100))</f>
        <v>0</v>
      </c>
      <c r="E109" s="396">
        <f t="shared" si="45"/>
        <v>0</v>
      </c>
      <c r="F109" s="396">
        <f t="shared" si="45"/>
        <v>0</v>
      </c>
      <c r="G109" s="396">
        <f t="shared" si="45"/>
        <v>0</v>
      </c>
      <c r="H109" s="396">
        <f t="shared" si="45"/>
        <v>0</v>
      </c>
      <c r="I109" s="396">
        <f t="shared" si="45"/>
        <v>0</v>
      </c>
      <c r="J109" s="171"/>
      <c r="K109" s="171"/>
      <c r="L109" s="171"/>
      <c r="M109" s="176"/>
    </row>
    <row r="110" spans="1:13" ht="12.75" customHeight="1" outlineLevel="1" x14ac:dyDescent="0.2">
      <c r="A110" s="171"/>
      <c r="B110" s="224"/>
      <c r="C110" s="11" t="s">
        <v>107</v>
      </c>
      <c r="D110" s="396">
        <f t="shared" ref="D110:I110" si="46">D108+D109</f>
        <v>0</v>
      </c>
      <c r="E110" s="396">
        <f t="shared" si="46"/>
        <v>0</v>
      </c>
      <c r="F110" s="396">
        <f t="shared" si="46"/>
        <v>0</v>
      </c>
      <c r="G110" s="396">
        <f t="shared" si="46"/>
        <v>0</v>
      </c>
      <c r="H110" s="396">
        <f t="shared" si="46"/>
        <v>0</v>
      </c>
      <c r="I110" s="396">
        <f t="shared" si="46"/>
        <v>0</v>
      </c>
      <c r="J110" s="171"/>
      <c r="K110" s="171"/>
      <c r="L110" s="171"/>
      <c r="M110" s="176"/>
    </row>
    <row r="111" spans="1:13" ht="12.75" customHeight="1" x14ac:dyDescent="0.2">
      <c r="A111" s="171"/>
      <c r="B111" s="224"/>
      <c r="C111" s="171"/>
      <c r="D111" s="171"/>
      <c r="E111" s="171"/>
      <c r="F111" s="171"/>
      <c r="G111" s="171"/>
      <c r="H111" s="171"/>
      <c r="I111" s="171"/>
      <c r="J111" s="171"/>
      <c r="K111" s="171"/>
      <c r="L111" s="171"/>
      <c r="M111" s="577"/>
    </row>
    <row r="112" spans="1:13" ht="15" x14ac:dyDescent="0.2">
      <c r="A112" s="171"/>
      <c r="B112" s="423">
        <v>8</v>
      </c>
      <c r="C112" s="221" t="str">
        <f>INDEX(PBSScriptsChanged,B112,1)</f>
        <v>** NOT USED **</v>
      </c>
      <c r="D112" s="207"/>
      <c r="E112" s="207"/>
      <c r="F112" s="207"/>
      <c r="G112" s="207"/>
      <c r="H112" s="207"/>
      <c r="I112" s="207"/>
      <c r="J112" s="188"/>
      <c r="K112" s="188"/>
      <c r="L112" s="782" t="str">
        <f>IF(C112&lt;&gt;MsgNotUsed,"Co-payment group " &amp; INDEX(CoPayBandChanged,B112),"")</f>
        <v/>
      </c>
      <c r="M112" s="782"/>
    </row>
    <row r="113" spans="1:13" ht="12.75" customHeight="1" outlineLevel="1" x14ac:dyDescent="0.2">
      <c r="A113" s="171"/>
      <c r="B113" s="352">
        <f>INDEX(SAChanged,B112,5)</f>
        <v>0</v>
      </c>
      <c r="C113" s="20"/>
      <c r="D113" s="419">
        <v>2</v>
      </c>
      <c r="E113" s="419">
        <v>3</v>
      </c>
      <c r="F113" s="201">
        <v>4</v>
      </c>
      <c r="G113" s="201">
        <v>5</v>
      </c>
      <c r="H113" s="201">
        <v>6</v>
      </c>
      <c r="I113" s="201">
        <v>7</v>
      </c>
      <c r="J113" s="19"/>
      <c r="K113" s="19"/>
      <c r="L113" s="19"/>
      <c r="M113" s="19"/>
    </row>
    <row r="114" spans="1:13" ht="12.75" customHeight="1" outlineLevel="1" x14ac:dyDescent="0.2">
      <c r="A114" s="171"/>
      <c r="B114" s="224"/>
      <c r="C114" s="171"/>
      <c r="D114" s="112">
        <f>FirstYear</f>
        <v>0</v>
      </c>
      <c r="E114" s="112">
        <f>D114+1</f>
        <v>1</v>
      </c>
      <c r="F114" s="112">
        <f>E114+1</f>
        <v>2</v>
      </c>
      <c r="G114" s="112">
        <f>F114+1</f>
        <v>3</v>
      </c>
      <c r="H114" s="112">
        <f>G114+1</f>
        <v>4</v>
      </c>
      <c r="I114" s="112">
        <f>H114+1</f>
        <v>5</v>
      </c>
      <c r="J114" s="171"/>
      <c r="K114" s="171"/>
      <c r="L114" s="171"/>
      <c r="M114" s="176"/>
    </row>
    <row r="115" spans="1:13" ht="12.75" customHeight="1" outlineLevel="1" x14ac:dyDescent="0.2">
      <c r="A115" s="171"/>
      <c r="B115" s="422">
        <v>1</v>
      </c>
      <c r="C115" s="115" t="s">
        <v>104</v>
      </c>
      <c r="D115" s="396">
        <f t="shared" ref="D115:I115" si="47">INDEX(PBSScriptsChanged,$B112,D113)*INDEX(DPMQCoPayChangedEff,$B112,$B115)</f>
        <v>0</v>
      </c>
      <c r="E115" s="396">
        <f t="shared" si="47"/>
        <v>0</v>
      </c>
      <c r="F115" s="396">
        <f t="shared" si="47"/>
        <v>0</v>
      </c>
      <c r="G115" s="396">
        <f t="shared" si="47"/>
        <v>0</v>
      </c>
      <c r="H115" s="396">
        <f t="shared" si="47"/>
        <v>0</v>
      </c>
      <c r="I115" s="396">
        <f t="shared" si="47"/>
        <v>0</v>
      </c>
      <c r="J115" s="171"/>
      <c r="K115" s="171"/>
      <c r="L115" s="171"/>
      <c r="M115" s="176"/>
    </row>
    <row r="116" spans="1:13" ht="12.75" customHeight="1" outlineLevel="1" x14ac:dyDescent="0.2">
      <c r="A116" s="171"/>
      <c r="B116" s="422">
        <v>3</v>
      </c>
      <c r="C116" s="11" t="s">
        <v>129</v>
      </c>
      <c r="D116" s="396">
        <f t="shared" ref="D116:I116" si="48">INDEX(PBSScriptsChanged,$B112,D113)*(INDEX(DPMQCoPayChangedEff,$B112,$B116)/INDEX(CoPayCountChanged,$B112))</f>
        <v>0</v>
      </c>
      <c r="E116" s="396">
        <f t="shared" si="48"/>
        <v>0</v>
      </c>
      <c r="F116" s="396">
        <f t="shared" si="48"/>
        <v>0</v>
      </c>
      <c r="G116" s="396">
        <f t="shared" si="48"/>
        <v>0</v>
      </c>
      <c r="H116" s="396">
        <f t="shared" si="48"/>
        <v>0</v>
      </c>
      <c r="I116" s="396">
        <f t="shared" si="48"/>
        <v>0</v>
      </c>
      <c r="J116" s="171"/>
      <c r="K116" s="763" t="str">
        <f>IF(B113&lt;&gt;0,MsgNote&amp;IF(B113="Yes",INDEX(CoPayMethod,1),INDEX(CoPayMethod,2)),"")</f>
        <v/>
      </c>
      <c r="L116" s="763"/>
      <c r="M116" s="763"/>
    </row>
    <row r="117" spans="1:13" ht="12.75" customHeight="1" outlineLevel="1" x14ac:dyDescent="0.2">
      <c r="A117" s="171"/>
      <c r="B117" s="224"/>
      <c r="C117" s="11" t="s">
        <v>106</v>
      </c>
      <c r="D117" s="396">
        <f t="shared" ref="D117:I117" si="49">D115+D116</f>
        <v>0</v>
      </c>
      <c r="E117" s="396">
        <f t="shared" si="49"/>
        <v>0</v>
      </c>
      <c r="F117" s="396">
        <f t="shared" si="49"/>
        <v>0</v>
      </c>
      <c r="G117" s="396">
        <f t="shared" si="49"/>
        <v>0</v>
      </c>
      <c r="H117" s="396">
        <f t="shared" si="49"/>
        <v>0</v>
      </c>
      <c r="I117" s="396">
        <f t="shared" si="49"/>
        <v>0</v>
      </c>
      <c r="J117" s="171"/>
      <c r="K117" s="171"/>
      <c r="L117" s="171"/>
      <c r="M117" s="176"/>
    </row>
    <row r="118" spans="1:13" ht="12.75" customHeight="1" outlineLevel="1" x14ac:dyDescent="0.2">
      <c r="A118" s="171"/>
      <c r="B118" s="202"/>
      <c r="C118" s="171"/>
      <c r="D118" s="171"/>
      <c r="E118" s="171"/>
      <c r="F118" s="171"/>
      <c r="G118" s="171"/>
      <c r="H118" s="171"/>
      <c r="I118" s="171"/>
      <c r="J118" s="171"/>
      <c r="K118" s="171"/>
      <c r="L118" s="171"/>
      <c r="M118" s="176"/>
    </row>
    <row r="119" spans="1:13" ht="15.75" customHeight="1" outlineLevel="1" x14ac:dyDescent="0.2">
      <c r="A119" s="171"/>
      <c r="B119" s="202"/>
      <c r="C119" s="193"/>
      <c r="D119" s="112">
        <f>FirstYear</f>
        <v>0</v>
      </c>
      <c r="E119" s="112">
        <f>D119+1</f>
        <v>1</v>
      </c>
      <c r="F119" s="112">
        <f>E119+1</f>
        <v>2</v>
      </c>
      <c r="G119" s="112">
        <f>F119+1</f>
        <v>3</v>
      </c>
      <c r="H119" s="112">
        <f>G119+1</f>
        <v>4</v>
      </c>
      <c r="I119" s="112">
        <f>H119+1</f>
        <v>5</v>
      </c>
      <c r="J119" s="171"/>
      <c r="K119" s="171"/>
      <c r="L119" s="171"/>
      <c r="M119" s="176"/>
    </row>
    <row r="120" spans="1:13" ht="12.75" customHeight="1" outlineLevel="1" x14ac:dyDescent="0.2">
      <c r="A120" s="171"/>
      <c r="B120" s="422">
        <v>1</v>
      </c>
      <c r="C120" s="115" t="s">
        <v>105</v>
      </c>
      <c r="D120" s="396">
        <f t="shared" ref="D120:I120" si="50">INDEX(RPBSScriptsChanged,$B112,D113)*INDEX(DPMQCoPayChangedEff,$B112,$B120)</f>
        <v>0</v>
      </c>
      <c r="E120" s="396">
        <f t="shared" si="50"/>
        <v>0</v>
      </c>
      <c r="F120" s="396">
        <f t="shared" si="50"/>
        <v>0</v>
      </c>
      <c r="G120" s="396">
        <f t="shared" si="50"/>
        <v>0</v>
      </c>
      <c r="H120" s="396">
        <f t="shared" si="50"/>
        <v>0</v>
      </c>
      <c r="I120" s="396">
        <f t="shared" si="50"/>
        <v>0</v>
      </c>
      <c r="J120" s="171"/>
      <c r="K120" s="171"/>
      <c r="L120" s="171"/>
      <c r="M120" s="176"/>
    </row>
    <row r="121" spans="1:13" ht="12.75" customHeight="1" outlineLevel="1" x14ac:dyDescent="0.2">
      <c r="A121" s="171"/>
      <c r="B121" s="422">
        <v>4</v>
      </c>
      <c r="C121" s="11" t="s">
        <v>129</v>
      </c>
      <c r="D121" s="396">
        <f t="shared" ref="D121:I121" si="51">INDEX(RPBSScriptsChanged,$B112,D113)*(INDEX(DPMQCoPayChangedEff,$B112,$B121)/INDEX(CoPayCountChanged,$B112))</f>
        <v>0</v>
      </c>
      <c r="E121" s="396">
        <f t="shared" si="51"/>
        <v>0</v>
      </c>
      <c r="F121" s="396">
        <f t="shared" si="51"/>
        <v>0</v>
      </c>
      <c r="G121" s="396">
        <f t="shared" si="51"/>
        <v>0</v>
      </c>
      <c r="H121" s="396">
        <f t="shared" si="51"/>
        <v>0</v>
      </c>
      <c r="I121" s="396">
        <f t="shared" si="51"/>
        <v>0</v>
      </c>
      <c r="J121" s="171"/>
      <c r="K121" s="171"/>
      <c r="L121" s="171"/>
      <c r="M121" s="176"/>
    </row>
    <row r="122" spans="1:13" ht="12.75" customHeight="1" outlineLevel="1" x14ac:dyDescent="0.2">
      <c r="A122" s="171"/>
      <c r="B122" s="224"/>
      <c r="C122" s="11" t="s">
        <v>107</v>
      </c>
      <c r="D122" s="396">
        <f t="shared" ref="D122:I122" si="52">D120+D121</f>
        <v>0</v>
      </c>
      <c r="E122" s="396">
        <f t="shared" si="52"/>
        <v>0</v>
      </c>
      <c r="F122" s="396">
        <f t="shared" si="52"/>
        <v>0</v>
      </c>
      <c r="G122" s="396">
        <f t="shared" si="52"/>
        <v>0</v>
      </c>
      <c r="H122" s="396">
        <f t="shared" si="52"/>
        <v>0</v>
      </c>
      <c r="I122" s="396">
        <f t="shared" si="52"/>
        <v>0</v>
      </c>
      <c r="J122" s="171"/>
      <c r="K122" s="171"/>
      <c r="L122" s="171"/>
      <c r="M122" s="176"/>
    </row>
    <row r="123" spans="1:13" ht="12.75" customHeight="1" x14ac:dyDescent="0.2">
      <c r="A123" s="171"/>
      <c r="B123" s="224"/>
      <c r="C123" s="171"/>
      <c r="D123" s="171"/>
      <c r="E123" s="171"/>
      <c r="F123" s="171"/>
      <c r="G123" s="171"/>
      <c r="H123" s="171"/>
      <c r="I123" s="171"/>
      <c r="J123" s="171"/>
      <c r="K123" s="171"/>
      <c r="L123" s="171"/>
      <c r="M123" s="577"/>
    </row>
    <row r="124" spans="1:13" ht="15" x14ac:dyDescent="0.2">
      <c r="A124" s="171"/>
      <c r="B124" s="423">
        <v>9</v>
      </c>
      <c r="C124" s="221" t="str">
        <f>INDEX(PBSScriptsChanged,B124,1)</f>
        <v>** NOT USED **</v>
      </c>
      <c r="D124" s="207"/>
      <c r="E124" s="207"/>
      <c r="F124" s="207"/>
      <c r="G124" s="207"/>
      <c r="H124" s="207"/>
      <c r="I124" s="207"/>
      <c r="J124" s="188"/>
      <c r="K124" s="188"/>
      <c r="L124" s="782" t="str">
        <f>IF(C124&lt;&gt;MsgNotUsed,"Co-payment group " &amp; INDEX(CoPayBandChanged,B124),"")</f>
        <v/>
      </c>
      <c r="M124" s="782"/>
    </row>
    <row r="125" spans="1:13" ht="12.75" customHeight="1" outlineLevel="1" x14ac:dyDescent="0.2">
      <c r="A125" s="171"/>
      <c r="B125" s="352">
        <f>INDEX(SAChanged,B124,5)</f>
        <v>0</v>
      </c>
      <c r="C125" s="20"/>
      <c r="D125" s="419">
        <v>2</v>
      </c>
      <c r="E125" s="419">
        <v>3</v>
      </c>
      <c r="F125" s="201">
        <v>4</v>
      </c>
      <c r="G125" s="201">
        <v>5</v>
      </c>
      <c r="H125" s="201">
        <v>6</v>
      </c>
      <c r="I125" s="201">
        <v>7</v>
      </c>
      <c r="J125" s="19"/>
      <c r="K125" s="19"/>
      <c r="L125" s="19"/>
      <c r="M125" s="19"/>
    </row>
    <row r="126" spans="1:13" ht="12.75" customHeight="1" outlineLevel="1" x14ac:dyDescent="0.2">
      <c r="A126" s="171"/>
      <c r="B126" s="224"/>
      <c r="C126" s="171"/>
      <c r="D126" s="112">
        <f>FirstYear</f>
        <v>0</v>
      </c>
      <c r="E126" s="112">
        <f>D126+1</f>
        <v>1</v>
      </c>
      <c r="F126" s="112">
        <f>E126+1</f>
        <v>2</v>
      </c>
      <c r="G126" s="112">
        <f>F126+1</f>
        <v>3</v>
      </c>
      <c r="H126" s="112">
        <f>G126+1</f>
        <v>4</v>
      </c>
      <c r="I126" s="112">
        <f>H126+1</f>
        <v>5</v>
      </c>
      <c r="J126" s="171"/>
      <c r="K126" s="171"/>
      <c r="L126" s="171"/>
      <c r="M126" s="171"/>
    </row>
    <row r="127" spans="1:13" ht="12.75" customHeight="1" outlineLevel="1" x14ac:dyDescent="0.2">
      <c r="A127" s="171"/>
      <c r="B127" s="422">
        <v>1</v>
      </c>
      <c r="C127" s="115" t="s">
        <v>104</v>
      </c>
      <c r="D127" s="396">
        <f t="shared" ref="D127:I127" si="53">INDEX(PBSScriptsChanged,$B124,D125)*INDEX(DPMQCoPayChangedEff,$B124,$B127)</f>
        <v>0</v>
      </c>
      <c r="E127" s="396">
        <f t="shared" si="53"/>
        <v>0</v>
      </c>
      <c r="F127" s="396">
        <f t="shared" si="53"/>
        <v>0</v>
      </c>
      <c r="G127" s="396">
        <f t="shared" si="53"/>
        <v>0</v>
      </c>
      <c r="H127" s="396">
        <f t="shared" si="53"/>
        <v>0</v>
      </c>
      <c r="I127" s="396">
        <f t="shared" si="53"/>
        <v>0</v>
      </c>
      <c r="J127" s="171"/>
      <c r="K127" s="171"/>
      <c r="L127" s="171"/>
      <c r="M127" s="171"/>
    </row>
    <row r="128" spans="1:13" ht="12.75" customHeight="1" outlineLevel="1" x14ac:dyDescent="0.2">
      <c r="A128" s="171"/>
      <c r="B128" s="422">
        <v>3</v>
      </c>
      <c r="C128" s="11" t="s">
        <v>129</v>
      </c>
      <c r="D128" s="396">
        <f t="shared" ref="D128:I128" si="54">INDEX(PBSScriptsChanged,$B124,D125)*(INDEX(DPMQCoPayChangedEff,$B124,$B128)/INDEX(CoPayCountChanged,$B124))</f>
        <v>0</v>
      </c>
      <c r="E128" s="396">
        <f t="shared" si="54"/>
        <v>0</v>
      </c>
      <c r="F128" s="396">
        <f t="shared" si="54"/>
        <v>0</v>
      </c>
      <c r="G128" s="396">
        <f t="shared" si="54"/>
        <v>0</v>
      </c>
      <c r="H128" s="396">
        <f t="shared" si="54"/>
        <v>0</v>
      </c>
      <c r="I128" s="396">
        <f t="shared" si="54"/>
        <v>0</v>
      </c>
      <c r="J128" s="171"/>
      <c r="K128" s="763" t="str">
        <f>IF(B125&lt;&gt;0,MsgNote&amp;IF(B125="Yes",INDEX(CoPayMethod,1),INDEX(CoPayMethod,2)),"")</f>
        <v/>
      </c>
      <c r="L128" s="763"/>
      <c r="M128" s="763"/>
    </row>
    <row r="129" spans="1:13" ht="12.75" customHeight="1" outlineLevel="1" x14ac:dyDescent="0.2">
      <c r="A129" s="171"/>
      <c r="B129" s="224"/>
      <c r="C129" s="11" t="s">
        <v>106</v>
      </c>
      <c r="D129" s="396">
        <f t="shared" ref="D129:I129" si="55">D127+D128</f>
        <v>0</v>
      </c>
      <c r="E129" s="396">
        <f t="shared" si="55"/>
        <v>0</v>
      </c>
      <c r="F129" s="396">
        <f t="shared" si="55"/>
        <v>0</v>
      </c>
      <c r="G129" s="396">
        <f t="shared" si="55"/>
        <v>0</v>
      </c>
      <c r="H129" s="396">
        <f t="shared" si="55"/>
        <v>0</v>
      </c>
      <c r="I129" s="396">
        <f t="shared" si="55"/>
        <v>0</v>
      </c>
      <c r="J129" s="171"/>
      <c r="K129" s="171"/>
      <c r="L129" s="171"/>
      <c r="M129" s="171"/>
    </row>
    <row r="130" spans="1:13" ht="12.75" customHeight="1" outlineLevel="1" x14ac:dyDescent="0.2">
      <c r="A130" s="171"/>
      <c r="B130" s="202"/>
      <c r="C130" s="171"/>
      <c r="D130" s="171"/>
      <c r="E130" s="171"/>
      <c r="F130" s="171"/>
      <c r="G130" s="171"/>
      <c r="H130" s="171"/>
      <c r="I130" s="171"/>
      <c r="J130" s="171"/>
      <c r="K130" s="171"/>
      <c r="L130" s="171"/>
      <c r="M130" s="171"/>
    </row>
    <row r="131" spans="1:13" ht="15.75" customHeight="1" outlineLevel="1" x14ac:dyDescent="0.2">
      <c r="A131" s="171"/>
      <c r="B131" s="202"/>
      <c r="C131" s="193"/>
      <c r="D131" s="112">
        <f>FirstYear</f>
        <v>0</v>
      </c>
      <c r="E131" s="112">
        <f>D131+1</f>
        <v>1</v>
      </c>
      <c r="F131" s="112">
        <f>E131+1</f>
        <v>2</v>
      </c>
      <c r="G131" s="112">
        <f>F131+1</f>
        <v>3</v>
      </c>
      <c r="H131" s="112">
        <f>G131+1</f>
        <v>4</v>
      </c>
      <c r="I131" s="112">
        <f>H131+1</f>
        <v>5</v>
      </c>
      <c r="J131" s="171"/>
      <c r="K131" s="171"/>
      <c r="L131" s="171"/>
      <c r="M131" s="171"/>
    </row>
    <row r="132" spans="1:13" ht="12.75" customHeight="1" outlineLevel="1" x14ac:dyDescent="0.2">
      <c r="A132" s="171"/>
      <c r="B132" s="422">
        <v>1</v>
      </c>
      <c r="C132" s="115" t="s">
        <v>105</v>
      </c>
      <c r="D132" s="396">
        <f t="shared" ref="D132:I132" si="56">INDEX(RPBSScriptsChanged,$B124,D125)*INDEX(DPMQCoPayChangedEff,$B124,$B132)</f>
        <v>0</v>
      </c>
      <c r="E132" s="396">
        <f t="shared" si="56"/>
        <v>0</v>
      </c>
      <c r="F132" s="396">
        <f t="shared" si="56"/>
        <v>0</v>
      </c>
      <c r="G132" s="396">
        <f t="shared" si="56"/>
        <v>0</v>
      </c>
      <c r="H132" s="396">
        <f t="shared" si="56"/>
        <v>0</v>
      </c>
      <c r="I132" s="396">
        <f t="shared" si="56"/>
        <v>0</v>
      </c>
      <c r="J132" s="171"/>
      <c r="K132" s="171"/>
      <c r="L132" s="171"/>
      <c r="M132" s="171"/>
    </row>
    <row r="133" spans="1:13" ht="12.75" customHeight="1" outlineLevel="1" x14ac:dyDescent="0.2">
      <c r="A133" s="171"/>
      <c r="B133" s="422">
        <v>4</v>
      </c>
      <c r="C133" s="11" t="s">
        <v>129</v>
      </c>
      <c r="D133" s="396">
        <f t="shared" ref="D133:I133" si="57">INDEX(RPBSScriptsChanged,$B124,D125)*(INDEX(DPMQCoPayChangedEff,$B124,$B133)/INDEX(CoPayCountChanged,$B124))</f>
        <v>0</v>
      </c>
      <c r="E133" s="396">
        <f t="shared" si="57"/>
        <v>0</v>
      </c>
      <c r="F133" s="396">
        <f t="shared" si="57"/>
        <v>0</v>
      </c>
      <c r="G133" s="396">
        <f t="shared" si="57"/>
        <v>0</v>
      </c>
      <c r="H133" s="396">
        <f t="shared" si="57"/>
        <v>0</v>
      </c>
      <c r="I133" s="396">
        <f t="shared" si="57"/>
        <v>0</v>
      </c>
      <c r="J133" s="171"/>
      <c r="K133" s="171"/>
      <c r="L133" s="171"/>
      <c r="M133" s="171"/>
    </row>
    <row r="134" spans="1:13" ht="12.75" customHeight="1" outlineLevel="1" x14ac:dyDescent="0.2">
      <c r="A134" s="171"/>
      <c r="B134" s="224"/>
      <c r="C134" s="11" t="s">
        <v>107</v>
      </c>
      <c r="D134" s="396">
        <f t="shared" ref="D134:I134" si="58">D132+D133</f>
        <v>0</v>
      </c>
      <c r="E134" s="396">
        <f t="shared" si="58"/>
        <v>0</v>
      </c>
      <c r="F134" s="396">
        <f t="shared" si="58"/>
        <v>0</v>
      </c>
      <c r="G134" s="396">
        <f t="shared" si="58"/>
        <v>0</v>
      </c>
      <c r="H134" s="396">
        <f t="shared" si="58"/>
        <v>0</v>
      </c>
      <c r="I134" s="396">
        <f t="shared" si="58"/>
        <v>0</v>
      </c>
      <c r="J134" s="171"/>
      <c r="K134" s="171"/>
      <c r="L134" s="171"/>
      <c r="M134" s="171"/>
    </row>
    <row r="135" spans="1:13" ht="12.75" customHeight="1" x14ac:dyDescent="0.2">
      <c r="A135" s="171"/>
      <c r="B135" s="224"/>
      <c r="C135" s="171"/>
      <c r="D135" s="171"/>
      <c r="E135" s="171"/>
      <c r="F135" s="171"/>
      <c r="G135" s="171"/>
      <c r="H135" s="171"/>
      <c r="I135" s="171"/>
      <c r="J135" s="171"/>
      <c r="K135" s="171"/>
      <c r="L135" s="171"/>
      <c r="M135" s="171"/>
    </row>
    <row r="136" spans="1:13" ht="15" x14ac:dyDescent="0.2">
      <c r="A136" s="171"/>
      <c r="B136" s="423">
        <v>10</v>
      </c>
      <c r="C136" s="221" t="str">
        <f>INDEX(PBSScriptsChanged,B136,1)</f>
        <v>** NOT USED **</v>
      </c>
      <c r="D136" s="207"/>
      <c r="E136" s="207"/>
      <c r="F136" s="207"/>
      <c r="G136" s="207"/>
      <c r="H136" s="207"/>
      <c r="I136" s="207"/>
      <c r="J136" s="188"/>
      <c r="K136" s="188"/>
      <c r="L136" s="782" t="str">
        <f>IF(C136&lt;&gt;MsgNotUsed,"Co-payment group " &amp; INDEX(CoPayBandChanged,B136),"")</f>
        <v/>
      </c>
      <c r="M136" s="782"/>
    </row>
    <row r="137" spans="1:13" ht="12.75" customHeight="1" outlineLevel="1" x14ac:dyDescent="0.2">
      <c r="A137" s="171"/>
      <c r="B137" s="352">
        <f>INDEX(SAChanged,B136,5)</f>
        <v>0</v>
      </c>
      <c r="C137" s="20"/>
      <c r="D137" s="419">
        <v>2</v>
      </c>
      <c r="E137" s="419">
        <v>3</v>
      </c>
      <c r="F137" s="201">
        <v>4</v>
      </c>
      <c r="G137" s="201">
        <v>5</v>
      </c>
      <c r="H137" s="201">
        <v>6</v>
      </c>
      <c r="I137" s="201">
        <v>7</v>
      </c>
      <c r="J137" s="19"/>
      <c r="K137" s="19"/>
      <c r="L137" s="19"/>
      <c r="M137" s="19"/>
    </row>
    <row r="138" spans="1:13" ht="12.75" customHeight="1" outlineLevel="1" x14ac:dyDescent="0.2">
      <c r="A138" s="171"/>
      <c r="B138" s="224"/>
      <c r="C138" s="171"/>
      <c r="D138" s="112">
        <f>FirstYear</f>
        <v>0</v>
      </c>
      <c r="E138" s="112">
        <f>D138+1</f>
        <v>1</v>
      </c>
      <c r="F138" s="112">
        <f>E138+1</f>
        <v>2</v>
      </c>
      <c r="G138" s="112">
        <f>F138+1</f>
        <v>3</v>
      </c>
      <c r="H138" s="112">
        <f>G138+1</f>
        <v>4</v>
      </c>
      <c r="I138" s="112">
        <f>H138+1</f>
        <v>5</v>
      </c>
      <c r="J138" s="171"/>
      <c r="K138" s="171"/>
      <c r="L138" s="171"/>
      <c r="M138" s="171"/>
    </row>
    <row r="139" spans="1:13" ht="12.75" customHeight="1" outlineLevel="1" x14ac:dyDescent="0.2">
      <c r="A139" s="171"/>
      <c r="B139" s="422">
        <v>1</v>
      </c>
      <c r="C139" s="115" t="s">
        <v>104</v>
      </c>
      <c r="D139" s="396">
        <f t="shared" ref="D139:I139" si="59">INDEX(PBSScriptsChanged,$B136,D137)*INDEX(DPMQCoPayChangedEff,$B136,$B139)</f>
        <v>0</v>
      </c>
      <c r="E139" s="396">
        <f t="shared" si="59"/>
        <v>0</v>
      </c>
      <c r="F139" s="396">
        <f t="shared" si="59"/>
        <v>0</v>
      </c>
      <c r="G139" s="396">
        <f t="shared" si="59"/>
        <v>0</v>
      </c>
      <c r="H139" s="396">
        <f t="shared" si="59"/>
        <v>0</v>
      </c>
      <c r="I139" s="396">
        <f t="shared" si="59"/>
        <v>0</v>
      </c>
      <c r="J139" s="171"/>
      <c r="K139" s="171"/>
      <c r="L139" s="171"/>
      <c r="M139" s="171"/>
    </row>
    <row r="140" spans="1:13" ht="12.75" customHeight="1" outlineLevel="1" x14ac:dyDescent="0.2">
      <c r="A140" s="171"/>
      <c r="B140" s="422">
        <v>3</v>
      </c>
      <c r="C140" s="11" t="s">
        <v>129</v>
      </c>
      <c r="D140" s="396">
        <f t="shared" ref="D140:I140" si="60">INDEX(PBSScriptsChanged,$B136,D137)*(INDEX(DPMQCoPayChangedEff,$B136,$B140)/INDEX(CoPayCountChanged,$B136))</f>
        <v>0</v>
      </c>
      <c r="E140" s="396">
        <f t="shared" si="60"/>
        <v>0</v>
      </c>
      <c r="F140" s="396">
        <f t="shared" si="60"/>
        <v>0</v>
      </c>
      <c r="G140" s="396">
        <f t="shared" si="60"/>
        <v>0</v>
      </c>
      <c r="H140" s="396">
        <f t="shared" si="60"/>
        <v>0</v>
      </c>
      <c r="I140" s="396">
        <f t="shared" si="60"/>
        <v>0</v>
      </c>
      <c r="J140" s="171"/>
      <c r="K140" s="763" t="str">
        <f>IF(B137&lt;&gt;0,MsgNote&amp;IF(B137="Yes",INDEX(CoPayMethod,1),INDEX(CoPayMethod,2)),"")</f>
        <v/>
      </c>
      <c r="L140" s="763"/>
      <c r="M140" s="763"/>
    </row>
    <row r="141" spans="1:13" ht="12.75" customHeight="1" outlineLevel="1" x14ac:dyDescent="0.2">
      <c r="A141" s="171"/>
      <c r="B141" s="224"/>
      <c r="C141" s="11" t="s">
        <v>106</v>
      </c>
      <c r="D141" s="396">
        <f t="shared" ref="D141:I141" si="61">D139+D140</f>
        <v>0</v>
      </c>
      <c r="E141" s="396">
        <f t="shared" si="61"/>
        <v>0</v>
      </c>
      <c r="F141" s="396">
        <f t="shared" si="61"/>
        <v>0</v>
      </c>
      <c r="G141" s="396">
        <f t="shared" si="61"/>
        <v>0</v>
      </c>
      <c r="H141" s="396">
        <f t="shared" si="61"/>
        <v>0</v>
      </c>
      <c r="I141" s="396">
        <f t="shared" si="61"/>
        <v>0</v>
      </c>
      <c r="J141" s="171"/>
      <c r="K141" s="171"/>
      <c r="L141" s="171"/>
      <c r="M141" s="171"/>
    </row>
    <row r="142" spans="1:13" ht="12.75" customHeight="1" outlineLevel="1" x14ac:dyDescent="0.2">
      <c r="A142" s="171"/>
      <c r="B142" s="202"/>
      <c r="C142" s="171"/>
      <c r="D142" s="171"/>
      <c r="E142" s="171"/>
      <c r="F142" s="171"/>
      <c r="G142" s="171"/>
      <c r="H142" s="171"/>
      <c r="I142" s="171"/>
      <c r="J142" s="171"/>
      <c r="K142" s="171"/>
      <c r="L142" s="171"/>
      <c r="M142" s="171"/>
    </row>
    <row r="143" spans="1:13" ht="15.75" customHeight="1" outlineLevel="1" x14ac:dyDescent="0.2">
      <c r="A143" s="171"/>
      <c r="B143" s="202"/>
      <c r="C143" s="193"/>
      <c r="D143" s="112">
        <f>FirstYear</f>
        <v>0</v>
      </c>
      <c r="E143" s="112">
        <f>D143+1</f>
        <v>1</v>
      </c>
      <c r="F143" s="112">
        <f>E143+1</f>
        <v>2</v>
      </c>
      <c r="G143" s="112">
        <f>F143+1</f>
        <v>3</v>
      </c>
      <c r="H143" s="112">
        <f>G143+1</f>
        <v>4</v>
      </c>
      <c r="I143" s="112">
        <f>H143+1</f>
        <v>5</v>
      </c>
      <c r="J143" s="171"/>
      <c r="K143" s="171"/>
      <c r="L143" s="171"/>
      <c r="M143" s="171"/>
    </row>
    <row r="144" spans="1:13" ht="12.75" customHeight="1" outlineLevel="1" x14ac:dyDescent="0.2">
      <c r="A144" s="171"/>
      <c r="B144" s="422">
        <v>1</v>
      </c>
      <c r="C144" s="115" t="s">
        <v>105</v>
      </c>
      <c r="D144" s="396">
        <f t="shared" ref="D144:I144" si="62">INDEX(RPBSScriptsChanged,$B136,D137)*INDEX(DPMQCoPayChangedEff,$B136,$B144)</f>
        <v>0</v>
      </c>
      <c r="E144" s="396">
        <f t="shared" si="62"/>
        <v>0</v>
      </c>
      <c r="F144" s="396">
        <f t="shared" si="62"/>
        <v>0</v>
      </c>
      <c r="G144" s="396">
        <f t="shared" si="62"/>
        <v>0</v>
      </c>
      <c r="H144" s="396">
        <f t="shared" si="62"/>
        <v>0</v>
      </c>
      <c r="I144" s="396">
        <f t="shared" si="62"/>
        <v>0</v>
      </c>
      <c r="J144" s="171"/>
      <c r="K144" s="171"/>
      <c r="L144" s="171"/>
      <c r="M144" s="171"/>
    </row>
    <row r="145" spans="1:13" ht="12.75" customHeight="1" outlineLevel="1" x14ac:dyDescent="0.2">
      <c r="A145" s="171"/>
      <c r="B145" s="422">
        <v>4</v>
      </c>
      <c r="C145" s="11" t="s">
        <v>129</v>
      </c>
      <c r="D145" s="396">
        <f t="shared" ref="D145:I145" si="63">INDEX(RPBSScriptsChanged,$B136,D137)*(INDEX(DPMQCoPayChangedEff,$B136,$B145)/INDEX(CoPayCountChanged,$B136))</f>
        <v>0</v>
      </c>
      <c r="E145" s="396">
        <f t="shared" si="63"/>
        <v>0</v>
      </c>
      <c r="F145" s="396">
        <f t="shared" si="63"/>
        <v>0</v>
      </c>
      <c r="G145" s="396">
        <f t="shared" si="63"/>
        <v>0</v>
      </c>
      <c r="H145" s="396">
        <f t="shared" si="63"/>
        <v>0</v>
      </c>
      <c r="I145" s="396">
        <f t="shared" si="63"/>
        <v>0</v>
      </c>
      <c r="J145" s="171"/>
      <c r="K145" s="171"/>
      <c r="L145" s="171"/>
      <c r="M145" s="171"/>
    </row>
    <row r="146" spans="1:13" ht="12.75" customHeight="1" outlineLevel="1" x14ac:dyDescent="0.2">
      <c r="A146" s="171"/>
      <c r="B146" s="224"/>
      <c r="C146" s="11" t="s">
        <v>107</v>
      </c>
      <c r="D146" s="396">
        <f t="shared" ref="D146:I146" si="64">D144+D145</f>
        <v>0</v>
      </c>
      <c r="E146" s="396">
        <f t="shared" si="64"/>
        <v>0</v>
      </c>
      <c r="F146" s="396">
        <f t="shared" si="64"/>
        <v>0</v>
      </c>
      <c r="G146" s="396">
        <f t="shared" si="64"/>
        <v>0</v>
      </c>
      <c r="H146" s="396">
        <f t="shared" si="64"/>
        <v>0</v>
      </c>
      <c r="I146" s="396">
        <f t="shared" si="64"/>
        <v>0</v>
      </c>
      <c r="J146" s="171"/>
      <c r="K146" s="171"/>
      <c r="L146" s="171"/>
      <c r="M146" s="171"/>
    </row>
    <row r="147" spans="1:13" ht="12.75" customHeight="1" x14ac:dyDescent="0.2">
      <c r="A147" s="171"/>
      <c r="B147" s="224"/>
      <c r="C147" s="171"/>
      <c r="D147" s="171"/>
      <c r="E147" s="171"/>
      <c r="F147" s="171"/>
      <c r="G147" s="171"/>
      <c r="H147" s="171"/>
      <c r="I147" s="171"/>
      <c r="J147" s="171"/>
      <c r="K147" s="171"/>
      <c r="L147" s="171"/>
      <c r="M147" s="171"/>
    </row>
    <row r="148" spans="1:13" ht="15" x14ac:dyDescent="0.2">
      <c r="A148" s="171"/>
      <c r="B148" s="423">
        <v>11</v>
      </c>
      <c r="C148" s="221" t="str">
        <f>INDEX(PBSScriptsChanged,B148,1)</f>
        <v>** NOT USED **</v>
      </c>
      <c r="D148" s="207"/>
      <c r="E148" s="207"/>
      <c r="F148" s="207"/>
      <c r="G148" s="207"/>
      <c r="H148" s="207"/>
      <c r="I148" s="207"/>
      <c r="J148" s="188"/>
      <c r="K148" s="188"/>
      <c r="L148" s="782" t="str">
        <f>IF(C148&lt;&gt;MsgNotUsed,"Co-payment group " &amp; INDEX(CoPayBandChanged,B148),"")</f>
        <v/>
      </c>
      <c r="M148" s="782"/>
    </row>
    <row r="149" spans="1:13" ht="12.75" customHeight="1" outlineLevel="1" x14ac:dyDescent="0.2">
      <c r="A149" s="171"/>
      <c r="B149" s="352">
        <f>INDEX(SAChanged,B148,5)</f>
        <v>0</v>
      </c>
      <c r="C149" s="20"/>
      <c r="D149" s="419">
        <v>2</v>
      </c>
      <c r="E149" s="419">
        <v>3</v>
      </c>
      <c r="F149" s="201">
        <v>4</v>
      </c>
      <c r="G149" s="201">
        <v>5</v>
      </c>
      <c r="H149" s="201">
        <v>6</v>
      </c>
      <c r="I149" s="201">
        <v>7</v>
      </c>
      <c r="J149" s="19"/>
      <c r="K149" s="19"/>
      <c r="L149" s="19"/>
      <c r="M149" s="19"/>
    </row>
    <row r="150" spans="1:13" ht="12.75" customHeight="1" outlineLevel="1" x14ac:dyDescent="0.2">
      <c r="A150" s="171"/>
      <c r="B150" s="224"/>
      <c r="C150" s="171"/>
      <c r="D150" s="414">
        <f>FirstYear</f>
        <v>0</v>
      </c>
      <c r="E150" s="414">
        <f>D150+1</f>
        <v>1</v>
      </c>
      <c r="F150" s="414">
        <f>E150+1</f>
        <v>2</v>
      </c>
      <c r="G150" s="414">
        <f>F150+1</f>
        <v>3</v>
      </c>
      <c r="H150" s="414">
        <f>G150+1</f>
        <v>4</v>
      </c>
      <c r="I150" s="414">
        <f>H150+1</f>
        <v>5</v>
      </c>
      <c r="J150" s="171"/>
      <c r="K150" s="171"/>
      <c r="L150" s="171"/>
      <c r="M150" s="171"/>
    </row>
    <row r="151" spans="1:13" ht="12.75" customHeight="1" outlineLevel="1" x14ac:dyDescent="0.2">
      <c r="A151" s="171"/>
      <c r="B151" s="422">
        <v>1</v>
      </c>
      <c r="C151" s="416" t="s">
        <v>104</v>
      </c>
      <c r="D151" s="396">
        <f t="shared" ref="D151:I151" si="65">INDEX(PBSScriptsChanged,$B148,D149)*INDEX(DPMQCoPayChangedEff,$B148,$B151)</f>
        <v>0</v>
      </c>
      <c r="E151" s="396">
        <f t="shared" si="65"/>
        <v>0</v>
      </c>
      <c r="F151" s="396">
        <f t="shared" si="65"/>
        <v>0</v>
      </c>
      <c r="G151" s="396">
        <f t="shared" si="65"/>
        <v>0</v>
      </c>
      <c r="H151" s="396">
        <f t="shared" si="65"/>
        <v>0</v>
      </c>
      <c r="I151" s="396">
        <f t="shared" si="65"/>
        <v>0</v>
      </c>
      <c r="J151" s="171"/>
      <c r="K151" s="171"/>
      <c r="L151" s="171"/>
      <c r="M151" s="171"/>
    </row>
    <row r="152" spans="1:13" ht="12.75" customHeight="1" outlineLevel="1" x14ac:dyDescent="0.2">
      <c r="A152" s="171"/>
      <c r="B152" s="422">
        <v>3</v>
      </c>
      <c r="C152" s="11" t="s">
        <v>129</v>
      </c>
      <c r="D152" s="396">
        <f t="shared" ref="D152:I152" si="66">INDEX(PBSScriptsChanged,$B148,D149)*(INDEX(DPMQCoPayChangedEff,$B148,$B152)/INDEX(CoPayCountChanged,$B148))</f>
        <v>0</v>
      </c>
      <c r="E152" s="396">
        <f t="shared" si="66"/>
        <v>0</v>
      </c>
      <c r="F152" s="396">
        <f t="shared" si="66"/>
        <v>0</v>
      </c>
      <c r="G152" s="396">
        <f t="shared" si="66"/>
        <v>0</v>
      </c>
      <c r="H152" s="396">
        <f t="shared" si="66"/>
        <v>0</v>
      </c>
      <c r="I152" s="396">
        <f t="shared" si="66"/>
        <v>0</v>
      </c>
      <c r="J152" s="171"/>
      <c r="K152" s="763" t="str">
        <f>IF(B149&lt;&gt;0,MsgNote&amp;IF(B149="Yes",INDEX(CoPayMethod,1),INDEX(CoPayMethod,2)),"")</f>
        <v/>
      </c>
      <c r="L152" s="763"/>
      <c r="M152" s="763"/>
    </row>
    <row r="153" spans="1:13" ht="12.75" customHeight="1" outlineLevel="1" x14ac:dyDescent="0.2">
      <c r="A153" s="171"/>
      <c r="B153" s="224"/>
      <c r="C153" s="11" t="s">
        <v>106</v>
      </c>
      <c r="D153" s="396">
        <f t="shared" ref="D153:I153" si="67">D151+D152</f>
        <v>0</v>
      </c>
      <c r="E153" s="396">
        <f t="shared" si="67"/>
        <v>0</v>
      </c>
      <c r="F153" s="396">
        <f t="shared" si="67"/>
        <v>0</v>
      </c>
      <c r="G153" s="396">
        <f t="shared" si="67"/>
        <v>0</v>
      </c>
      <c r="H153" s="396">
        <f t="shared" si="67"/>
        <v>0</v>
      </c>
      <c r="I153" s="396">
        <f t="shared" si="67"/>
        <v>0</v>
      </c>
      <c r="J153" s="171"/>
      <c r="K153" s="171"/>
      <c r="L153" s="171"/>
      <c r="M153" s="171"/>
    </row>
    <row r="154" spans="1:13" ht="12.75" customHeight="1" outlineLevel="1" x14ac:dyDescent="0.2">
      <c r="A154" s="171"/>
      <c r="B154" s="202"/>
      <c r="C154" s="171"/>
      <c r="D154" s="171"/>
      <c r="E154" s="171"/>
      <c r="F154" s="171"/>
      <c r="G154" s="171"/>
      <c r="H154" s="171"/>
      <c r="I154" s="171"/>
      <c r="J154" s="171"/>
      <c r="K154" s="171"/>
      <c r="L154" s="171"/>
      <c r="M154" s="171"/>
    </row>
    <row r="155" spans="1:13" ht="15.75" customHeight="1" outlineLevel="1" x14ac:dyDescent="0.2">
      <c r="A155" s="171"/>
      <c r="B155" s="202"/>
      <c r="C155" s="193"/>
      <c r="D155" s="414">
        <f>FirstYear</f>
        <v>0</v>
      </c>
      <c r="E155" s="414">
        <f>D155+1</f>
        <v>1</v>
      </c>
      <c r="F155" s="414">
        <f>E155+1</f>
        <v>2</v>
      </c>
      <c r="G155" s="414">
        <f>F155+1</f>
        <v>3</v>
      </c>
      <c r="H155" s="414">
        <f>G155+1</f>
        <v>4</v>
      </c>
      <c r="I155" s="414">
        <f>H155+1</f>
        <v>5</v>
      </c>
      <c r="J155" s="171"/>
      <c r="K155" s="171"/>
      <c r="L155" s="171"/>
      <c r="M155" s="171"/>
    </row>
    <row r="156" spans="1:13" ht="12.75" customHeight="1" outlineLevel="1" x14ac:dyDescent="0.2">
      <c r="A156" s="171"/>
      <c r="B156" s="422">
        <v>1</v>
      </c>
      <c r="C156" s="416" t="s">
        <v>105</v>
      </c>
      <c r="D156" s="396">
        <f t="shared" ref="D156:I156" si="68">INDEX(RPBSScriptsChanged,$B148,D149)*INDEX(DPMQCoPayChangedEff,$B148,$B156)</f>
        <v>0</v>
      </c>
      <c r="E156" s="396">
        <f t="shared" si="68"/>
        <v>0</v>
      </c>
      <c r="F156" s="396">
        <f t="shared" si="68"/>
        <v>0</v>
      </c>
      <c r="G156" s="396">
        <f t="shared" si="68"/>
        <v>0</v>
      </c>
      <c r="H156" s="396">
        <f t="shared" si="68"/>
        <v>0</v>
      </c>
      <c r="I156" s="396">
        <f t="shared" si="68"/>
        <v>0</v>
      </c>
      <c r="J156" s="171"/>
      <c r="K156" s="171"/>
      <c r="L156" s="171"/>
      <c r="M156" s="171"/>
    </row>
    <row r="157" spans="1:13" ht="12.75" customHeight="1" outlineLevel="1" x14ac:dyDescent="0.2">
      <c r="A157" s="171"/>
      <c r="B157" s="422">
        <v>4</v>
      </c>
      <c r="C157" s="11" t="s">
        <v>129</v>
      </c>
      <c r="D157" s="396">
        <f t="shared" ref="D157:I157" si="69">INDEX(RPBSScriptsChanged,$B148,D149)*(INDEX(DPMQCoPayChangedEff,$B148,$B157)/INDEX(CoPayCountChanged,$B148))</f>
        <v>0</v>
      </c>
      <c r="E157" s="396">
        <f t="shared" si="69"/>
        <v>0</v>
      </c>
      <c r="F157" s="396">
        <f t="shared" si="69"/>
        <v>0</v>
      </c>
      <c r="G157" s="396">
        <f t="shared" si="69"/>
        <v>0</v>
      </c>
      <c r="H157" s="396">
        <f t="shared" si="69"/>
        <v>0</v>
      </c>
      <c r="I157" s="396">
        <f t="shared" si="69"/>
        <v>0</v>
      </c>
      <c r="J157" s="171"/>
      <c r="K157" s="171"/>
      <c r="L157" s="171"/>
      <c r="M157" s="171"/>
    </row>
    <row r="158" spans="1:13" ht="12.75" customHeight="1" outlineLevel="1" x14ac:dyDescent="0.2">
      <c r="A158" s="171"/>
      <c r="B158" s="224"/>
      <c r="C158" s="11" t="s">
        <v>107</v>
      </c>
      <c r="D158" s="396">
        <f t="shared" ref="D158:I158" si="70">D156+D157</f>
        <v>0</v>
      </c>
      <c r="E158" s="396">
        <f t="shared" si="70"/>
        <v>0</v>
      </c>
      <c r="F158" s="396">
        <f t="shared" si="70"/>
        <v>0</v>
      </c>
      <c r="G158" s="396">
        <f t="shared" si="70"/>
        <v>0</v>
      </c>
      <c r="H158" s="396">
        <f t="shared" si="70"/>
        <v>0</v>
      </c>
      <c r="I158" s="396">
        <f t="shared" si="70"/>
        <v>0</v>
      </c>
      <c r="J158" s="171"/>
      <c r="K158" s="171"/>
      <c r="L158" s="171"/>
      <c r="M158" s="171"/>
    </row>
    <row r="159" spans="1:13" ht="12.75" customHeight="1" x14ac:dyDescent="0.2">
      <c r="A159" s="171"/>
      <c r="B159" s="224"/>
      <c r="C159" s="171"/>
      <c r="D159" s="171"/>
      <c r="E159" s="171"/>
      <c r="F159" s="171"/>
      <c r="G159" s="171"/>
      <c r="H159" s="171"/>
      <c r="I159" s="171"/>
      <c r="J159" s="171"/>
      <c r="K159" s="171"/>
      <c r="L159" s="171"/>
      <c r="M159" s="171"/>
    </row>
    <row r="160" spans="1:13" ht="15" x14ac:dyDescent="0.2">
      <c r="A160" s="171"/>
      <c r="B160" s="423">
        <v>12</v>
      </c>
      <c r="C160" s="221" t="str">
        <f>INDEX(PBSScriptsChanged,B160,1)</f>
        <v>** NOT USED **</v>
      </c>
      <c r="D160" s="207"/>
      <c r="E160" s="207"/>
      <c r="F160" s="207"/>
      <c r="G160" s="207"/>
      <c r="H160" s="207"/>
      <c r="I160" s="207"/>
      <c r="J160" s="188"/>
      <c r="K160" s="188"/>
      <c r="L160" s="782" t="str">
        <f>IF(C160&lt;&gt;MsgNotUsed,"Co-payment group " &amp; INDEX(CoPayBandChanged,B160),"")</f>
        <v/>
      </c>
      <c r="M160" s="782"/>
    </row>
    <row r="161" spans="1:13" ht="12.75" customHeight="1" outlineLevel="1" x14ac:dyDescent="0.2">
      <c r="A161" s="171"/>
      <c r="B161" s="352">
        <f>INDEX(SAChanged,B160,5)</f>
        <v>0</v>
      </c>
      <c r="C161" s="20"/>
      <c r="D161" s="419">
        <v>2</v>
      </c>
      <c r="E161" s="419">
        <v>3</v>
      </c>
      <c r="F161" s="201">
        <v>4</v>
      </c>
      <c r="G161" s="201">
        <v>5</v>
      </c>
      <c r="H161" s="201">
        <v>6</v>
      </c>
      <c r="I161" s="201">
        <v>7</v>
      </c>
      <c r="J161" s="19"/>
      <c r="K161" s="19"/>
      <c r="L161" s="19"/>
      <c r="M161" s="19"/>
    </row>
    <row r="162" spans="1:13" ht="12.75" customHeight="1" outlineLevel="1" x14ac:dyDescent="0.2">
      <c r="A162" s="171"/>
      <c r="B162" s="224"/>
      <c r="C162" s="171"/>
      <c r="D162" s="414">
        <f>FirstYear</f>
        <v>0</v>
      </c>
      <c r="E162" s="414">
        <f>D162+1</f>
        <v>1</v>
      </c>
      <c r="F162" s="414">
        <f>E162+1</f>
        <v>2</v>
      </c>
      <c r="G162" s="414">
        <f>F162+1</f>
        <v>3</v>
      </c>
      <c r="H162" s="414">
        <f>G162+1</f>
        <v>4</v>
      </c>
      <c r="I162" s="414">
        <f>H162+1</f>
        <v>5</v>
      </c>
      <c r="J162" s="171"/>
      <c r="K162" s="171"/>
      <c r="L162" s="171"/>
      <c r="M162" s="171"/>
    </row>
    <row r="163" spans="1:13" ht="12.75" customHeight="1" outlineLevel="1" x14ac:dyDescent="0.2">
      <c r="A163" s="171"/>
      <c r="B163" s="422">
        <v>1</v>
      </c>
      <c r="C163" s="416" t="s">
        <v>104</v>
      </c>
      <c r="D163" s="396">
        <f t="shared" ref="D163:I163" si="71">INDEX(PBSScriptsChanged,$B160,D161)*INDEX(DPMQCoPayChangedEff,$B160,$B163)</f>
        <v>0</v>
      </c>
      <c r="E163" s="396">
        <f t="shared" si="71"/>
        <v>0</v>
      </c>
      <c r="F163" s="396">
        <f t="shared" si="71"/>
        <v>0</v>
      </c>
      <c r="G163" s="396">
        <f t="shared" si="71"/>
        <v>0</v>
      </c>
      <c r="H163" s="396">
        <f t="shared" si="71"/>
        <v>0</v>
      </c>
      <c r="I163" s="396">
        <f t="shared" si="71"/>
        <v>0</v>
      </c>
      <c r="J163" s="171"/>
      <c r="K163" s="171"/>
      <c r="L163" s="171"/>
      <c r="M163" s="171"/>
    </row>
    <row r="164" spans="1:13" ht="12.75" customHeight="1" outlineLevel="1" x14ac:dyDescent="0.2">
      <c r="A164" s="171"/>
      <c r="B164" s="422">
        <v>3</v>
      </c>
      <c r="C164" s="11" t="s">
        <v>129</v>
      </c>
      <c r="D164" s="396">
        <f t="shared" ref="D164:I164" si="72">INDEX(PBSScriptsChanged,$B160,D161)*(INDEX(DPMQCoPayChangedEff,$B160,$B164)/INDEX(CoPayCountChanged,$B160))</f>
        <v>0</v>
      </c>
      <c r="E164" s="396">
        <f t="shared" si="72"/>
        <v>0</v>
      </c>
      <c r="F164" s="396">
        <f t="shared" si="72"/>
        <v>0</v>
      </c>
      <c r="G164" s="396">
        <f t="shared" si="72"/>
        <v>0</v>
      </c>
      <c r="H164" s="396">
        <f t="shared" si="72"/>
        <v>0</v>
      </c>
      <c r="I164" s="396">
        <f t="shared" si="72"/>
        <v>0</v>
      </c>
      <c r="J164" s="171"/>
      <c r="K164" s="763" t="str">
        <f>IF(B161&lt;&gt;0,MsgNote&amp;IF(B161="Yes",INDEX(CoPayMethod,1),INDEX(CoPayMethod,2)),"")</f>
        <v/>
      </c>
      <c r="L164" s="763"/>
      <c r="M164" s="763"/>
    </row>
    <row r="165" spans="1:13" ht="12.75" customHeight="1" outlineLevel="1" x14ac:dyDescent="0.2">
      <c r="A165" s="171"/>
      <c r="B165" s="224"/>
      <c r="C165" s="11" t="s">
        <v>106</v>
      </c>
      <c r="D165" s="396">
        <f t="shared" ref="D165:I165" si="73">D163+D164</f>
        <v>0</v>
      </c>
      <c r="E165" s="396">
        <f t="shared" si="73"/>
        <v>0</v>
      </c>
      <c r="F165" s="396">
        <f t="shared" si="73"/>
        <v>0</v>
      </c>
      <c r="G165" s="396">
        <f t="shared" si="73"/>
        <v>0</v>
      </c>
      <c r="H165" s="396">
        <f t="shared" si="73"/>
        <v>0</v>
      </c>
      <c r="I165" s="396">
        <f t="shared" si="73"/>
        <v>0</v>
      </c>
      <c r="J165" s="171"/>
      <c r="K165" s="171"/>
      <c r="L165" s="171"/>
      <c r="M165" s="171"/>
    </row>
    <row r="166" spans="1:13" ht="12.75" customHeight="1" outlineLevel="1" x14ac:dyDescent="0.2">
      <c r="A166" s="171"/>
      <c r="B166" s="202"/>
      <c r="C166" s="171"/>
      <c r="D166" s="171"/>
      <c r="E166" s="171"/>
      <c r="F166" s="171"/>
      <c r="G166" s="171"/>
      <c r="H166" s="171"/>
      <c r="I166" s="171"/>
      <c r="J166" s="171"/>
      <c r="K166" s="171"/>
      <c r="L166" s="171"/>
      <c r="M166" s="171"/>
    </row>
    <row r="167" spans="1:13" ht="15.75" customHeight="1" outlineLevel="1" x14ac:dyDescent="0.2">
      <c r="A167" s="171"/>
      <c r="B167" s="202"/>
      <c r="C167" s="193"/>
      <c r="D167" s="414">
        <f>FirstYear</f>
        <v>0</v>
      </c>
      <c r="E167" s="414">
        <f>D167+1</f>
        <v>1</v>
      </c>
      <c r="F167" s="414">
        <f>E167+1</f>
        <v>2</v>
      </c>
      <c r="G167" s="414">
        <f>F167+1</f>
        <v>3</v>
      </c>
      <c r="H167" s="414">
        <f>G167+1</f>
        <v>4</v>
      </c>
      <c r="I167" s="414">
        <f>H167+1</f>
        <v>5</v>
      </c>
      <c r="J167" s="171"/>
      <c r="K167" s="171"/>
      <c r="L167" s="171"/>
      <c r="M167" s="171"/>
    </row>
    <row r="168" spans="1:13" ht="12.75" customHeight="1" outlineLevel="1" x14ac:dyDescent="0.2">
      <c r="A168" s="171"/>
      <c r="B168" s="422">
        <v>1</v>
      </c>
      <c r="C168" s="416" t="s">
        <v>105</v>
      </c>
      <c r="D168" s="396">
        <f t="shared" ref="D168:I168" si="74">INDEX(RPBSScriptsChanged,$B160,D161)*INDEX(DPMQCoPayChangedEff,$B160,$B168)</f>
        <v>0</v>
      </c>
      <c r="E168" s="396">
        <f t="shared" si="74"/>
        <v>0</v>
      </c>
      <c r="F168" s="396">
        <f t="shared" si="74"/>
        <v>0</v>
      </c>
      <c r="G168" s="396">
        <f t="shared" si="74"/>
        <v>0</v>
      </c>
      <c r="H168" s="396">
        <f t="shared" si="74"/>
        <v>0</v>
      </c>
      <c r="I168" s="396">
        <f t="shared" si="74"/>
        <v>0</v>
      </c>
      <c r="J168" s="171"/>
      <c r="K168" s="171"/>
      <c r="L168" s="171"/>
      <c r="M168" s="171"/>
    </row>
    <row r="169" spans="1:13" ht="12.75" customHeight="1" outlineLevel="1" x14ac:dyDescent="0.2">
      <c r="A169" s="171"/>
      <c r="B169" s="422">
        <v>4</v>
      </c>
      <c r="C169" s="11" t="s">
        <v>129</v>
      </c>
      <c r="D169" s="396">
        <f t="shared" ref="D169:I169" si="75">INDEX(RPBSScriptsChanged,$B160,D161)*(INDEX(DPMQCoPayChangedEff,$B160,$B169)/INDEX(CoPayCountChanged,$B160))</f>
        <v>0</v>
      </c>
      <c r="E169" s="396">
        <f t="shared" si="75"/>
        <v>0</v>
      </c>
      <c r="F169" s="396">
        <f t="shared" si="75"/>
        <v>0</v>
      </c>
      <c r="G169" s="396">
        <f t="shared" si="75"/>
        <v>0</v>
      </c>
      <c r="H169" s="396">
        <f t="shared" si="75"/>
        <v>0</v>
      </c>
      <c r="I169" s="396">
        <f t="shared" si="75"/>
        <v>0</v>
      </c>
      <c r="J169" s="171"/>
      <c r="K169" s="171"/>
      <c r="L169" s="171"/>
      <c r="M169" s="171"/>
    </row>
    <row r="170" spans="1:13" ht="12.75" customHeight="1" outlineLevel="1" x14ac:dyDescent="0.2">
      <c r="A170" s="171"/>
      <c r="B170" s="224"/>
      <c r="C170" s="11" t="s">
        <v>107</v>
      </c>
      <c r="D170" s="396">
        <f t="shared" ref="D170:I170" si="76">D168+D169</f>
        <v>0</v>
      </c>
      <c r="E170" s="396">
        <f t="shared" si="76"/>
        <v>0</v>
      </c>
      <c r="F170" s="396">
        <f t="shared" si="76"/>
        <v>0</v>
      </c>
      <c r="G170" s="396">
        <f t="shared" si="76"/>
        <v>0</v>
      </c>
      <c r="H170" s="396">
        <f t="shared" si="76"/>
        <v>0</v>
      </c>
      <c r="I170" s="396">
        <f t="shared" si="76"/>
        <v>0</v>
      </c>
      <c r="J170" s="171"/>
      <c r="K170" s="171"/>
      <c r="L170" s="171"/>
      <c r="M170" s="171"/>
    </row>
    <row r="171" spans="1:13" ht="12.75" customHeight="1" x14ac:dyDescent="0.2">
      <c r="A171" s="171"/>
      <c r="B171" s="224"/>
      <c r="C171" s="171"/>
      <c r="D171" s="171"/>
      <c r="E171" s="171"/>
      <c r="F171" s="171"/>
      <c r="G171" s="171"/>
      <c r="H171" s="171"/>
      <c r="I171" s="171"/>
      <c r="J171" s="171"/>
      <c r="K171" s="171"/>
      <c r="L171" s="171"/>
      <c r="M171" s="171"/>
    </row>
    <row r="172" spans="1:13" ht="15" x14ac:dyDescent="0.2">
      <c r="A172" s="171"/>
      <c r="B172" s="423">
        <v>13</v>
      </c>
      <c r="C172" s="221" t="str">
        <f>INDEX(PBSScriptsChanged,B172,1)</f>
        <v>** NOT USED **</v>
      </c>
      <c r="D172" s="207"/>
      <c r="E172" s="207"/>
      <c r="F172" s="207"/>
      <c r="G172" s="207"/>
      <c r="H172" s="207"/>
      <c r="I172" s="207"/>
      <c r="J172" s="188"/>
      <c r="K172" s="188"/>
      <c r="L172" s="782" t="str">
        <f>IF(C172&lt;&gt;MsgNotUsed,"Co-payment group " &amp; INDEX(CoPayBandChanged,B172),"")</f>
        <v/>
      </c>
      <c r="M172" s="782"/>
    </row>
    <row r="173" spans="1:13" ht="12.75" customHeight="1" outlineLevel="1" x14ac:dyDescent="0.2">
      <c r="A173" s="171"/>
      <c r="B173" s="352">
        <f>INDEX(SAChanged,B172,5)</f>
        <v>0</v>
      </c>
      <c r="C173" s="20"/>
      <c r="D173" s="419">
        <v>2</v>
      </c>
      <c r="E173" s="419">
        <v>3</v>
      </c>
      <c r="F173" s="201">
        <v>4</v>
      </c>
      <c r="G173" s="201">
        <v>5</v>
      </c>
      <c r="H173" s="201">
        <v>6</v>
      </c>
      <c r="I173" s="201">
        <v>7</v>
      </c>
      <c r="J173" s="19"/>
      <c r="K173" s="19"/>
      <c r="L173" s="19"/>
      <c r="M173" s="19"/>
    </row>
    <row r="174" spans="1:13" ht="12.75" customHeight="1" outlineLevel="1" x14ac:dyDescent="0.2">
      <c r="A174" s="171"/>
      <c r="B174" s="224"/>
      <c r="C174" s="171"/>
      <c r="D174" s="414">
        <f>FirstYear</f>
        <v>0</v>
      </c>
      <c r="E174" s="414">
        <f>D174+1</f>
        <v>1</v>
      </c>
      <c r="F174" s="414">
        <f>E174+1</f>
        <v>2</v>
      </c>
      <c r="G174" s="414">
        <f>F174+1</f>
        <v>3</v>
      </c>
      <c r="H174" s="414">
        <f>G174+1</f>
        <v>4</v>
      </c>
      <c r="I174" s="414">
        <f>H174+1</f>
        <v>5</v>
      </c>
      <c r="J174" s="171"/>
      <c r="K174" s="171"/>
      <c r="L174" s="171"/>
      <c r="M174" s="171"/>
    </row>
    <row r="175" spans="1:13" ht="12.75" customHeight="1" outlineLevel="1" x14ac:dyDescent="0.2">
      <c r="A175" s="171"/>
      <c r="B175" s="422">
        <v>1</v>
      </c>
      <c r="C175" s="416" t="s">
        <v>104</v>
      </c>
      <c r="D175" s="396">
        <f t="shared" ref="D175:I175" si="77">INDEX(PBSScriptsChanged,$B172,D173)*INDEX(DPMQCoPayChangedEff,$B172,$B175)</f>
        <v>0</v>
      </c>
      <c r="E175" s="396">
        <f t="shared" si="77"/>
        <v>0</v>
      </c>
      <c r="F175" s="396">
        <f t="shared" si="77"/>
        <v>0</v>
      </c>
      <c r="G175" s="396">
        <f t="shared" si="77"/>
        <v>0</v>
      </c>
      <c r="H175" s="396">
        <f t="shared" si="77"/>
        <v>0</v>
      </c>
      <c r="I175" s="396">
        <f t="shared" si="77"/>
        <v>0</v>
      </c>
      <c r="J175" s="171"/>
      <c r="K175" s="171"/>
      <c r="L175" s="171"/>
      <c r="M175" s="171"/>
    </row>
    <row r="176" spans="1:13" ht="12.75" customHeight="1" outlineLevel="1" x14ac:dyDescent="0.2">
      <c r="A176" s="171"/>
      <c r="B176" s="422">
        <v>3</v>
      </c>
      <c r="C176" s="11" t="s">
        <v>129</v>
      </c>
      <c r="D176" s="396">
        <f t="shared" ref="D176:I176" si="78">INDEX(PBSScriptsChanged,$B172,D173)*(INDEX(DPMQCoPayChangedEff,$B172,$B176)/INDEX(CoPayCountChanged,$B172))</f>
        <v>0</v>
      </c>
      <c r="E176" s="396">
        <f t="shared" si="78"/>
        <v>0</v>
      </c>
      <c r="F176" s="396">
        <f t="shared" si="78"/>
        <v>0</v>
      </c>
      <c r="G176" s="396">
        <f t="shared" si="78"/>
        <v>0</v>
      </c>
      <c r="H176" s="396">
        <f t="shared" si="78"/>
        <v>0</v>
      </c>
      <c r="I176" s="396">
        <f t="shared" si="78"/>
        <v>0</v>
      </c>
      <c r="J176" s="171"/>
      <c r="K176" s="763" t="str">
        <f>IF(B173&lt;&gt;0,MsgNote&amp;IF(B173="Yes",INDEX(CoPayMethod,1),INDEX(CoPayMethod,2)),"")</f>
        <v/>
      </c>
      <c r="L176" s="763"/>
      <c r="M176" s="763"/>
    </row>
    <row r="177" spans="1:13" ht="12.75" customHeight="1" outlineLevel="1" x14ac:dyDescent="0.2">
      <c r="A177" s="171"/>
      <c r="B177" s="224"/>
      <c r="C177" s="11" t="s">
        <v>106</v>
      </c>
      <c r="D177" s="396">
        <f t="shared" ref="D177:I177" si="79">D175+D176</f>
        <v>0</v>
      </c>
      <c r="E177" s="396">
        <f t="shared" si="79"/>
        <v>0</v>
      </c>
      <c r="F177" s="396">
        <f t="shared" si="79"/>
        <v>0</v>
      </c>
      <c r="G177" s="396">
        <f t="shared" si="79"/>
        <v>0</v>
      </c>
      <c r="H177" s="396">
        <f t="shared" si="79"/>
        <v>0</v>
      </c>
      <c r="I177" s="396">
        <f t="shared" si="79"/>
        <v>0</v>
      </c>
      <c r="J177" s="171"/>
      <c r="K177" s="171"/>
      <c r="L177" s="171"/>
      <c r="M177" s="171"/>
    </row>
    <row r="178" spans="1:13" ht="12.75" customHeight="1" outlineLevel="1" x14ac:dyDescent="0.2">
      <c r="A178" s="171"/>
      <c r="B178" s="202"/>
      <c r="C178" s="171"/>
      <c r="D178" s="171"/>
      <c r="E178" s="171"/>
      <c r="F178" s="171"/>
      <c r="G178" s="171"/>
      <c r="H178" s="171"/>
      <c r="I178" s="171"/>
      <c r="J178" s="171"/>
      <c r="K178" s="171"/>
      <c r="L178" s="171"/>
      <c r="M178" s="171"/>
    </row>
    <row r="179" spans="1:13" ht="15.75" customHeight="1" outlineLevel="1" x14ac:dyDescent="0.2">
      <c r="A179" s="171"/>
      <c r="B179" s="202"/>
      <c r="C179" s="193"/>
      <c r="D179" s="414">
        <f>FirstYear</f>
        <v>0</v>
      </c>
      <c r="E179" s="414">
        <f>D179+1</f>
        <v>1</v>
      </c>
      <c r="F179" s="414">
        <f>E179+1</f>
        <v>2</v>
      </c>
      <c r="G179" s="414">
        <f>F179+1</f>
        <v>3</v>
      </c>
      <c r="H179" s="414">
        <f>G179+1</f>
        <v>4</v>
      </c>
      <c r="I179" s="414">
        <f>H179+1</f>
        <v>5</v>
      </c>
      <c r="J179" s="171"/>
      <c r="K179" s="171"/>
      <c r="L179" s="171"/>
      <c r="M179" s="171"/>
    </row>
    <row r="180" spans="1:13" ht="12.75" customHeight="1" outlineLevel="1" x14ac:dyDescent="0.2">
      <c r="A180" s="171"/>
      <c r="B180" s="422">
        <v>1</v>
      </c>
      <c r="C180" s="416" t="s">
        <v>105</v>
      </c>
      <c r="D180" s="396">
        <f t="shared" ref="D180:I180" si="80">INDEX(RPBSScriptsChanged,$B172,D173)*INDEX(DPMQCoPayChangedEff,$B172,$B180)</f>
        <v>0</v>
      </c>
      <c r="E180" s="396">
        <f t="shared" si="80"/>
        <v>0</v>
      </c>
      <c r="F180" s="396">
        <f t="shared" si="80"/>
        <v>0</v>
      </c>
      <c r="G180" s="396">
        <f t="shared" si="80"/>
        <v>0</v>
      </c>
      <c r="H180" s="396">
        <f t="shared" si="80"/>
        <v>0</v>
      </c>
      <c r="I180" s="396">
        <f t="shared" si="80"/>
        <v>0</v>
      </c>
      <c r="J180" s="171"/>
      <c r="K180" s="171"/>
      <c r="L180" s="171"/>
      <c r="M180" s="171"/>
    </row>
    <row r="181" spans="1:13" ht="12.75" customHeight="1" outlineLevel="1" x14ac:dyDescent="0.2">
      <c r="A181" s="171"/>
      <c r="B181" s="422">
        <v>4</v>
      </c>
      <c r="C181" s="11" t="s">
        <v>129</v>
      </c>
      <c r="D181" s="396">
        <f t="shared" ref="D181:I181" si="81">INDEX(RPBSScriptsChanged,$B172,D173)*(INDEX(DPMQCoPayChangedEff,$B172,$B181)/INDEX(CoPayCountChanged,$B172))</f>
        <v>0</v>
      </c>
      <c r="E181" s="396">
        <f t="shared" si="81"/>
        <v>0</v>
      </c>
      <c r="F181" s="396">
        <f t="shared" si="81"/>
        <v>0</v>
      </c>
      <c r="G181" s="396">
        <f t="shared" si="81"/>
        <v>0</v>
      </c>
      <c r="H181" s="396">
        <f t="shared" si="81"/>
        <v>0</v>
      </c>
      <c r="I181" s="396">
        <f t="shared" si="81"/>
        <v>0</v>
      </c>
      <c r="J181" s="171"/>
      <c r="K181" s="171"/>
      <c r="L181" s="171"/>
      <c r="M181" s="171"/>
    </row>
    <row r="182" spans="1:13" ht="12.75" customHeight="1" outlineLevel="1" x14ac:dyDescent="0.2">
      <c r="A182" s="171"/>
      <c r="B182" s="224"/>
      <c r="C182" s="11" t="s">
        <v>107</v>
      </c>
      <c r="D182" s="396">
        <f t="shared" ref="D182:I182" si="82">D180+D181</f>
        <v>0</v>
      </c>
      <c r="E182" s="396">
        <f t="shared" si="82"/>
        <v>0</v>
      </c>
      <c r="F182" s="396">
        <f t="shared" si="82"/>
        <v>0</v>
      </c>
      <c r="G182" s="396">
        <f t="shared" si="82"/>
        <v>0</v>
      </c>
      <c r="H182" s="396">
        <f t="shared" si="82"/>
        <v>0</v>
      </c>
      <c r="I182" s="396">
        <f t="shared" si="82"/>
        <v>0</v>
      </c>
      <c r="J182" s="171"/>
      <c r="K182" s="171"/>
      <c r="L182" s="171"/>
      <c r="M182" s="171"/>
    </row>
    <row r="183" spans="1:13" ht="12.75" customHeight="1" x14ac:dyDescent="0.2">
      <c r="A183" s="171"/>
      <c r="B183" s="224"/>
      <c r="C183" s="171"/>
      <c r="D183" s="171"/>
      <c r="E183" s="171"/>
      <c r="F183" s="171"/>
      <c r="G183" s="171"/>
      <c r="H183" s="171"/>
      <c r="I183" s="171"/>
      <c r="J183" s="171"/>
      <c r="K183" s="171"/>
      <c r="L183" s="171"/>
      <c r="M183" s="171"/>
    </row>
    <row r="184" spans="1:13" ht="15" x14ac:dyDescent="0.2">
      <c r="A184" s="171"/>
      <c r="B184" s="423">
        <v>14</v>
      </c>
      <c r="C184" s="221" t="str">
        <f>INDEX(PBSScriptsChanged,B184,1)</f>
        <v>** NOT USED **</v>
      </c>
      <c r="D184" s="207"/>
      <c r="E184" s="207"/>
      <c r="F184" s="207"/>
      <c r="G184" s="207"/>
      <c r="H184" s="207"/>
      <c r="I184" s="207"/>
      <c r="J184" s="188"/>
      <c r="K184" s="188"/>
      <c r="L184" s="782" t="str">
        <f>IF(C184&lt;&gt;MsgNotUsed,"Co-payment group " &amp; INDEX(CoPayBandChanged,B184),"")</f>
        <v/>
      </c>
      <c r="M184" s="782"/>
    </row>
    <row r="185" spans="1:13" ht="12.75" customHeight="1" outlineLevel="1" x14ac:dyDescent="0.2">
      <c r="A185" s="171"/>
      <c r="B185" s="352">
        <f>INDEX(SAChanged,B184,5)</f>
        <v>0</v>
      </c>
      <c r="C185" s="20"/>
      <c r="D185" s="419">
        <v>2</v>
      </c>
      <c r="E185" s="419">
        <v>3</v>
      </c>
      <c r="F185" s="201">
        <v>4</v>
      </c>
      <c r="G185" s="201">
        <v>5</v>
      </c>
      <c r="H185" s="201">
        <v>6</v>
      </c>
      <c r="I185" s="201">
        <v>7</v>
      </c>
      <c r="J185" s="19"/>
      <c r="K185" s="19"/>
      <c r="L185" s="19"/>
      <c r="M185" s="19"/>
    </row>
    <row r="186" spans="1:13" ht="12.75" customHeight="1" outlineLevel="1" x14ac:dyDescent="0.2">
      <c r="A186" s="171"/>
      <c r="B186" s="224"/>
      <c r="C186" s="171"/>
      <c r="D186" s="414">
        <f>FirstYear</f>
        <v>0</v>
      </c>
      <c r="E186" s="414">
        <f>D186+1</f>
        <v>1</v>
      </c>
      <c r="F186" s="414">
        <f>E186+1</f>
        <v>2</v>
      </c>
      <c r="G186" s="414">
        <f>F186+1</f>
        <v>3</v>
      </c>
      <c r="H186" s="414">
        <f>G186+1</f>
        <v>4</v>
      </c>
      <c r="I186" s="414">
        <f>H186+1</f>
        <v>5</v>
      </c>
      <c r="J186" s="171"/>
      <c r="K186" s="171"/>
      <c r="L186" s="171"/>
      <c r="M186" s="171"/>
    </row>
    <row r="187" spans="1:13" ht="12.75" customHeight="1" outlineLevel="1" x14ac:dyDescent="0.2">
      <c r="A187" s="171"/>
      <c r="B187" s="422">
        <v>1</v>
      </c>
      <c r="C187" s="416" t="s">
        <v>104</v>
      </c>
      <c r="D187" s="396">
        <f t="shared" ref="D187:I187" si="83">INDEX(PBSScriptsChanged,$B184,D185)*INDEX(DPMQCoPayChangedEff,$B184,$B187)</f>
        <v>0</v>
      </c>
      <c r="E187" s="396">
        <f t="shared" si="83"/>
        <v>0</v>
      </c>
      <c r="F187" s="396">
        <f t="shared" si="83"/>
        <v>0</v>
      </c>
      <c r="G187" s="396">
        <f t="shared" si="83"/>
        <v>0</v>
      </c>
      <c r="H187" s="396">
        <f t="shared" si="83"/>
        <v>0</v>
      </c>
      <c r="I187" s="396">
        <f t="shared" si="83"/>
        <v>0</v>
      </c>
      <c r="J187" s="171"/>
      <c r="K187" s="171"/>
      <c r="L187" s="171"/>
      <c r="M187" s="171"/>
    </row>
    <row r="188" spans="1:13" ht="12.75" customHeight="1" outlineLevel="1" x14ac:dyDescent="0.2">
      <c r="A188" s="171"/>
      <c r="B188" s="422">
        <v>3</v>
      </c>
      <c r="C188" s="11" t="s">
        <v>129</v>
      </c>
      <c r="D188" s="396">
        <f t="shared" ref="D188:I188" si="84">INDEX(PBSScriptsChanged,$B184,D185)*(INDEX(DPMQCoPayChangedEff,$B184,$B188)/INDEX(CoPayCountChanged,$B184))</f>
        <v>0</v>
      </c>
      <c r="E188" s="396">
        <f t="shared" si="84"/>
        <v>0</v>
      </c>
      <c r="F188" s="396">
        <f t="shared" si="84"/>
        <v>0</v>
      </c>
      <c r="G188" s="396">
        <f t="shared" si="84"/>
        <v>0</v>
      </c>
      <c r="H188" s="396">
        <f t="shared" si="84"/>
        <v>0</v>
      </c>
      <c r="I188" s="396">
        <f t="shared" si="84"/>
        <v>0</v>
      </c>
      <c r="J188" s="171"/>
      <c r="K188" s="763" t="str">
        <f>IF(B185&lt;&gt;0,MsgNote&amp;IF(B185="Yes",INDEX(CoPayMethod,1),INDEX(CoPayMethod,2)),"")</f>
        <v/>
      </c>
      <c r="L188" s="763"/>
      <c r="M188" s="763"/>
    </row>
    <row r="189" spans="1:13" ht="12.75" customHeight="1" outlineLevel="1" x14ac:dyDescent="0.2">
      <c r="A189" s="171"/>
      <c r="B189" s="224"/>
      <c r="C189" s="11" t="s">
        <v>106</v>
      </c>
      <c r="D189" s="396">
        <f t="shared" ref="D189:I189" si="85">D187+D188</f>
        <v>0</v>
      </c>
      <c r="E189" s="396">
        <f t="shared" si="85"/>
        <v>0</v>
      </c>
      <c r="F189" s="396">
        <f t="shared" si="85"/>
        <v>0</v>
      </c>
      <c r="G189" s="396">
        <f t="shared" si="85"/>
        <v>0</v>
      </c>
      <c r="H189" s="396">
        <f t="shared" si="85"/>
        <v>0</v>
      </c>
      <c r="I189" s="396">
        <f t="shared" si="85"/>
        <v>0</v>
      </c>
      <c r="J189" s="171"/>
      <c r="K189" s="171"/>
      <c r="L189" s="171"/>
      <c r="M189" s="171"/>
    </row>
    <row r="190" spans="1:13" ht="12.75" customHeight="1" outlineLevel="1" x14ac:dyDescent="0.2">
      <c r="A190" s="171"/>
      <c r="B190" s="202"/>
      <c r="C190" s="171"/>
      <c r="D190" s="171"/>
      <c r="E190" s="171"/>
      <c r="F190" s="171"/>
      <c r="G190" s="171"/>
      <c r="H190" s="171"/>
      <c r="I190" s="171"/>
      <c r="J190" s="171"/>
      <c r="K190" s="171"/>
      <c r="L190" s="171"/>
      <c r="M190" s="171"/>
    </row>
    <row r="191" spans="1:13" ht="15.75" customHeight="1" outlineLevel="1" x14ac:dyDescent="0.2">
      <c r="A191" s="171"/>
      <c r="B191" s="202"/>
      <c r="C191" s="193"/>
      <c r="D191" s="414">
        <f>FirstYear</f>
        <v>0</v>
      </c>
      <c r="E191" s="414">
        <f>D191+1</f>
        <v>1</v>
      </c>
      <c r="F191" s="414">
        <f>E191+1</f>
        <v>2</v>
      </c>
      <c r="G191" s="414">
        <f>F191+1</f>
        <v>3</v>
      </c>
      <c r="H191" s="414">
        <f>G191+1</f>
        <v>4</v>
      </c>
      <c r="I191" s="414">
        <f>H191+1</f>
        <v>5</v>
      </c>
      <c r="J191" s="171"/>
      <c r="K191" s="171"/>
      <c r="L191" s="171"/>
      <c r="M191" s="171"/>
    </row>
    <row r="192" spans="1:13" ht="12.75" customHeight="1" outlineLevel="1" x14ac:dyDescent="0.2">
      <c r="A192" s="171"/>
      <c r="B192" s="422">
        <v>1</v>
      </c>
      <c r="C192" s="416" t="s">
        <v>105</v>
      </c>
      <c r="D192" s="396">
        <f t="shared" ref="D192:I192" si="86">INDEX(RPBSScriptsChanged,$B184,D185)*INDEX(DPMQCoPayChangedEff,$B184,$B192)</f>
        <v>0</v>
      </c>
      <c r="E192" s="396">
        <f t="shared" si="86"/>
        <v>0</v>
      </c>
      <c r="F192" s="396">
        <f t="shared" si="86"/>
        <v>0</v>
      </c>
      <c r="G192" s="396">
        <f t="shared" si="86"/>
        <v>0</v>
      </c>
      <c r="H192" s="396">
        <f t="shared" si="86"/>
        <v>0</v>
      </c>
      <c r="I192" s="396">
        <f t="shared" si="86"/>
        <v>0</v>
      </c>
      <c r="J192" s="171"/>
      <c r="K192" s="171"/>
      <c r="L192" s="171"/>
      <c r="M192" s="171"/>
    </row>
    <row r="193" spans="1:13" ht="12.75" customHeight="1" outlineLevel="1" x14ac:dyDescent="0.2">
      <c r="A193" s="171"/>
      <c r="B193" s="422">
        <v>4</v>
      </c>
      <c r="C193" s="11" t="s">
        <v>129</v>
      </c>
      <c r="D193" s="396">
        <f t="shared" ref="D193:I193" si="87">INDEX(RPBSScriptsChanged,$B184,D185)*(INDEX(DPMQCoPayChangedEff,$B184,$B193)/INDEX(CoPayCountChanged,$B184))</f>
        <v>0</v>
      </c>
      <c r="E193" s="396">
        <f t="shared" si="87"/>
        <v>0</v>
      </c>
      <c r="F193" s="396">
        <f t="shared" si="87"/>
        <v>0</v>
      </c>
      <c r="G193" s="396">
        <f t="shared" si="87"/>
        <v>0</v>
      </c>
      <c r="H193" s="396">
        <f t="shared" si="87"/>
        <v>0</v>
      </c>
      <c r="I193" s="396">
        <f t="shared" si="87"/>
        <v>0</v>
      </c>
      <c r="J193" s="171"/>
      <c r="K193" s="171"/>
      <c r="L193" s="171"/>
      <c r="M193" s="171"/>
    </row>
    <row r="194" spans="1:13" ht="12.75" customHeight="1" outlineLevel="1" x14ac:dyDescent="0.2">
      <c r="A194" s="171"/>
      <c r="B194" s="224"/>
      <c r="C194" s="11" t="s">
        <v>107</v>
      </c>
      <c r="D194" s="396">
        <f t="shared" ref="D194:I194" si="88">D192+D193</f>
        <v>0</v>
      </c>
      <c r="E194" s="396">
        <f t="shared" si="88"/>
        <v>0</v>
      </c>
      <c r="F194" s="396">
        <f t="shared" si="88"/>
        <v>0</v>
      </c>
      <c r="G194" s="396">
        <f t="shared" si="88"/>
        <v>0</v>
      </c>
      <c r="H194" s="396">
        <f t="shared" si="88"/>
        <v>0</v>
      </c>
      <c r="I194" s="396">
        <f t="shared" si="88"/>
        <v>0</v>
      </c>
      <c r="J194" s="171"/>
      <c r="K194" s="171"/>
      <c r="L194" s="171"/>
      <c r="M194" s="171"/>
    </row>
    <row r="195" spans="1:13" ht="12.75" customHeight="1" x14ac:dyDescent="0.2">
      <c r="A195" s="171"/>
      <c r="B195" s="224"/>
      <c r="C195" s="171"/>
      <c r="D195" s="171"/>
      <c r="E195" s="171"/>
      <c r="F195" s="171"/>
      <c r="G195" s="171"/>
      <c r="H195" s="171"/>
      <c r="I195" s="171"/>
      <c r="J195" s="171"/>
      <c r="K195" s="171"/>
      <c r="L195" s="171"/>
      <c r="M195" s="171"/>
    </row>
    <row r="196" spans="1:13" ht="15" x14ac:dyDescent="0.2">
      <c r="A196" s="171"/>
      <c r="B196" s="423">
        <v>15</v>
      </c>
      <c r="C196" s="221" t="str">
        <f>INDEX(PBSScriptsChanged,B196,1)</f>
        <v>** NOT USED **</v>
      </c>
      <c r="D196" s="207"/>
      <c r="E196" s="207"/>
      <c r="F196" s="207"/>
      <c r="G196" s="207"/>
      <c r="H196" s="207"/>
      <c r="I196" s="207"/>
      <c r="J196" s="188"/>
      <c r="K196" s="188"/>
      <c r="L196" s="782" t="str">
        <f>IF(C196&lt;&gt;MsgNotUsed,"Co-payment group " &amp; INDEX(CoPayBandChanged,B196),"")</f>
        <v/>
      </c>
      <c r="M196" s="782"/>
    </row>
    <row r="197" spans="1:13" ht="12.75" customHeight="1" outlineLevel="1" x14ac:dyDescent="0.2">
      <c r="A197" s="171"/>
      <c r="B197" s="352">
        <f>INDEX(SAChanged,B196,5)</f>
        <v>0</v>
      </c>
      <c r="C197" s="20"/>
      <c r="D197" s="419">
        <v>2</v>
      </c>
      <c r="E197" s="419">
        <v>3</v>
      </c>
      <c r="F197" s="201">
        <v>4</v>
      </c>
      <c r="G197" s="201">
        <v>5</v>
      </c>
      <c r="H197" s="201">
        <v>6</v>
      </c>
      <c r="I197" s="201">
        <v>7</v>
      </c>
      <c r="J197" s="19"/>
      <c r="K197" s="19"/>
      <c r="L197" s="19"/>
      <c r="M197" s="19"/>
    </row>
    <row r="198" spans="1:13" ht="12.75" customHeight="1" outlineLevel="1" x14ac:dyDescent="0.2">
      <c r="A198" s="171"/>
      <c r="B198" s="224"/>
      <c r="C198" s="171"/>
      <c r="D198" s="414">
        <f>FirstYear</f>
        <v>0</v>
      </c>
      <c r="E198" s="414">
        <f>D198+1</f>
        <v>1</v>
      </c>
      <c r="F198" s="414">
        <f>E198+1</f>
        <v>2</v>
      </c>
      <c r="G198" s="414">
        <f>F198+1</f>
        <v>3</v>
      </c>
      <c r="H198" s="414">
        <f>G198+1</f>
        <v>4</v>
      </c>
      <c r="I198" s="414">
        <f>H198+1</f>
        <v>5</v>
      </c>
      <c r="J198" s="171"/>
      <c r="K198" s="171"/>
      <c r="L198" s="171"/>
      <c r="M198" s="171"/>
    </row>
    <row r="199" spans="1:13" ht="12.75" customHeight="1" outlineLevel="1" x14ac:dyDescent="0.2">
      <c r="A199" s="171"/>
      <c r="B199" s="422">
        <v>1</v>
      </c>
      <c r="C199" s="416" t="s">
        <v>104</v>
      </c>
      <c r="D199" s="396">
        <f t="shared" ref="D199:I199" si="89">INDEX(PBSScriptsChanged,$B196,D197)*INDEX(DPMQCoPayChangedEff,$B196,$B199)</f>
        <v>0</v>
      </c>
      <c r="E199" s="396">
        <f t="shared" si="89"/>
        <v>0</v>
      </c>
      <c r="F199" s="396">
        <f t="shared" si="89"/>
        <v>0</v>
      </c>
      <c r="G199" s="396">
        <f t="shared" si="89"/>
        <v>0</v>
      </c>
      <c r="H199" s="396">
        <f t="shared" si="89"/>
        <v>0</v>
      </c>
      <c r="I199" s="396">
        <f t="shared" si="89"/>
        <v>0</v>
      </c>
      <c r="J199" s="171"/>
      <c r="K199" s="171"/>
      <c r="L199" s="171"/>
      <c r="M199" s="171"/>
    </row>
    <row r="200" spans="1:13" ht="12.75" customHeight="1" outlineLevel="1" x14ac:dyDescent="0.2">
      <c r="A200" s="171"/>
      <c r="B200" s="422">
        <v>3</v>
      </c>
      <c r="C200" s="11" t="s">
        <v>129</v>
      </c>
      <c r="D200" s="396">
        <f t="shared" ref="D200:I200" si="90">INDEX(PBSScriptsChanged,$B196,D197)*(INDEX(DPMQCoPayChangedEff,$B196,$B200)/INDEX(CoPayCountChanged,$B196))</f>
        <v>0</v>
      </c>
      <c r="E200" s="396">
        <f t="shared" si="90"/>
        <v>0</v>
      </c>
      <c r="F200" s="396">
        <f t="shared" si="90"/>
        <v>0</v>
      </c>
      <c r="G200" s="396">
        <f t="shared" si="90"/>
        <v>0</v>
      </c>
      <c r="H200" s="396">
        <f t="shared" si="90"/>
        <v>0</v>
      </c>
      <c r="I200" s="396">
        <f t="shared" si="90"/>
        <v>0</v>
      </c>
      <c r="J200" s="171"/>
      <c r="K200" s="763" t="str">
        <f>IF(B197&lt;&gt;0,MsgNote&amp;IF(B197="Yes",INDEX(CoPayMethod,1),INDEX(CoPayMethod,2)),"")</f>
        <v/>
      </c>
      <c r="L200" s="763"/>
      <c r="M200" s="763"/>
    </row>
    <row r="201" spans="1:13" ht="12.75" customHeight="1" outlineLevel="1" x14ac:dyDescent="0.2">
      <c r="A201" s="171"/>
      <c r="B201" s="224"/>
      <c r="C201" s="11" t="s">
        <v>106</v>
      </c>
      <c r="D201" s="396">
        <f t="shared" ref="D201:I201" si="91">D199+D200</f>
        <v>0</v>
      </c>
      <c r="E201" s="396">
        <f t="shared" si="91"/>
        <v>0</v>
      </c>
      <c r="F201" s="396">
        <f t="shared" si="91"/>
        <v>0</v>
      </c>
      <c r="G201" s="396">
        <f t="shared" si="91"/>
        <v>0</v>
      </c>
      <c r="H201" s="396">
        <f t="shared" si="91"/>
        <v>0</v>
      </c>
      <c r="I201" s="396">
        <f t="shared" si="91"/>
        <v>0</v>
      </c>
      <c r="J201" s="171"/>
      <c r="K201" s="171"/>
      <c r="L201" s="171"/>
      <c r="M201" s="171"/>
    </row>
    <row r="202" spans="1:13" ht="12.75" customHeight="1" outlineLevel="1" x14ac:dyDescent="0.2">
      <c r="A202" s="171"/>
      <c r="B202" s="202"/>
      <c r="C202" s="171"/>
      <c r="D202" s="171"/>
      <c r="E202" s="171"/>
      <c r="F202" s="171"/>
      <c r="G202" s="171"/>
      <c r="H202" s="171"/>
      <c r="I202" s="171"/>
      <c r="J202" s="171"/>
      <c r="K202" s="171"/>
      <c r="L202" s="171"/>
      <c r="M202" s="171"/>
    </row>
    <row r="203" spans="1:13" ht="15.75" customHeight="1" outlineLevel="1" x14ac:dyDescent="0.2">
      <c r="A203" s="171"/>
      <c r="B203" s="202"/>
      <c r="C203" s="193"/>
      <c r="D203" s="414">
        <f>FirstYear</f>
        <v>0</v>
      </c>
      <c r="E203" s="414">
        <f>D203+1</f>
        <v>1</v>
      </c>
      <c r="F203" s="414">
        <f>E203+1</f>
        <v>2</v>
      </c>
      <c r="G203" s="414">
        <f>F203+1</f>
        <v>3</v>
      </c>
      <c r="H203" s="414">
        <f>G203+1</f>
        <v>4</v>
      </c>
      <c r="I203" s="414">
        <f>H203+1</f>
        <v>5</v>
      </c>
      <c r="J203" s="171"/>
      <c r="K203" s="171"/>
      <c r="L203" s="171"/>
      <c r="M203" s="171"/>
    </row>
    <row r="204" spans="1:13" ht="12.75" customHeight="1" outlineLevel="1" x14ac:dyDescent="0.2">
      <c r="A204" s="171"/>
      <c r="B204" s="422">
        <v>1</v>
      </c>
      <c r="C204" s="416" t="s">
        <v>105</v>
      </c>
      <c r="D204" s="396">
        <f t="shared" ref="D204:I204" si="92">INDEX(RPBSScriptsChanged,$B196,D197)*INDEX(DPMQCoPayChangedEff,$B196,$B204)</f>
        <v>0</v>
      </c>
      <c r="E204" s="396">
        <f t="shared" si="92"/>
        <v>0</v>
      </c>
      <c r="F204" s="396">
        <f t="shared" si="92"/>
        <v>0</v>
      </c>
      <c r="G204" s="396">
        <f t="shared" si="92"/>
        <v>0</v>
      </c>
      <c r="H204" s="396">
        <f t="shared" si="92"/>
        <v>0</v>
      </c>
      <c r="I204" s="396">
        <f t="shared" si="92"/>
        <v>0</v>
      </c>
      <c r="J204" s="171"/>
      <c r="K204" s="171"/>
      <c r="L204" s="171"/>
      <c r="M204" s="171"/>
    </row>
    <row r="205" spans="1:13" ht="12.75" customHeight="1" outlineLevel="1" x14ac:dyDescent="0.2">
      <c r="A205" s="171"/>
      <c r="B205" s="422">
        <v>4</v>
      </c>
      <c r="C205" s="11" t="s">
        <v>129</v>
      </c>
      <c r="D205" s="396">
        <f t="shared" ref="D205:I205" si="93">INDEX(RPBSScriptsChanged,$B196,D197)*(INDEX(DPMQCoPayChangedEff,$B196,$B205)/INDEX(CoPayCountChanged,$B196))</f>
        <v>0</v>
      </c>
      <c r="E205" s="396">
        <f t="shared" si="93"/>
        <v>0</v>
      </c>
      <c r="F205" s="396">
        <f t="shared" si="93"/>
        <v>0</v>
      </c>
      <c r="G205" s="396">
        <f t="shared" si="93"/>
        <v>0</v>
      </c>
      <c r="H205" s="396">
        <f t="shared" si="93"/>
        <v>0</v>
      </c>
      <c r="I205" s="396">
        <f t="shared" si="93"/>
        <v>0</v>
      </c>
      <c r="J205" s="171"/>
      <c r="K205" s="171"/>
      <c r="L205" s="171"/>
      <c r="M205" s="171"/>
    </row>
    <row r="206" spans="1:13" ht="12.75" customHeight="1" outlineLevel="1" x14ac:dyDescent="0.2">
      <c r="A206" s="171"/>
      <c r="B206" s="224"/>
      <c r="C206" s="11" t="s">
        <v>107</v>
      </c>
      <c r="D206" s="396">
        <f t="shared" ref="D206:I206" si="94">D204+D205</f>
        <v>0</v>
      </c>
      <c r="E206" s="396">
        <f t="shared" si="94"/>
        <v>0</v>
      </c>
      <c r="F206" s="396">
        <f t="shared" si="94"/>
        <v>0</v>
      </c>
      <c r="G206" s="396">
        <f t="shared" si="94"/>
        <v>0</v>
      </c>
      <c r="H206" s="396">
        <f t="shared" si="94"/>
        <v>0</v>
      </c>
      <c r="I206" s="396">
        <f t="shared" si="94"/>
        <v>0</v>
      </c>
      <c r="J206" s="171"/>
      <c r="K206" s="171"/>
      <c r="L206" s="171"/>
      <c r="M206" s="171"/>
    </row>
    <row r="207" spans="1:13" ht="12.75" customHeight="1" x14ac:dyDescent="0.2">
      <c r="A207" s="171"/>
      <c r="B207" s="224"/>
      <c r="C207" s="171"/>
      <c r="D207" s="171"/>
      <c r="E207" s="171"/>
      <c r="F207" s="171"/>
      <c r="G207" s="171"/>
      <c r="H207" s="171"/>
      <c r="I207" s="171"/>
      <c r="J207" s="171"/>
      <c r="K207" s="171"/>
      <c r="L207" s="171"/>
      <c r="M207" s="171"/>
    </row>
    <row r="208" spans="1:13" ht="15" x14ac:dyDescent="0.2">
      <c r="A208" s="171"/>
      <c r="B208" s="423">
        <v>16</v>
      </c>
      <c r="C208" s="221" t="str">
        <f>INDEX(PBSScriptsChanged,B208,1)</f>
        <v>** NOT USED **</v>
      </c>
      <c r="D208" s="207"/>
      <c r="E208" s="207"/>
      <c r="F208" s="207"/>
      <c r="G208" s="207"/>
      <c r="H208" s="207"/>
      <c r="I208" s="207"/>
      <c r="J208" s="188"/>
      <c r="K208" s="188"/>
      <c r="L208" s="782" t="str">
        <f>IF(C208&lt;&gt;MsgNotUsed,"Co-payment group " &amp; INDEX(CoPayBandChanged,B208),"")</f>
        <v/>
      </c>
      <c r="M208" s="782"/>
    </row>
    <row r="209" spans="1:13" ht="12.75" customHeight="1" outlineLevel="1" x14ac:dyDescent="0.2">
      <c r="A209" s="171"/>
      <c r="B209" s="352">
        <f>INDEX(SAChanged,B208,5)</f>
        <v>0</v>
      </c>
      <c r="C209" s="20"/>
      <c r="D209" s="419">
        <v>2</v>
      </c>
      <c r="E209" s="419">
        <v>3</v>
      </c>
      <c r="F209" s="201">
        <v>4</v>
      </c>
      <c r="G209" s="201">
        <v>5</v>
      </c>
      <c r="H209" s="201">
        <v>6</v>
      </c>
      <c r="I209" s="201">
        <v>7</v>
      </c>
      <c r="J209" s="19"/>
      <c r="K209" s="19"/>
      <c r="L209" s="19"/>
      <c r="M209" s="19"/>
    </row>
    <row r="210" spans="1:13" ht="12.75" customHeight="1" outlineLevel="1" x14ac:dyDescent="0.2">
      <c r="A210" s="171"/>
      <c r="B210" s="224"/>
      <c r="C210" s="171"/>
      <c r="D210" s="414">
        <f>FirstYear</f>
        <v>0</v>
      </c>
      <c r="E210" s="414">
        <f>D210+1</f>
        <v>1</v>
      </c>
      <c r="F210" s="414">
        <f>E210+1</f>
        <v>2</v>
      </c>
      <c r="G210" s="414">
        <f>F210+1</f>
        <v>3</v>
      </c>
      <c r="H210" s="414">
        <f>G210+1</f>
        <v>4</v>
      </c>
      <c r="I210" s="414">
        <f>H210+1</f>
        <v>5</v>
      </c>
      <c r="J210" s="171"/>
      <c r="K210" s="171"/>
      <c r="L210" s="171"/>
      <c r="M210" s="171"/>
    </row>
    <row r="211" spans="1:13" ht="12.75" customHeight="1" outlineLevel="1" x14ac:dyDescent="0.2">
      <c r="A211" s="171"/>
      <c r="B211" s="422">
        <v>1</v>
      </c>
      <c r="C211" s="416" t="s">
        <v>104</v>
      </c>
      <c r="D211" s="396">
        <f t="shared" ref="D211:I211" si="95">INDEX(PBSScriptsChanged,$B208,D209)*INDEX(DPMQCoPayChangedEff,$B208,$B211)</f>
        <v>0</v>
      </c>
      <c r="E211" s="396">
        <f t="shared" si="95"/>
        <v>0</v>
      </c>
      <c r="F211" s="396">
        <f t="shared" si="95"/>
        <v>0</v>
      </c>
      <c r="G211" s="396">
        <f t="shared" si="95"/>
        <v>0</v>
      </c>
      <c r="H211" s="396">
        <f t="shared" si="95"/>
        <v>0</v>
      </c>
      <c r="I211" s="396">
        <f t="shared" si="95"/>
        <v>0</v>
      </c>
      <c r="J211" s="171"/>
      <c r="K211" s="171"/>
      <c r="L211" s="171"/>
      <c r="M211" s="171"/>
    </row>
    <row r="212" spans="1:13" ht="12.75" customHeight="1" outlineLevel="1" x14ac:dyDescent="0.2">
      <c r="A212" s="171"/>
      <c r="B212" s="422">
        <v>3</v>
      </c>
      <c r="C212" s="11" t="s">
        <v>129</v>
      </c>
      <c r="D212" s="396">
        <f t="shared" ref="D212:I212" si="96">INDEX(PBSScriptsChanged,$B208,D209)*(INDEX(DPMQCoPayChangedEff,$B208,$B212)/INDEX(CoPayCountChanged,$B208))</f>
        <v>0</v>
      </c>
      <c r="E212" s="396">
        <f t="shared" si="96"/>
        <v>0</v>
      </c>
      <c r="F212" s="396">
        <f t="shared" si="96"/>
        <v>0</v>
      </c>
      <c r="G212" s="396">
        <f t="shared" si="96"/>
        <v>0</v>
      </c>
      <c r="H212" s="396">
        <f t="shared" si="96"/>
        <v>0</v>
      </c>
      <c r="I212" s="396">
        <f t="shared" si="96"/>
        <v>0</v>
      </c>
      <c r="J212" s="171"/>
      <c r="K212" s="763" t="str">
        <f>IF(B209&lt;&gt;0,MsgNote&amp;IF(B209="Yes",INDEX(CoPayMethod,1),INDEX(CoPayMethod,2)),"")</f>
        <v/>
      </c>
      <c r="L212" s="763"/>
      <c r="M212" s="763"/>
    </row>
    <row r="213" spans="1:13" ht="12.75" customHeight="1" outlineLevel="1" x14ac:dyDescent="0.2">
      <c r="A213" s="171"/>
      <c r="B213" s="224"/>
      <c r="C213" s="11" t="s">
        <v>106</v>
      </c>
      <c r="D213" s="396">
        <f t="shared" ref="D213:I213" si="97">D211+D212</f>
        <v>0</v>
      </c>
      <c r="E213" s="396">
        <f t="shared" si="97"/>
        <v>0</v>
      </c>
      <c r="F213" s="396">
        <f t="shared" si="97"/>
        <v>0</v>
      </c>
      <c r="G213" s="396">
        <f t="shared" si="97"/>
        <v>0</v>
      </c>
      <c r="H213" s="396">
        <f t="shared" si="97"/>
        <v>0</v>
      </c>
      <c r="I213" s="396">
        <f t="shared" si="97"/>
        <v>0</v>
      </c>
      <c r="J213" s="171"/>
      <c r="K213" s="171"/>
      <c r="L213" s="171"/>
      <c r="M213" s="171"/>
    </row>
    <row r="214" spans="1:13" ht="12.75" customHeight="1" outlineLevel="1" x14ac:dyDescent="0.2">
      <c r="A214" s="171"/>
      <c r="B214" s="202"/>
      <c r="C214" s="171"/>
      <c r="D214" s="171"/>
      <c r="E214" s="171"/>
      <c r="F214" s="171"/>
      <c r="G214" s="171"/>
      <c r="H214" s="171"/>
      <c r="I214" s="171"/>
      <c r="J214" s="171"/>
      <c r="K214" s="171"/>
      <c r="L214" s="171"/>
      <c r="M214" s="171"/>
    </row>
    <row r="215" spans="1:13" ht="15.75" customHeight="1" outlineLevel="1" x14ac:dyDescent="0.2">
      <c r="A215" s="171"/>
      <c r="B215" s="202"/>
      <c r="C215" s="193"/>
      <c r="D215" s="414">
        <f>FirstYear</f>
        <v>0</v>
      </c>
      <c r="E215" s="414">
        <f>D215+1</f>
        <v>1</v>
      </c>
      <c r="F215" s="414">
        <f>E215+1</f>
        <v>2</v>
      </c>
      <c r="G215" s="414">
        <f>F215+1</f>
        <v>3</v>
      </c>
      <c r="H215" s="414">
        <f>G215+1</f>
        <v>4</v>
      </c>
      <c r="I215" s="414">
        <f>H215+1</f>
        <v>5</v>
      </c>
      <c r="J215" s="171"/>
      <c r="K215" s="171"/>
      <c r="L215" s="171"/>
      <c r="M215" s="171"/>
    </row>
    <row r="216" spans="1:13" ht="12.75" customHeight="1" outlineLevel="1" x14ac:dyDescent="0.2">
      <c r="A216" s="171"/>
      <c r="B216" s="422">
        <v>1</v>
      </c>
      <c r="C216" s="416" t="s">
        <v>105</v>
      </c>
      <c r="D216" s="396">
        <f t="shared" ref="D216:I216" si="98">INDEX(RPBSScriptsChanged,$B208,D209)*INDEX(DPMQCoPayChangedEff,$B208,$B216)</f>
        <v>0</v>
      </c>
      <c r="E216" s="396">
        <f t="shared" si="98"/>
        <v>0</v>
      </c>
      <c r="F216" s="396">
        <f t="shared" si="98"/>
        <v>0</v>
      </c>
      <c r="G216" s="396">
        <f t="shared" si="98"/>
        <v>0</v>
      </c>
      <c r="H216" s="396">
        <f t="shared" si="98"/>
        <v>0</v>
      </c>
      <c r="I216" s="396">
        <f t="shared" si="98"/>
        <v>0</v>
      </c>
      <c r="J216" s="171"/>
      <c r="K216" s="171"/>
      <c r="L216" s="171"/>
      <c r="M216" s="171"/>
    </row>
    <row r="217" spans="1:13" ht="12.75" customHeight="1" outlineLevel="1" x14ac:dyDescent="0.2">
      <c r="A217" s="171"/>
      <c r="B217" s="422">
        <v>4</v>
      </c>
      <c r="C217" s="11" t="s">
        <v>129</v>
      </c>
      <c r="D217" s="396">
        <f t="shared" ref="D217:I217" si="99">INDEX(RPBSScriptsChanged,$B208,D209)*(INDEX(DPMQCoPayChangedEff,$B208,$B217)/INDEX(CoPayCountChanged,$B208))</f>
        <v>0</v>
      </c>
      <c r="E217" s="396">
        <f t="shared" si="99"/>
        <v>0</v>
      </c>
      <c r="F217" s="396">
        <f t="shared" si="99"/>
        <v>0</v>
      </c>
      <c r="G217" s="396">
        <f t="shared" si="99"/>
        <v>0</v>
      </c>
      <c r="H217" s="396">
        <f t="shared" si="99"/>
        <v>0</v>
      </c>
      <c r="I217" s="396">
        <f t="shared" si="99"/>
        <v>0</v>
      </c>
      <c r="J217" s="171"/>
      <c r="K217" s="171"/>
      <c r="L217" s="171"/>
      <c r="M217" s="171"/>
    </row>
    <row r="218" spans="1:13" ht="12.75" customHeight="1" outlineLevel="1" x14ac:dyDescent="0.2">
      <c r="A218" s="171"/>
      <c r="B218" s="224"/>
      <c r="C218" s="11" t="s">
        <v>107</v>
      </c>
      <c r="D218" s="396">
        <f t="shared" ref="D218:I218" si="100">D216+D217</f>
        <v>0</v>
      </c>
      <c r="E218" s="396">
        <f t="shared" si="100"/>
        <v>0</v>
      </c>
      <c r="F218" s="396">
        <f t="shared" si="100"/>
        <v>0</v>
      </c>
      <c r="G218" s="396">
        <f t="shared" si="100"/>
        <v>0</v>
      </c>
      <c r="H218" s="396">
        <f t="shared" si="100"/>
        <v>0</v>
      </c>
      <c r="I218" s="396">
        <f t="shared" si="100"/>
        <v>0</v>
      </c>
      <c r="J218" s="171"/>
      <c r="K218" s="171"/>
      <c r="L218" s="171"/>
      <c r="M218" s="171"/>
    </row>
    <row r="219" spans="1:13" ht="12.75" customHeight="1" x14ac:dyDescent="0.2">
      <c r="A219" s="171"/>
      <c r="B219" s="224"/>
      <c r="C219" s="171"/>
      <c r="D219" s="171"/>
      <c r="E219" s="171"/>
      <c r="F219" s="171"/>
      <c r="G219" s="171"/>
      <c r="H219" s="171"/>
      <c r="I219" s="171"/>
      <c r="J219" s="171"/>
      <c r="K219" s="171"/>
      <c r="L219" s="171"/>
      <c r="M219" s="171"/>
    </row>
    <row r="220" spans="1:13" ht="15" x14ac:dyDescent="0.2">
      <c r="A220" s="171"/>
      <c r="B220" s="423">
        <v>17</v>
      </c>
      <c r="C220" s="221" t="str">
        <f>INDEX(PBSScriptsChanged,B220,1)</f>
        <v>** NOT USED **</v>
      </c>
      <c r="D220" s="207"/>
      <c r="E220" s="207"/>
      <c r="F220" s="207"/>
      <c r="G220" s="207"/>
      <c r="H220" s="207"/>
      <c r="I220" s="207"/>
      <c r="J220" s="188"/>
      <c r="K220" s="188"/>
      <c r="L220" s="782" t="str">
        <f>IF(C220&lt;&gt;MsgNotUsed,"Co-payment group " &amp; INDEX(CoPayBandChanged,B220),"")</f>
        <v/>
      </c>
      <c r="M220" s="782"/>
    </row>
    <row r="221" spans="1:13" ht="12.75" customHeight="1" outlineLevel="1" x14ac:dyDescent="0.2">
      <c r="A221" s="171"/>
      <c r="B221" s="352">
        <f>INDEX(SAChanged,B220,5)</f>
        <v>0</v>
      </c>
      <c r="C221" s="20"/>
      <c r="D221" s="419">
        <v>2</v>
      </c>
      <c r="E221" s="419">
        <v>3</v>
      </c>
      <c r="F221" s="201">
        <v>4</v>
      </c>
      <c r="G221" s="201">
        <v>5</v>
      </c>
      <c r="H221" s="201">
        <v>6</v>
      </c>
      <c r="I221" s="201">
        <v>7</v>
      </c>
      <c r="J221" s="19"/>
      <c r="K221" s="19"/>
      <c r="L221" s="19"/>
      <c r="M221" s="19"/>
    </row>
    <row r="222" spans="1:13" ht="12.75" customHeight="1" outlineLevel="1" x14ac:dyDescent="0.2">
      <c r="A222" s="171"/>
      <c r="B222" s="224"/>
      <c r="C222" s="171"/>
      <c r="D222" s="414">
        <f>FirstYear</f>
        <v>0</v>
      </c>
      <c r="E222" s="414">
        <f>D222+1</f>
        <v>1</v>
      </c>
      <c r="F222" s="414">
        <f>E222+1</f>
        <v>2</v>
      </c>
      <c r="G222" s="414">
        <f>F222+1</f>
        <v>3</v>
      </c>
      <c r="H222" s="414">
        <f>G222+1</f>
        <v>4</v>
      </c>
      <c r="I222" s="414">
        <f>H222+1</f>
        <v>5</v>
      </c>
      <c r="J222" s="171"/>
      <c r="K222" s="171"/>
      <c r="L222" s="171"/>
      <c r="M222" s="171"/>
    </row>
    <row r="223" spans="1:13" ht="12.75" customHeight="1" outlineLevel="1" x14ac:dyDescent="0.2">
      <c r="A223" s="171"/>
      <c r="B223" s="422">
        <v>1</v>
      </c>
      <c r="C223" s="416" t="s">
        <v>104</v>
      </c>
      <c r="D223" s="396">
        <f t="shared" ref="D223:I223" si="101">INDEX(PBSScriptsChanged,$B220,D221)*INDEX(DPMQCoPayChangedEff,$B220,$B223)</f>
        <v>0</v>
      </c>
      <c r="E223" s="396">
        <f t="shared" si="101"/>
        <v>0</v>
      </c>
      <c r="F223" s="396">
        <f t="shared" si="101"/>
        <v>0</v>
      </c>
      <c r="G223" s="396">
        <f t="shared" si="101"/>
        <v>0</v>
      </c>
      <c r="H223" s="396">
        <f t="shared" si="101"/>
        <v>0</v>
      </c>
      <c r="I223" s="396">
        <f t="shared" si="101"/>
        <v>0</v>
      </c>
      <c r="J223" s="171"/>
      <c r="K223" s="171"/>
      <c r="L223" s="171"/>
      <c r="M223" s="171"/>
    </row>
    <row r="224" spans="1:13" ht="12.75" customHeight="1" outlineLevel="1" x14ac:dyDescent="0.2">
      <c r="A224" s="171"/>
      <c r="B224" s="422">
        <v>3</v>
      </c>
      <c r="C224" s="11" t="s">
        <v>129</v>
      </c>
      <c r="D224" s="396">
        <f t="shared" ref="D224:I224" si="102">INDEX(PBSScriptsChanged,$B220,D221)*(INDEX(DPMQCoPayChangedEff,$B220,$B224)/INDEX(CoPayCountChanged,$B220))</f>
        <v>0</v>
      </c>
      <c r="E224" s="396">
        <f t="shared" si="102"/>
        <v>0</v>
      </c>
      <c r="F224" s="396">
        <f t="shared" si="102"/>
        <v>0</v>
      </c>
      <c r="G224" s="396">
        <f t="shared" si="102"/>
        <v>0</v>
      </c>
      <c r="H224" s="396">
        <f t="shared" si="102"/>
        <v>0</v>
      </c>
      <c r="I224" s="396">
        <f t="shared" si="102"/>
        <v>0</v>
      </c>
      <c r="J224" s="171"/>
      <c r="K224" s="763" t="str">
        <f>IF(B221&lt;&gt;0,MsgNote&amp;IF(B221="Yes",INDEX(CoPayMethod,1),INDEX(CoPayMethod,2)),"")</f>
        <v/>
      </c>
      <c r="L224" s="763"/>
      <c r="M224" s="763"/>
    </row>
    <row r="225" spans="1:13" ht="12.75" customHeight="1" outlineLevel="1" x14ac:dyDescent="0.2">
      <c r="A225" s="171"/>
      <c r="B225" s="224"/>
      <c r="C225" s="11" t="s">
        <v>106</v>
      </c>
      <c r="D225" s="396">
        <f t="shared" ref="D225:I225" si="103">D223+D224</f>
        <v>0</v>
      </c>
      <c r="E225" s="396">
        <f t="shared" si="103"/>
        <v>0</v>
      </c>
      <c r="F225" s="396">
        <f t="shared" si="103"/>
        <v>0</v>
      </c>
      <c r="G225" s="396">
        <f t="shared" si="103"/>
        <v>0</v>
      </c>
      <c r="H225" s="396">
        <f t="shared" si="103"/>
        <v>0</v>
      </c>
      <c r="I225" s="396">
        <f t="shared" si="103"/>
        <v>0</v>
      </c>
      <c r="J225" s="171"/>
      <c r="K225" s="171"/>
      <c r="L225" s="171"/>
      <c r="M225" s="171"/>
    </row>
    <row r="226" spans="1:13" ht="12.75" customHeight="1" outlineLevel="1" x14ac:dyDescent="0.2">
      <c r="A226" s="171"/>
      <c r="B226" s="202"/>
      <c r="C226" s="171"/>
      <c r="D226" s="171"/>
      <c r="E226" s="171"/>
      <c r="F226" s="171"/>
      <c r="G226" s="171"/>
      <c r="H226" s="171"/>
      <c r="I226" s="171"/>
      <c r="J226" s="171"/>
      <c r="K226" s="171"/>
      <c r="L226" s="171"/>
      <c r="M226" s="171"/>
    </row>
    <row r="227" spans="1:13" ht="15.75" customHeight="1" outlineLevel="1" x14ac:dyDescent="0.2">
      <c r="A227" s="171"/>
      <c r="B227" s="202"/>
      <c r="C227" s="193"/>
      <c r="D227" s="414">
        <f>FirstYear</f>
        <v>0</v>
      </c>
      <c r="E227" s="414">
        <f>D227+1</f>
        <v>1</v>
      </c>
      <c r="F227" s="414">
        <f>E227+1</f>
        <v>2</v>
      </c>
      <c r="G227" s="414">
        <f>F227+1</f>
        <v>3</v>
      </c>
      <c r="H227" s="414">
        <f>G227+1</f>
        <v>4</v>
      </c>
      <c r="I227" s="414">
        <f>H227+1</f>
        <v>5</v>
      </c>
      <c r="J227" s="171"/>
      <c r="K227" s="171"/>
      <c r="L227" s="171"/>
      <c r="M227" s="171"/>
    </row>
    <row r="228" spans="1:13" ht="12.75" customHeight="1" outlineLevel="1" x14ac:dyDescent="0.2">
      <c r="A228" s="171"/>
      <c r="B228" s="422">
        <v>1</v>
      </c>
      <c r="C228" s="416" t="s">
        <v>105</v>
      </c>
      <c r="D228" s="396">
        <f t="shared" ref="D228:I228" si="104">INDEX(RPBSScriptsChanged,$B220,D221)*INDEX(DPMQCoPayChangedEff,$B220,$B228)</f>
        <v>0</v>
      </c>
      <c r="E228" s="396">
        <f t="shared" si="104"/>
        <v>0</v>
      </c>
      <c r="F228" s="396">
        <f t="shared" si="104"/>
        <v>0</v>
      </c>
      <c r="G228" s="396">
        <f t="shared" si="104"/>
        <v>0</v>
      </c>
      <c r="H228" s="396">
        <f t="shared" si="104"/>
        <v>0</v>
      </c>
      <c r="I228" s="396">
        <f t="shared" si="104"/>
        <v>0</v>
      </c>
      <c r="J228" s="171"/>
      <c r="K228" s="171"/>
      <c r="L228" s="171"/>
      <c r="M228" s="171"/>
    </row>
    <row r="229" spans="1:13" ht="12.75" customHeight="1" outlineLevel="1" x14ac:dyDescent="0.2">
      <c r="A229" s="171"/>
      <c r="B229" s="422">
        <v>4</v>
      </c>
      <c r="C229" s="11" t="s">
        <v>129</v>
      </c>
      <c r="D229" s="396">
        <f t="shared" ref="D229:I229" si="105">INDEX(RPBSScriptsChanged,$B220,D221)*(INDEX(DPMQCoPayChangedEff,$B220,$B229)/INDEX(CoPayCountChanged,$B220))</f>
        <v>0</v>
      </c>
      <c r="E229" s="396">
        <f t="shared" si="105"/>
        <v>0</v>
      </c>
      <c r="F229" s="396">
        <f t="shared" si="105"/>
        <v>0</v>
      </c>
      <c r="G229" s="396">
        <f t="shared" si="105"/>
        <v>0</v>
      </c>
      <c r="H229" s="396">
        <f t="shared" si="105"/>
        <v>0</v>
      </c>
      <c r="I229" s="396">
        <f t="shared" si="105"/>
        <v>0</v>
      </c>
      <c r="J229" s="171"/>
      <c r="K229" s="171"/>
      <c r="L229" s="171"/>
      <c r="M229" s="171"/>
    </row>
    <row r="230" spans="1:13" ht="12.75" customHeight="1" outlineLevel="1" x14ac:dyDescent="0.2">
      <c r="A230" s="171"/>
      <c r="B230" s="224"/>
      <c r="C230" s="11" t="s">
        <v>107</v>
      </c>
      <c r="D230" s="396">
        <f t="shared" ref="D230:I230" si="106">D228+D229</f>
        <v>0</v>
      </c>
      <c r="E230" s="396">
        <f t="shared" si="106"/>
        <v>0</v>
      </c>
      <c r="F230" s="396">
        <f t="shared" si="106"/>
        <v>0</v>
      </c>
      <c r="G230" s="396">
        <f t="shared" si="106"/>
        <v>0</v>
      </c>
      <c r="H230" s="396">
        <f t="shared" si="106"/>
        <v>0</v>
      </c>
      <c r="I230" s="396">
        <f t="shared" si="106"/>
        <v>0</v>
      </c>
      <c r="J230" s="171"/>
      <c r="K230" s="171"/>
      <c r="L230" s="171"/>
      <c r="M230" s="171"/>
    </row>
    <row r="231" spans="1:13" ht="12.75" customHeight="1" x14ac:dyDescent="0.2">
      <c r="A231" s="171"/>
      <c r="B231" s="224"/>
      <c r="C231" s="171"/>
      <c r="D231" s="171"/>
      <c r="E231" s="171"/>
      <c r="F231" s="171"/>
      <c r="G231" s="171"/>
      <c r="H231" s="171"/>
      <c r="I231" s="171"/>
      <c r="J231" s="171"/>
      <c r="K231" s="171"/>
      <c r="L231" s="171"/>
      <c r="M231" s="171"/>
    </row>
    <row r="232" spans="1:13" ht="15" x14ac:dyDescent="0.2">
      <c r="A232" s="171"/>
      <c r="B232" s="423">
        <v>18</v>
      </c>
      <c r="C232" s="221" t="str">
        <f>INDEX(PBSScriptsChanged,B232,1)</f>
        <v>** NOT USED **</v>
      </c>
      <c r="D232" s="207"/>
      <c r="E232" s="207"/>
      <c r="F232" s="207"/>
      <c r="G232" s="207"/>
      <c r="H232" s="207"/>
      <c r="I232" s="207"/>
      <c r="J232" s="188"/>
      <c r="K232" s="188"/>
      <c r="L232" s="782" t="str">
        <f>IF(C232&lt;&gt;MsgNotUsed,"Co-payment group " &amp; INDEX(CoPayBandChanged,B232),"")</f>
        <v/>
      </c>
      <c r="M232" s="782"/>
    </row>
    <row r="233" spans="1:13" ht="12.75" customHeight="1" outlineLevel="1" x14ac:dyDescent="0.2">
      <c r="A233" s="171"/>
      <c r="B233" s="352">
        <f>INDEX(SAChanged,B232,5)</f>
        <v>0</v>
      </c>
      <c r="C233" s="20"/>
      <c r="D233" s="419">
        <v>2</v>
      </c>
      <c r="E233" s="419">
        <v>3</v>
      </c>
      <c r="F233" s="201">
        <v>4</v>
      </c>
      <c r="G233" s="201">
        <v>5</v>
      </c>
      <c r="H233" s="201">
        <v>6</v>
      </c>
      <c r="I233" s="201">
        <v>7</v>
      </c>
      <c r="J233" s="19"/>
      <c r="K233" s="19"/>
      <c r="L233" s="19"/>
      <c r="M233" s="19"/>
    </row>
    <row r="234" spans="1:13" ht="12.75" customHeight="1" outlineLevel="1" x14ac:dyDescent="0.2">
      <c r="A234" s="171"/>
      <c r="B234" s="224"/>
      <c r="C234" s="171"/>
      <c r="D234" s="414">
        <f>FirstYear</f>
        <v>0</v>
      </c>
      <c r="E234" s="414">
        <f>D234+1</f>
        <v>1</v>
      </c>
      <c r="F234" s="414">
        <f>E234+1</f>
        <v>2</v>
      </c>
      <c r="G234" s="414">
        <f>F234+1</f>
        <v>3</v>
      </c>
      <c r="H234" s="414">
        <f>G234+1</f>
        <v>4</v>
      </c>
      <c r="I234" s="414">
        <f>H234+1</f>
        <v>5</v>
      </c>
      <c r="J234" s="171"/>
      <c r="K234" s="171"/>
      <c r="L234" s="171"/>
      <c r="M234" s="171"/>
    </row>
    <row r="235" spans="1:13" ht="12.75" customHeight="1" outlineLevel="1" x14ac:dyDescent="0.2">
      <c r="A235" s="171"/>
      <c r="B235" s="422">
        <v>1</v>
      </c>
      <c r="C235" s="416" t="s">
        <v>104</v>
      </c>
      <c r="D235" s="396">
        <f t="shared" ref="D235:I235" si="107">INDEX(PBSScriptsChanged,$B232,D233)*INDEX(DPMQCoPayChangedEff,$B232,$B235)</f>
        <v>0</v>
      </c>
      <c r="E235" s="396">
        <f t="shared" si="107"/>
        <v>0</v>
      </c>
      <c r="F235" s="396">
        <f t="shared" si="107"/>
        <v>0</v>
      </c>
      <c r="G235" s="396">
        <f t="shared" si="107"/>
        <v>0</v>
      </c>
      <c r="H235" s="396">
        <f t="shared" si="107"/>
        <v>0</v>
      </c>
      <c r="I235" s="396">
        <f t="shared" si="107"/>
        <v>0</v>
      </c>
      <c r="J235" s="171"/>
      <c r="K235" s="171"/>
      <c r="L235" s="171"/>
      <c r="M235" s="171"/>
    </row>
    <row r="236" spans="1:13" ht="12.75" customHeight="1" outlineLevel="1" x14ac:dyDescent="0.2">
      <c r="A236" s="171"/>
      <c r="B236" s="422">
        <v>3</v>
      </c>
      <c r="C236" s="11" t="s">
        <v>129</v>
      </c>
      <c r="D236" s="396">
        <f t="shared" ref="D236:I236" si="108">INDEX(PBSScriptsChanged,$B232,D233)*(INDEX(DPMQCoPayChangedEff,$B232,$B236)/INDEX(CoPayCountChanged,$B232))</f>
        <v>0</v>
      </c>
      <c r="E236" s="396">
        <f t="shared" si="108"/>
        <v>0</v>
      </c>
      <c r="F236" s="396">
        <f t="shared" si="108"/>
        <v>0</v>
      </c>
      <c r="G236" s="396">
        <f t="shared" si="108"/>
        <v>0</v>
      </c>
      <c r="H236" s="396">
        <f t="shared" si="108"/>
        <v>0</v>
      </c>
      <c r="I236" s="396">
        <f t="shared" si="108"/>
        <v>0</v>
      </c>
      <c r="J236" s="171"/>
      <c r="K236" s="763" t="str">
        <f>IF(B233&lt;&gt;0,MsgNote&amp;IF(B233="Yes",INDEX(CoPayMethod,1),INDEX(CoPayMethod,2)),"")</f>
        <v/>
      </c>
      <c r="L236" s="763"/>
      <c r="M236" s="763"/>
    </row>
    <row r="237" spans="1:13" ht="12.75" customHeight="1" outlineLevel="1" x14ac:dyDescent="0.2">
      <c r="A237" s="171"/>
      <c r="B237" s="224"/>
      <c r="C237" s="11" t="s">
        <v>106</v>
      </c>
      <c r="D237" s="396">
        <f t="shared" ref="D237:I237" si="109">D235+D236</f>
        <v>0</v>
      </c>
      <c r="E237" s="396">
        <f t="shared" si="109"/>
        <v>0</v>
      </c>
      <c r="F237" s="396">
        <f t="shared" si="109"/>
        <v>0</v>
      </c>
      <c r="G237" s="396">
        <f t="shared" si="109"/>
        <v>0</v>
      </c>
      <c r="H237" s="396">
        <f t="shared" si="109"/>
        <v>0</v>
      </c>
      <c r="I237" s="396">
        <f t="shared" si="109"/>
        <v>0</v>
      </c>
      <c r="J237" s="171"/>
      <c r="K237" s="171"/>
      <c r="L237" s="171"/>
      <c r="M237" s="171"/>
    </row>
    <row r="238" spans="1:13" ht="12.75" customHeight="1" outlineLevel="1" x14ac:dyDescent="0.2">
      <c r="A238" s="171"/>
      <c r="B238" s="202"/>
      <c r="C238" s="171"/>
      <c r="D238" s="171"/>
      <c r="E238" s="171"/>
      <c r="F238" s="171"/>
      <c r="G238" s="171"/>
      <c r="H238" s="171"/>
      <c r="I238" s="171"/>
      <c r="J238" s="171"/>
      <c r="K238" s="171"/>
      <c r="L238" s="171"/>
      <c r="M238" s="171"/>
    </row>
    <row r="239" spans="1:13" ht="15.75" customHeight="1" outlineLevel="1" x14ac:dyDescent="0.2">
      <c r="A239" s="171"/>
      <c r="B239" s="202"/>
      <c r="C239" s="193"/>
      <c r="D239" s="414">
        <f>FirstYear</f>
        <v>0</v>
      </c>
      <c r="E239" s="414">
        <f>D239+1</f>
        <v>1</v>
      </c>
      <c r="F239" s="414">
        <f>E239+1</f>
        <v>2</v>
      </c>
      <c r="G239" s="414">
        <f>F239+1</f>
        <v>3</v>
      </c>
      <c r="H239" s="414">
        <f>G239+1</f>
        <v>4</v>
      </c>
      <c r="I239" s="414">
        <f>H239+1</f>
        <v>5</v>
      </c>
      <c r="J239" s="171"/>
      <c r="K239" s="171"/>
      <c r="L239" s="171"/>
      <c r="M239" s="171"/>
    </row>
    <row r="240" spans="1:13" ht="12.75" customHeight="1" outlineLevel="1" x14ac:dyDescent="0.2">
      <c r="A240" s="171"/>
      <c r="B240" s="422">
        <v>1</v>
      </c>
      <c r="C240" s="416" t="s">
        <v>105</v>
      </c>
      <c r="D240" s="396">
        <f t="shared" ref="D240:I240" si="110">INDEX(RPBSScriptsChanged,$B232,D233)*INDEX(DPMQCoPayChangedEff,$B232,$B240)</f>
        <v>0</v>
      </c>
      <c r="E240" s="396">
        <f t="shared" si="110"/>
        <v>0</v>
      </c>
      <c r="F240" s="396">
        <f t="shared" si="110"/>
        <v>0</v>
      </c>
      <c r="G240" s="396">
        <f t="shared" si="110"/>
        <v>0</v>
      </c>
      <c r="H240" s="396">
        <f t="shared" si="110"/>
        <v>0</v>
      </c>
      <c r="I240" s="396">
        <f t="shared" si="110"/>
        <v>0</v>
      </c>
      <c r="J240" s="171"/>
      <c r="K240" s="171"/>
      <c r="L240" s="171"/>
      <c r="M240" s="171"/>
    </row>
    <row r="241" spans="1:13" ht="12.75" customHeight="1" outlineLevel="1" x14ac:dyDescent="0.2">
      <c r="A241" s="171"/>
      <c r="B241" s="422">
        <v>4</v>
      </c>
      <c r="C241" s="11" t="s">
        <v>129</v>
      </c>
      <c r="D241" s="396">
        <f t="shared" ref="D241:I241" si="111">INDEX(RPBSScriptsChanged,$B232,D233)*(INDEX(DPMQCoPayChangedEff,$B232,$B241)/INDEX(CoPayCountChanged,$B232))</f>
        <v>0</v>
      </c>
      <c r="E241" s="396">
        <f t="shared" si="111"/>
        <v>0</v>
      </c>
      <c r="F241" s="396">
        <f t="shared" si="111"/>
        <v>0</v>
      </c>
      <c r="G241" s="396">
        <f t="shared" si="111"/>
        <v>0</v>
      </c>
      <c r="H241" s="396">
        <f t="shared" si="111"/>
        <v>0</v>
      </c>
      <c r="I241" s="396">
        <f t="shared" si="111"/>
        <v>0</v>
      </c>
      <c r="J241" s="171"/>
      <c r="K241" s="171"/>
      <c r="L241" s="171"/>
      <c r="M241" s="171"/>
    </row>
    <row r="242" spans="1:13" ht="12.75" customHeight="1" outlineLevel="1" x14ac:dyDescent="0.2">
      <c r="A242" s="171"/>
      <c r="B242" s="224"/>
      <c r="C242" s="11" t="s">
        <v>107</v>
      </c>
      <c r="D242" s="396">
        <f t="shared" ref="D242:I242" si="112">D240+D241</f>
        <v>0</v>
      </c>
      <c r="E242" s="396">
        <f t="shared" si="112"/>
        <v>0</v>
      </c>
      <c r="F242" s="396">
        <f t="shared" si="112"/>
        <v>0</v>
      </c>
      <c r="G242" s="396">
        <f t="shared" si="112"/>
        <v>0</v>
      </c>
      <c r="H242" s="396">
        <f t="shared" si="112"/>
        <v>0</v>
      </c>
      <c r="I242" s="396">
        <f t="shared" si="112"/>
        <v>0</v>
      </c>
      <c r="J242" s="171"/>
      <c r="K242" s="171"/>
      <c r="L242" s="171"/>
      <c r="M242" s="171"/>
    </row>
    <row r="243" spans="1:13" ht="12.75" customHeight="1" x14ac:dyDescent="0.2">
      <c r="A243" s="171"/>
      <c r="B243" s="224"/>
      <c r="C243" s="171"/>
      <c r="D243" s="171"/>
      <c r="E243" s="171"/>
      <c r="F243" s="171"/>
      <c r="G243" s="171"/>
      <c r="H243" s="171"/>
      <c r="I243" s="171"/>
      <c r="J243" s="171"/>
      <c r="K243" s="171"/>
      <c r="L243" s="171"/>
      <c r="M243" s="171"/>
    </row>
    <row r="244" spans="1:13" ht="15" x14ac:dyDescent="0.2">
      <c r="A244" s="171"/>
      <c r="B244" s="423">
        <v>19</v>
      </c>
      <c r="C244" s="221" t="str">
        <f>INDEX(PBSScriptsChanged,B244,1)</f>
        <v>** NOT USED **</v>
      </c>
      <c r="D244" s="207"/>
      <c r="E244" s="207"/>
      <c r="F244" s="207"/>
      <c r="G244" s="207"/>
      <c r="H244" s="207"/>
      <c r="I244" s="207"/>
      <c r="J244" s="188"/>
      <c r="K244" s="188"/>
      <c r="L244" s="782" t="str">
        <f>IF(C244&lt;&gt;MsgNotUsed,"Co-payment group " &amp; INDEX(CoPayBandChanged,B244),"")</f>
        <v/>
      </c>
      <c r="M244" s="782"/>
    </row>
    <row r="245" spans="1:13" ht="12.75" customHeight="1" outlineLevel="1" x14ac:dyDescent="0.2">
      <c r="A245" s="171"/>
      <c r="B245" s="352">
        <f>INDEX(SAChanged,B244,5)</f>
        <v>0</v>
      </c>
      <c r="C245" s="20"/>
      <c r="D245" s="419">
        <v>2</v>
      </c>
      <c r="E245" s="419">
        <v>3</v>
      </c>
      <c r="F245" s="201">
        <v>4</v>
      </c>
      <c r="G245" s="201">
        <v>5</v>
      </c>
      <c r="H245" s="201">
        <v>6</v>
      </c>
      <c r="I245" s="201">
        <v>7</v>
      </c>
      <c r="J245" s="19"/>
      <c r="K245" s="19"/>
      <c r="L245" s="19"/>
      <c r="M245" s="19"/>
    </row>
    <row r="246" spans="1:13" ht="12.75" customHeight="1" outlineLevel="1" x14ac:dyDescent="0.2">
      <c r="A246" s="171"/>
      <c r="B246" s="224"/>
      <c r="C246" s="171"/>
      <c r="D246" s="414">
        <f>FirstYear</f>
        <v>0</v>
      </c>
      <c r="E246" s="414">
        <f>D246+1</f>
        <v>1</v>
      </c>
      <c r="F246" s="414">
        <f>E246+1</f>
        <v>2</v>
      </c>
      <c r="G246" s="414">
        <f>F246+1</f>
        <v>3</v>
      </c>
      <c r="H246" s="414">
        <f>G246+1</f>
        <v>4</v>
      </c>
      <c r="I246" s="414">
        <f>H246+1</f>
        <v>5</v>
      </c>
      <c r="J246" s="171"/>
      <c r="K246" s="171"/>
      <c r="L246" s="171"/>
      <c r="M246" s="171"/>
    </row>
    <row r="247" spans="1:13" ht="12.75" customHeight="1" outlineLevel="1" x14ac:dyDescent="0.2">
      <c r="A247" s="171"/>
      <c r="B247" s="422">
        <v>1</v>
      </c>
      <c r="C247" s="416" t="s">
        <v>104</v>
      </c>
      <c r="D247" s="396">
        <f t="shared" ref="D247:I247" si="113">INDEX(PBSScriptsChanged,$B244,D245)*INDEX(DPMQCoPayChangedEff,$B244,$B247)</f>
        <v>0</v>
      </c>
      <c r="E247" s="396">
        <f t="shared" si="113"/>
        <v>0</v>
      </c>
      <c r="F247" s="396">
        <f t="shared" si="113"/>
        <v>0</v>
      </c>
      <c r="G247" s="396">
        <f t="shared" si="113"/>
        <v>0</v>
      </c>
      <c r="H247" s="396">
        <f t="shared" si="113"/>
        <v>0</v>
      </c>
      <c r="I247" s="396">
        <f t="shared" si="113"/>
        <v>0</v>
      </c>
      <c r="J247" s="171"/>
      <c r="K247" s="171"/>
      <c r="L247" s="171"/>
      <c r="M247" s="171"/>
    </row>
    <row r="248" spans="1:13" ht="12.75" customHeight="1" outlineLevel="1" x14ac:dyDescent="0.2">
      <c r="A248" s="171"/>
      <c r="B248" s="422">
        <v>3</v>
      </c>
      <c r="C248" s="11" t="s">
        <v>129</v>
      </c>
      <c r="D248" s="396">
        <f t="shared" ref="D248:I248" si="114">INDEX(PBSScriptsChanged,$B244,D245)*(INDEX(DPMQCoPayChangedEff,$B244,$B248)/INDEX(CoPayCountChanged,$B244))</f>
        <v>0</v>
      </c>
      <c r="E248" s="396">
        <f t="shared" si="114"/>
        <v>0</v>
      </c>
      <c r="F248" s="396">
        <f t="shared" si="114"/>
        <v>0</v>
      </c>
      <c r="G248" s="396">
        <f t="shared" si="114"/>
        <v>0</v>
      </c>
      <c r="H248" s="396">
        <f t="shared" si="114"/>
        <v>0</v>
      </c>
      <c r="I248" s="396">
        <f t="shared" si="114"/>
        <v>0</v>
      </c>
      <c r="J248" s="171"/>
      <c r="K248" s="763" t="str">
        <f>IF(B245&lt;&gt;0,MsgNote&amp;IF(B245="Yes",INDEX(CoPayMethod,1),INDEX(CoPayMethod,2)),"")</f>
        <v/>
      </c>
      <c r="L248" s="763"/>
      <c r="M248" s="763"/>
    </row>
    <row r="249" spans="1:13" ht="12.75" customHeight="1" outlineLevel="1" x14ac:dyDescent="0.2">
      <c r="A249" s="171"/>
      <c r="B249" s="224"/>
      <c r="C249" s="11" t="s">
        <v>106</v>
      </c>
      <c r="D249" s="396">
        <f t="shared" ref="D249:I249" si="115">D247+D248</f>
        <v>0</v>
      </c>
      <c r="E249" s="396">
        <f t="shared" si="115"/>
        <v>0</v>
      </c>
      <c r="F249" s="396">
        <f t="shared" si="115"/>
        <v>0</v>
      </c>
      <c r="G249" s="396">
        <f t="shared" si="115"/>
        <v>0</v>
      </c>
      <c r="H249" s="396">
        <f t="shared" si="115"/>
        <v>0</v>
      </c>
      <c r="I249" s="396">
        <f t="shared" si="115"/>
        <v>0</v>
      </c>
      <c r="J249" s="171"/>
      <c r="K249" s="171"/>
      <c r="L249" s="171"/>
      <c r="M249" s="171"/>
    </row>
    <row r="250" spans="1:13" ht="12.75" customHeight="1" outlineLevel="1" x14ac:dyDescent="0.2">
      <c r="A250" s="171"/>
      <c r="B250" s="202"/>
      <c r="C250" s="171"/>
      <c r="D250" s="171"/>
      <c r="E250" s="171"/>
      <c r="F250" s="171"/>
      <c r="G250" s="171"/>
      <c r="H250" s="171"/>
      <c r="I250" s="171"/>
      <c r="J250" s="171"/>
      <c r="K250" s="171"/>
      <c r="L250" s="171"/>
      <c r="M250" s="171"/>
    </row>
    <row r="251" spans="1:13" ht="15.75" customHeight="1" outlineLevel="1" x14ac:dyDescent="0.2">
      <c r="A251" s="171"/>
      <c r="B251" s="202"/>
      <c r="C251" s="193"/>
      <c r="D251" s="414">
        <f>FirstYear</f>
        <v>0</v>
      </c>
      <c r="E251" s="414">
        <f>D251+1</f>
        <v>1</v>
      </c>
      <c r="F251" s="414">
        <f>E251+1</f>
        <v>2</v>
      </c>
      <c r="G251" s="414">
        <f>F251+1</f>
        <v>3</v>
      </c>
      <c r="H251" s="414">
        <f>G251+1</f>
        <v>4</v>
      </c>
      <c r="I251" s="414">
        <f>H251+1</f>
        <v>5</v>
      </c>
      <c r="J251" s="171"/>
      <c r="K251" s="171"/>
      <c r="L251" s="171"/>
      <c r="M251" s="171"/>
    </row>
    <row r="252" spans="1:13" ht="12.75" customHeight="1" outlineLevel="1" x14ac:dyDescent="0.2">
      <c r="A252" s="171"/>
      <c r="B252" s="422">
        <v>1</v>
      </c>
      <c r="C252" s="416" t="s">
        <v>105</v>
      </c>
      <c r="D252" s="396">
        <f t="shared" ref="D252:I252" si="116">INDEX(RPBSScriptsChanged,$B244,D245)*INDEX(DPMQCoPayChangedEff,$B244,$B252)</f>
        <v>0</v>
      </c>
      <c r="E252" s="396">
        <f t="shared" si="116"/>
        <v>0</v>
      </c>
      <c r="F252" s="396">
        <f t="shared" si="116"/>
        <v>0</v>
      </c>
      <c r="G252" s="396">
        <f t="shared" si="116"/>
        <v>0</v>
      </c>
      <c r="H252" s="396">
        <f t="shared" si="116"/>
        <v>0</v>
      </c>
      <c r="I252" s="396">
        <f t="shared" si="116"/>
        <v>0</v>
      </c>
      <c r="J252" s="171"/>
      <c r="K252" s="171"/>
      <c r="L252" s="171"/>
      <c r="M252" s="171"/>
    </row>
    <row r="253" spans="1:13" ht="12.75" customHeight="1" outlineLevel="1" x14ac:dyDescent="0.2">
      <c r="A253" s="171"/>
      <c r="B253" s="422">
        <v>4</v>
      </c>
      <c r="C253" s="11" t="s">
        <v>129</v>
      </c>
      <c r="D253" s="396">
        <f t="shared" ref="D253:I253" si="117">INDEX(RPBSScriptsChanged,$B244,D245)*(INDEX(DPMQCoPayChangedEff,$B244,$B253)/INDEX(CoPayCountChanged,$B244))</f>
        <v>0</v>
      </c>
      <c r="E253" s="396">
        <f t="shared" si="117"/>
        <v>0</v>
      </c>
      <c r="F253" s="396">
        <f t="shared" si="117"/>
        <v>0</v>
      </c>
      <c r="G253" s="396">
        <f t="shared" si="117"/>
        <v>0</v>
      </c>
      <c r="H253" s="396">
        <f t="shared" si="117"/>
        <v>0</v>
      </c>
      <c r="I253" s="396">
        <f t="shared" si="117"/>
        <v>0</v>
      </c>
      <c r="J253" s="171"/>
      <c r="K253" s="171"/>
      <c r="L253" s="171"/>
      <c r="M253" s="171"/>
    </row>
    <row r="254" spans="1:13" ht="12.75" customHeight="1" outlineLevel="1" x14ac:dyDescent="0.2">
      <c r="A254" s="171"/>
      <c r="B254" s="224"/>
      <c r="C254" s="11" t="s">
        <v>107</v>
      </c>
      <c r="D254" s="396">
        <f t="shared" ref="D254:I254" si="118">D252+D253</f>
        <v>0</v>
      </c>
      <c r="E254" s="396">
        <f t="shared" si="118"/>
        <v>0</v>
      </c>
      <c r="F254" s="396">
        <f t="shared" si="118"/>
        <v>0</v>
      </c>
      <c r="G254" s="396">
        <f t="shared" si="118"/>
        <v>0</v>
      </c>
      <c r="H254" s="396">
        <f t="shared" si="118"/>
        <v>0</v>
      </c>
      <c r="I254" s="396">
        <f t="shared" si="118"/>
        <v>0</v>
      </c>
      <c r="J254" s="171"/>
      <c r="K254" s="171"/>
      <c r="L254" s="171"/>
      <c r="M254" s="171"/>
    </row>
    <row r="255" spans="1:13" ht="12.75" customHeight="1" x14ac:dyDescent="0.2">
      <c r="A255" s="171"/>
      <c r="B255" s="224"/>
      <c r="C255" s="171"/>
      <c r="D255" s="171"/>
      <c r="E255" s="171"/>
      <c r="F255" s="171"/>
      <c r="G255" s="171"/>
      <c r="H255" s="171"/>
      <c r="I255" s="171"/>
      <c r="J255" s="171"/>
      <c r="K255" s="171"/>
      <c r="L255" s="171"/>
      <c r="M255" s="171"/>
    </row>
    <row r="256" spans="1:13" ht="15" x14ac:dyDescent="0.2">
      <c r="A256" s="171"/>
      <c r="B256" s="423">
        <v>20</v>
      </c>
      <c r="C256" s="221" t="str">
        <f>INDEX(PBSScriptsChanged,B256,1)</f>
        <v>** NOT USED **</v>
      </c>
      <c r="D256" s="207"/>
      <c r="E256" s="207"/>
      <c r="F256" s="207"/>
      <c r="G256" s="207"/>
      <c r="H256" s="207"/>
      <c r="I256" s="207"/>
      <c r="J256" s="188"/>
      <c r="K256" s="188"/>
      <c r="L256" s="782" t="str">
        <f>IF(C256&lt;&gt;MsgNotUsed,"Co-payment group " &amp; INDEX(CoPayBandChanged,B256),"")</f>
        <v/>
      </c>
      <c r="M256" s="782"/>
    </row>
    <row r="257" spans="1:13" ht="12.75" customHeight="1" outlineLevel="1" x14ac:dyDescent="0.2">
      <c r="A257" s="171"/>
      <c r="B257" s="352">
        <f>INDEX(SAChanged,B256,5)</f>
        <v>0</v>
      </c>
      <c r="C257" s="20"/>
      <c r="D257" s="419">
        <v>2</v>
      </c>
      <c r="E257" s="419">
        <v>3</v>
      </c>
      <c r="F257" s="201">
        <v>4</v>
      </c>
      <c r="G257" s="201">
        <v>5</v>
      </c>
      <c r="H257" s="201">
        <v>6</v>
      </c>
      <c r="I257" s="201">
        <v>7</v>
      </c>
      <c r="J257" s="19"/>
      <c r="K257" s="19"/>
      <c r="L257" s="19"/>
      <c r="M257" s="19"/>
    </row>
    <row r="258" spans="1:13" ht="12.75" customHeight="1" outlineLevel="1" x14ac:dyDescent="0.2">
      <c r="A258" s="171"/>
      <c r="B258" s="224"/>
      <c r="C258" s="171"/>
      <c r="D258" s="414">
        <f>FirstYear</f>
        <v>0</v>
      </c>
      <c r="E258" s="414">
        <f>D258+1</f>
        <v>1</v>
      </c>
      <c r="F258" s="414">
        <f>E258+1</f>
        <v>2</v>
      </c>
      <c r="G258" s="414">
        <f>F258+1</f>
        <v>3</v>
      </c>
      <c r="H258" s="414">
        <f>G258+1</f>
        <v>4</v>
      </c>
      <c r="I258" s="414">
        <f>H258+1</f>
        <v>5</v>
      </c>
      <c r="J258" s="171"/>
      <c r="K258" s="171"/>
      <c r="L258" s="171"/>
      <c r="M258" s="171"/>
    </row>
    <row r="259" spans="1:13" ht="12.75" customHeight="1" outlineLevel="1" x14ac:dyDescent="0.2">
      <c r="A259" s="171"/>
      <c r="B259" s="422">
        <v>1</v>
      </c>
      <c r="C259" s="416" t="s">
        <v>104</v>
      </c>
      <c r="D259" s="396">
        <f t="shared" ref="D259:I259" si="119">INDEX(PBSScriptsChanged,$B256,D257)*INDEX(DPMQCoPayChangedEff,$B256,$B259)</f>
        <v>0</v>
      </c>
      <c r="E259" s="396">
        <f t="shared" si="119"/>
        <v>0</v>
      </c>
      <c r="F259" s="396">
        <f t="shared" si="119"/>
        <v>0</v>
      </c>
      <c r="G259" s="396">
        <f t="shared" si="119"/>
        <v>0</v>
      </c>
      <c r="H259" s="396">
        <f t="shared" si="119"/>
        <v>0</v>
      </c>
      <c r="I259" s="396">
        <f t="shared" si="119"/>
        <v>0</v>
      </c>
      <c r="J259" s="171"/>
      <c r="K259" s="171"/>
      <c r="L259" s="171"/>
      <c r="M259" s="171"/>
    </row>
    <row r="260" spans="1:13" ht="12.75" customHeight="1" outlineLevel="1" x14ac:dyDescent="0.2">
      <c r="A260" s="171"/>
      <c r="B260" s="422">
        <v>3</v>
      </c>
      <c r="C260" s="11" t="s">
        <v>129</v>
      </c>
      <c r="D260" s="396">
        <f t="shared" ref="D260:I260" si="120">INDEX(PBSScriptsChanged,$B256,D257)*(INDEX(DPMQCoPayChangedEff,$B256,$B260)/INDEX(CoPayCountChanged,$B256))</f>
        <v>0</v>
      </c>
      <c r="E260" s="396">
        <f t="shared" si="120"/>
        <v>0</v>
      </c>
      <c r="F260" s="396">
        <f t="shared" si="120"/>
        <v>0</v>
      </c>
      <c r="G260" s="396">
        <f t="shared" si="120"/>
        <v>0</v>
      </c>
      <c r="H260" s="396">
        <f t="shared" si="120"/>
        <v>0</v>
      </c>
      <c r="I260" s="396">
        <f t="shared" si="120"/>
        <v>0</v>
      </c>
      <c r="J260" s="171"/>
      <c r="K260" s="763" t="str">
        <f>IF(B257&lt;&gt;0,MsgNote&amp;IF(B257="Yes",INDEX(CoPayMethod,1),INDEX(CoPayMethod,2)),"")</f>
        <v/>
      </c>
      <c r="L260" s="763"/>
      <c r="M260" s="763"/>
    </row>
    <row r="261" spans="1:13" ht="12.75" customHeight="1" outlineLevel="1" x14ac:dyDescent="0.2">
      <c r="A261" s="171"/>
      <c r="B261" s="224"/>
      <c r="C261" s="11" t="s">
        <v>106</v>
      </c>
      <c r="D261" s="396">
        <f t="shared" ref="D261:I261" si="121">D259+D260</f>
        <v>0</v>
      </c>
      <c r="E261" s="396">
        <f t="shared" si="121"/>
        <v>0</v>
      </c>
      <c r="F261" s="396">
        <f t="shared" si="121"/>
        <v>0</v>
      </c>
      <c r="G261" s="396">
        <f t="shared" si="121"/>
        <v>0</v>
      </c>
      <c r="H261" s="396">
        <f t="shared" si="121"/>
        <v>0</v>
      </c>
      <c r="I261" s="396">
        <f t="shared" si="121"/>
        <v>0</v>
      </c>
      <c r="J261" s="171"/>
      <c r="K261" s="171"/>
      <c r="L261" s="171"/>
      <c r="M261" s="171"/>
    </row>
    <row r="262" spans="1:13" ht="12.75" customHeight="1" outlineLevel="1" x14ac:dyDescent="0.2">
      <c r="A262" s="171"/>
      <c r="B262" s="202"/>
      <c r="C262" s="171"/>
      <c r="D262" s="171"/>
      <c r="E262" s="171"/>
      <c r="F262" s="171"/>
      <c r="G262" s="171"/>
      <c r="H262" s="171"/>
      <c r="I262" s="171"/>
      <c r="J262" s="171"/>
      <c r="K262" s="171"/>
      <c r="L262" s="171"/>
      <c r="M262" s="171"/>
    </row>
    <row r="263" spans="1:13" ht="15.75" customHeight="1" outlineLevel="1" x14ac:dyDescent="0.2">
      <c r="A263" s="171"/>
      <c r="B263" s="202"/>
      <c r="C263" s="193"/>
      <c r="D263" s="414">
        <f>FirstYear</f>
        <v>0</v>
      </c>
      <c r="E263" s="414">
        <f>D263+1</f>
        <v>1</v>
      </c>
      <c r="F263" s="414">
        <f>E263+1</f>
        <v>2</v>
      </c>
      <c r="G263" s="414">
        <f>F263+1</f>
        <v>3</v>
      </c>
      <c r="H263" s="414">
        <f>G263+1</f>
        <v>4</v>
      </c>
      <c r="I263" s="414">
        <f>H263+1</f>
        <v>5</v>
      </c>
      <c r="J263" s="171"/>
      <c r="K263" s="171"/>
      <c r="L263" s="171"/>
      <c r="M263" s="171"/>
    </row>
    <row r="264" spans="1:13" ht="12.75" customHeight="1" outlineLevel="1" x14ac:dyDescent="0.2">
      <c r="A264" s="171"/>
      <c r="B264" s="422">
        <v>1</v>
      </c>
      <c r="C264" s="416" t="s">
        <v>105</v>
      </c>
      <c r="D264" s="396">
        <f t="shared" ref="D264:I264" si="122">INDEX(RPBSScriptsChanged,$B256,D257)*INDEX(DPMQCoPayChangedEff,$B256,$B264)</f>
        <v>0</v>
      </c>
      <c r="E264" s="396">
        <f t="shared" si="122"/>
        <v>0</v>
      </c>
      <c r="F264" s="396">
        <f t="shared" si="122"/>
        <v>0</v>
      </c>
      <c r="G264" s="396">
        <f t="shared" si="122"/>
        <v>0</v>
      </c>
      <c r="H264" s="396">
        <f t="shared" si="122"/>
        <v>0</v>
      </c>
      <c r="I264" s="396">
        <f t="shared" si="122"/>
        <v>0</v>
      </c>
      <c r="J264" s="171"/>
      <c r="K264" s="171"/>
      <c r="L264" s="171"/>
      <c r="M264" s="171"/>
    </row>
    <row r="265" spans="1:13" ht="12.75" customHeight="1" outlineLevel="1" x14ac:dyDescent="0.2">
      <c r="A265" s="171"/>
      <c r="B265" s="422">
        <v>4</v>
      </c>
      <c r="C265" s="11" t="s">
        <v>129</v>
      </c>
      <c r="D265" s="396">
        <f t="shared" ref="D265:I265" si="123">INDEX(RPBSScriptsChanged,$B256,D257)*(INDEX(DPMQCoPayChangedEff,$B256,$B265)/INDEX(CoPayCountChanged,$B256))</f>
        <v>0</v>
      </c>
      <c r="E265" s="396">
        <f t="shared" si="123"/>
        <v>0</v>
      </c>
      <c r="F265" s="396">
        <f t="shared" si="123"/>
        <v>0</v>
      </c>
      <c r="G265" s="396">
        <f t="shared" si="123"/>
        <v>0</v>
      </c>
      <c r="H265" s="396">
        <f t="shared" si="123"/>
        <v>0</v>
      </c>
      <c r="I265" s="396">
        <f t="shared" si="123"/>
        <v>0</v>
      </c>
      <c r="J265" s="171"/>
      <c r="K265" s="171"/>
      <c r="L265" s="171"/>
      <c r="M265" s="171"/>
    </row>
    <row r="266" spans="1:13" ht="12.75" customHeight="1" outlineLevel="1" x14ac:dyDescent="0.2">
      <c r="A266" s="171"/>
      <c r="B266" s="224"/>
      <c r="C266" s="11" t="s">
        <v>107</v>
      </c>
      <c r="D266" s="396">
        <f t="shared" ref="D266:I266" si="124">D264+D265</f>
        <v>0</v>
      </c>
      <c r="E266" s="396">
        <f t="shared" si="124"/>
        <v>0</v>
      </c>
      <c r="F266" s="396">
        <f t="shared" si="124"/>
        <v>0</v>
      </c>
      <c r="G266" s="396">
        <f t="shared" si="124"/>
        <v>0</v>
      </c>
      <c r="H266" s="396">
        <f t="shared" si="124"/>
        <v>0</v>
      </c>
      <c r="I266" s="396">
        <f t="shared" si="124"/>
        <v>0</v>
      </c>
      <c r="J266" s="171"/>
      <c r="K266" s="171"/>
      <c r="L266" s="171"/>
      <c r="M266" s="171"/>
    </row>
    <row r="267" spans="1:13" outlineLevel="1" x14ac:dyDescent="0.2">
      <c r="A267" s="171"/>
      <c r="B267" s="224"/>
      <c r="C267" s="171"/>
      <c r="D267" s="171"/>
      <c r="E267" s="171"/>
      <c r="F267" s="171"/>
      <c r="G267" s="171"/>
      <c r="H267" s="171"/>
      <c r="I267" s="171"/>
      <c r="J267" s="171"/>
      <c r="K267" s="171"/>
      <c r="L267" s="171"/>
      <c r="M267" s="171"/>
    </row>
    <row r="268" spans="1:13" s="570" customFormat="1" x14ac:dyDescent="0.2">
      <c r="A268" s="592"/>
      <c r="B268" s="224"/>
      <c r="C268" s="592"/>
      <c r="D268" s="592"/>
      <c r="E268" s="592"/>
      <c r="F268" s="592"/>
      <c r="G268" s="592"/>
      <c r="H268" s="592"/>
      <c r="I268" s="592"/>
      <c r="J268" s="592"/>
      <c r="K268" s="592"/>
      <c r="L268" s="592"/>
      <c r="M268" s="592"/>
    </row>
    <row r="269" spans="1:13" ht="15.75" x14ac:dyDescent="0.2">
      <c r="A269" s="176"/>
      <c r="B269" s="176"/>
      <c r="C269" s="174" t="s">
        <v>1006</v>
      </c>
      <c r="D269" s="174"/>
      <c r="E269" s="174"/>
      <c r="F269" s="214"/>
      <c r="G269" s="178"/>
      <c r="H269" s="178"/>
      <c r="I269" s="178"/>
      <c r="J269" s="178"/>
      <c r="K269" s="178"/>
      <c r="L269" s="178"/>
      <c r="M269" s="178"/>
    </row>
    <row r="270" spans="1:13" x14ac:dyDescent="0.2">
      <c r="A270" s="171"/>
      <c r="B270" s="171"/>
      <c r="C270" s="6"/>
      <c r="D270" s="6"/>
      <c r="E270" s="6"/>
      <c r="F270" s="215"/>
      <c r="G270" s="171"/>
      <c r="H270" s="171"/>
      <c r="I270" s="171"/>
      <c r="J270" s="171"/>
      <c r="K270" s="171"/>
      <c r="L270" s="171"/>
      <c r="M270" s="171"/>
    </row>
    <row r="271" spans="1:13" x14ac:dyDescent="0.2">
      <c r="A271" s="171"/>
      <c r="B271" s="171"/>
      <c r="C271" s="6" t="s">
        <v>905</v>
      </c>
      <c r="D271" s="6"/>
      <c r="E271" s="6"/>
      <c r="F271" s="215"/>
      <c r="G271" s="171"/>
      <c r="H271" s="171"/>
      <c r="I271" s="171"/>
      <c r="J271" s="171"/>
      <c r="K271" s="171"/>
      <c r="L271" s="171"/>
      <c r="M271" s="171"/>
    </row>
    <row r="272" spans="1:13" x14ac:dyDescent="0.2">
      <c r="A272" s="171"/>
      <c r="B272" s="171"/>
      <c r="C272" s="6"/>
      <c r="D272" s="6"/>
      <c r="E272" s="6"/>
      <c r="F272" s="215"/>
      <c r="G272" s="171"/>
      <c r="H272" s="832" t="str">
        <f>IF(Q294&gt;0,"DPMA / DPMQ","")</f>
        <v/>
      </c>
      <c r="I272" s="832"/>
      <c r="J272" s="832"/>
      <c r="K272" s="171"/>
      <c r="L272" s="171"/>
      <c r="M272" s="171"/>
    </row>
    <row r="273" spans="1:18" ht="25.5" x14ac:dyDescent="0.2">
      <c r="A273" s="171"/>
      <c r="B273" s="171"/>
      <c r="C273" s="792" t="s">
        <v>884</v>
      </c>
      <c r="D273" s="833"/>
      <c r="E273" s="834"/>
      <c r="F273" s="113" t="s">
        <v>130</v>
      </c>
      <c r="G273" s="113" t="s">
        <v>1016</v>
      </c>
      <c r="H273" s="90" t="str">
        <f>IF(Q294&gt;0,"Public","DPMA / DPMQ")</f>
        <v>DPMA / DPMQ</v>
      </c>
      <c r="I273" s="90" t="str">
        <f>IF(Q294&gt;0,"Private","")</f>
        <v/>
      </c>
      <c r="J273" s="90" t="str">
        <f>IF(Q294&gt;0,"Weighted","")</f>
        <v/>
      </c>
      <c r="K273" s="90" t="s">
        <v>817</v>
      </c>
      <c r="L273" s="614" t="s">
        <v>474</v>
      </c>
      <c r="M273" s="614" t="s">
        <v>475</v>
      </c>
      <c r="N273" s="570"/>
      <c r="O273" s="336" t="s">
        <v>474</v>
      </c>
      <c r="P273" s="336" t="s">
        <v>475</v>
      </c>
    </row>
    <row r="274" spans="1:18" x14ac:dyDescent="0.2">
      <c r="A274" s="171"/>
      <c r="B274" s="422">
        <v>1</v>
      </c>
      <c r="C274" s="829" t="str">
        <f t="shared" ref="C274:C293" si="125">IF(SPAChangeFlag=1,INDEX(PBSScriptsChanged,B274,1),MsgNotUsed)</f>
        <v>** NOT USED **</v>
      </c>
      <c r="D274" s="830"/>
      <c r="E274" s="831"/>
      <c r="F274" s="401"/>
      <c r="G274" s="86" t="str">
        <f>IF('4b. Impact - affected (pub)'!G274&lt;&gt;"",'4b. Impact - affected (pub)'!G274,"")</f>
        <v/>
      </c>
      <c r="H274" s="401"/>
      <c r="I274" s="401"/>
      <c r="J274" s="402">
        <f>IF(AND(Q274&lt;&gt;"",R274&lt;&gt;""),IF(Q274+R274=1,(H274*Q274+I274*R274),H274),0)</f>
        <v>0</v>
      </c>
      <c r="K274" s="643" t="str">
        <f>IF(C274&lt;&gt;MsgNotUsed,'4b. Impact - affected (pub)'!K274,"")</f>
        <v/>
      </c>
      <c r="L274" s="402">
        <f>IF(J274&gt;O274,-O274,0)</f>
        <v>0</v>
      </c>
      <c r="M274" s="402">
        <f>IF(J274&gt;P274,-P274,0)</f>
        <v>0</v>
      </c>
      <c r="N274" s="570"/>
      <c r="O274" s="628">
        <f t="shared" ref="O274:O293" si="126">IF(K274&lt;&gt;"",INDEX(CoPayPBS,K274),0)</f>
        <v>0</v>
      </c>
      <c r="P274" s="628">
        <f t="shared" ref="P274:P293" si="127">IF(K274&lt;&gt;"",INDEX(CoPayRPBS,K274),0)</f>
        <v>0</v>
      </c>
      <c r="Q274" s="647" t="str">
        <f t="shared" ref="Q274:Q293" si="128">IF(K274&lt;&gt;"",INDEX(ServiceSplitPublic,K274),"")</f>
        <v/>
      </c>
      <c r="R274" s="647" t="str">
        <f t="shared" ref="R274:R293" si="129">IF(K274&lt;&gt;"",INDEX(ServiceSplitPrivate,K274),"")</f>
        <v/>
      </c>
    </row>
    <row r="275" spans="1:18" x14ac:dyDescent="0.2">
      <c r="A275" s="171"/>
      <c r="B275" s="422">
        <v>2</v>
      </c>
      <c r="C275" s="829" t="str">
        <f t="shared" si="125"/>
        <v>** NOT USED **</v>
      </c>
      <c r="D275" s="830"/>
      <c r="E275" s="831"/>
      <c r="F275" s="401"/>
      <c r="G275" s="86" t="str">
        <f>IF('4b. Impact - affected (pub)'!G275&lt;&gt;"",'4b. Impact - affected (pub)'!G275,"")</f>
        <v/>
      </c>
      <c r="H275" s="401"/>
      <c r="I275" s="401"/>
      <c r="J275" s="402">
        <f t="shared" ref="J275:J293" si="130">IF(AND(Q275&lt;&gt;"",R275&lt;&gt;""),IF(Q275+R275=1,(H275*Q275+I275*R275),H275),0)</f>
        <v>0</v>
      </c>
      <c r="K275" s="643" t="str">
        <f>IF(C275&lt;&gt;MsgNotUsed,'4b. Impact - affected (pub)'!K275,"")</f>
        <v/>
      </c>
      <c r="L275" s="402">
        <f t="shared" ref="L275:L293" si="131">IF(J275&gt;O275,-O275,0)</f>
        <v>0</v>
      </c>
      <c r="M275" s="402">
        <f t="shared" ref="M275:M293" si="132">IF(J275&gt;P275,-P275,0)</f>
        <v>0</v>
      </c>
      <c r="N275" s="570"/>
      <c r="O275" s="628">
        <f t="shared" si="126"/>
        <v>0</v>
      </c>
      <c r="P275" s="628">
        <f t="shared" si="127"/>
        <v>0</v>
      </c>
      <c r="Q275" s="647" t="str">
        <f t="shared" si="128"/>
        <v/>
      </c>
      <c r="R275" s="647" t="str">
        <f t="shared" si="129"/>
        <v/>
      </c>
    </row>
    <row r="276" spans="1:18" x14ac:dyDescent="0.2">
      <c r="A276" s="171"/>
      <c r="B276" s="422">
        <v>3</v>
      </c>
      <c r="C276" s="829" t="str">
        <f t="shared" si="125"/>
        <v>** NOT USED **</v>
      </c>
      <c r="D276" s="830"/>
      <c r="E276" s="831"/>
      <c r="F276" s="401"/>
      <c r="G276" s="86" t="str">
        <f>IF('4b. Impact - affected (pub)'!G276&lt;&gt;"",'4b. Impact - affected (pub)'!G276,"")</f>
        <v/>
      </c>
      <c r="H276" s="401"/>
      <c r="I276" s="401"/>
      <c r="J276" s="402">
        <f t="shared" si="130"/>
        <v>0</v>
      </c>
      <c r="K276" s="643" t="str">
        <f>IF(C276&lt;&gt;MsgNotUsed,'4b. Impact - affected (pub)'!K276,"")</f>
        <v/>
      </c>
      <c r="L276" s="402">
        <f t="shared" si="131"/>
        <v>0</v>
      </c>
      <c r="M276" s="402">
        <f t="shared" si="132"/>
        <v>0</v>
      </c>
      <c r="N276" s="570"/>
      <c r="O276" s="628">
        <f t="shared" si="126"/>
        <v>0</v>
      </c>
      <c r="P276" s="628">
        <f t="shared" si="127"/>
        <v>0</v>
      </c>
      <c r="Q276" s="647" t="str">
        <f t="shared" si="128"/>
        <v/>
      </c>
      <c r="R276" s="647" t="str">
        <f t="shared" si="129"/>
        <v/>
      </c>
    </row>
    <row r="277" spans="1:18" x14ac:dyDescent="0.2">
      <c r="A277" s="171"/>
      <c r="B277" s="422">
        <v>4</v>
      </c>
      <c r="C277" s="829" t="str">
        <f t="shared" si="125"/>
        <v>** NOT USED **</v>
      </c>
      <c r="D277" s="830"/>
      <c r="E277" s="831"/>
      <c r="F277" s="401"/>
      <c r="G277" s="86" t="str">
        <f>IF('4b. Impact - affected (pub)'!G277&lt;&gt;"",'4b. Impact - affected (pub)'!G277,"")</f>
        <v/>
      </c>
      <c r="H277" s="401"/>
      <c r="I277" s="401"/>
      <c r="J277" s="402">
        <f t="shared" si="130"/>
        <v>0</v>
      </c>
      <c r="K277" s="643" t="str">
        <f>IF(C277&lt;&gt;MsgNotUsed,'4b. Impact - affected (pub)'!K277,"")</f>
        <v/>
      </c>
      <c r="L277" s="402">
        <f t="shared" si="131"/>
        <v>0</v>
      </c>
      <c r="M277" s="402">
        <f t="shared" si="132"/>
        <v>0</v>
      </c>
      <c r="N277" s="570"/>
      <c r="O277" s="628">
        <f t="shared" si="126"/>
        <v>0</v>
      </c>
      <c r="P277" s="628">
        <f t="shared" si="127"/>
        <v>0</v>
      </c>
      <c r="Q277" s="647" t="str">
        <f t="shared" si="128"/>
        <v/>
      </c>
      <c r="R277" s="647" t="str">
        <f t="shared" si="129"/>
        <v/>
      </c>
    </row>
    <row r="278" spans="1:18" x14ac:dyDescent="0.2">
      <c r="A278" s="171"/>
      <c r="B278" s="422">
        <v>5</v>
      </c>
      <c r="C278" s="829" t="str">
        <f t="shared" si="125"/>
        <v>** NOT USED **</v>
      </c>
      <c r="D278" s="830"/>
      <c r="E278" s="831"/>
      <c r="F278" s="401"/>
      <c r="G278" s="86" t="str">
        <f>IF('4b. Impact - affected (pub)'!G278&lt;&gt;"",'4b. Impact - affected (pub)'!G278,"")</f>
        <v/>
      </c>
      <c r="H278" s="401"/>
      <c r="I278" s="401"/>
      <c r="J278" s="402">
        <f t="shared" si="130"/>
        <v>0</v>
      </c>
      <c r="K278" s="643" t="str">
        <f>IF(C278&lt;&gt;MsgNotUsed,'4b. Impact - affected (pub)'!K278,"")</f>
        <v/>
      </c>
      <c r="L278" s="402">
        <f t="shared" si="131"/>
        <v>0</v>
      </c>
      <c r="M278" s="402">
        <f t="shared" si="132"/>
        <v>0</v>
      </c>
      <c r="N278" s="570"/>
      <c r="O278" s="628">
        <f t="shared" si="126"/>
        <v>0</v>
      </c>
      <c r="P278" s="628">
        <f t="shared" si="127"/>
        <v>0</v>
      </c>
      <c r="Q278" s="647" t="str">
        <f t="shared" si="128"/>
        <v/>
      </c>
      <c r="R278" s="647" t="str">
        <f t="shared" si="129"/>
        <v/>
      </c>
    </row>
    <row r="279" spans="1:18" x14ac:dyDescent="0.2">
      <c r="A279" s="171"/>
      <c r="B279" s="422">
        <v>6</v>
      </c>
      <c r="C279" s="829" t="str">
        <f t="shared" si="125"/>
        <v>** NOT USED **</v>
      </c>
      <c r="D279" s="830"/>
      <c r="E279" s="831"/>
      <c r="F279" s="401"/>
      <c r="G279" s="86" t="str">
        <f>IF('4b. Impact - affected (pub)'!G279&lt;&gt;"",'4b. Impact - affected (pub)'!G279,"")</f>
        <v/>
      </c>
      <c r="H279" s="401"/>
      <c r="I279" s="401"/>
      <c r="J279" s="402">
        <f t="shared" si="130"/>
        <v>0</v>
      </c>
      <c r="K279" s="643" t="str">
        <f>IF(C279&lt;&gt;MsgNotUsed,'4b. Impact - affected (pub)'!K279,"")</f>
        <v/>
      </c>
      <c r="L279" s="402">
        <f t="shared" si="131"/>
        <v>0</v>
      </c>
      <c r="M279" s="402">
        <f t="shared" si="132"/>
        <v>0</v>
      </c>
      <c r="N279" s="570"/>
      <c r="O279" s="628">
        <f t="shared" si="126"/>
        <v>0</v>
      </c>
      <c r="P279" s="628">
        <f t="shared" si="127"/>
        <v>0</v>
      </c>
      <c r="Q279" s="647" t="str">
        <f t="shared" si="128"/>
        <v/>
      </c>
      <c r="R279" s="647" t="str">
        <f t="shared" si="129"/>
        <v/>
      </c>
    </row>
    <row r="280" spans="1:18" x14ac:dyDescent="0.2">
      <c r="A280" s="171"/>
      <c r="B280" s="422">
        <v>7</v>
      </c>
      <c r="C280" s="829" t="str">
        <f t="shared" si="125"/>
        <v>** NOT USED **</v>
      </c>
      <c r="D280" s="830"/>
      <c r="E280" s="831"/>
      <c r="F280" s="401"/>
      <c r="G280" s="86" t="str">
        <f>IF('4b. Impact - affected (pub)'!G280&lt;&gt;"",'4b. Impact - affected (pub)'!G280,"")</f>
        <v/>
      </c>
      <c r="H280" s="401"/>
      <c r="I280" s="401"/>
      <c r="J280" s="402">
        <f t="shared" si="130"/>
        <v>0</v>
      </c>
      <c r="K280" s="643" t="str">
        <f>IF(C280&lt;&gt;MsgNotUsed,'4b. Impact - affected (pub)'!K280,"")</f>
        <v/>
      </c>
      <c r="L280" s="402">
        <f t="shared" si="131"/>
        <v>0</v>
      </c>
      <c r="M280" s="402">
        <f t="shared" si="132"/>
        <v>0</v>
      </c>
      <c r="N280" s="570"/>
      <c r="O280" s="628">
        <f t="shared" si="126"/>
        <v>0</v>
      </c>
      <c r="P280" s="628">
        <f t="shared" si="127"/>
        <v>0</v>
      </c>
      <c r="Q280" s="647" t="str">
        <f t="shared" si="128"/>
        <v/>
      </c>
      <c r="R280" s="647" t="str">
        <f t="shared" si="129"/>
        <v/>
      </c>
    </row>
    <row r="281" spans="1:18" x14ac:dyDescent="0.2">
      <c r="A281" s="171"/>
      <c r="B281" s="422">
        <v>8</v>
      </c>
      <c r="C281" s="829" t="str">
        <f t="shared" si="125"/>
        <v>** NOT USED **</v>
      </c>
      <c r="D281" s="830"/>
      <c r="E281" s="831"/>
      <c r="F281" s="401"/>
      <c r="G281" s="86" t="str">
        <f>IF('4b. Impact - affected (pub)'!G281&lt;&gt;"",'4b. Impact - affected (pub)'!G281,"")</f>
        <v/>
      </c>
      <c r="H281" s="401"/>
      <c r="I281" s="401"/>
      <c r="J281" s="402">
        <f t="shared" si="130"/>
        <v>0</v>
      </c>
      <c r="K281" s="643" t="str">
        <f>IF(C281&lt;&gt;MsgNotUsed,'4b. Impact - affected (pub)'!K281,"")</f>
        <v/>
      </c>
      <c r="L281" s="402">
        <f t="shared" si="131"/>
        <v>0</v>
      </c>
      <c r="M281" s="402">
        <f t="shared" si="132"/>
        <v>0</v>
      </c>
      <c r="N281" s="570"/>
      <c r="O281" s="628">
        <f t="shared" si="126"/>
        <v>0</v>
      </c>
      <c r="P281" s="628">
        <f t="shared" si="127"/>
        <v>0</v>
      </c>
      <c r="Q281" s="647" t="str">
        <f t="shared" si="128"/>
        <v/>
      </c>
      <c r="R281" s="647" t="str">
        <f t="shared" si="129"/>
        <v/>
      </c>
    </row>
    <row r="282" spans="1:18" x14ac:dyDescent="0.2">
      <c r="A282" s="171"/>
      <c r="B282" s="422">
        <v>9</v>
      </c>
      <c r="C282" s="829" t="str">
        <f t="shared" si="125"/>
        <v>** NOT USED **</v>
      </c>
      <c r="D282" s="830"/>
      <c r="E282" s="831"/>
      <c r="F282" s="401"/>
      <c r="G282" s="86" t="str">
        <f>IF('4b. Impact - affected (pub)'!G282&lt;&gt;"",'4b. Impact - affected (pub)'!G282,"")</f>
        <v/>
      </c>
      <c r="H282" s="401"/>
      <c r="I282" s="401"/>
      <c r="J282" s="402">
        <f t="shared" si="130"/>
        <v>0</v>
      </c>
      <c r="K282" s="643" t="str">
        <f>IF(C282&lt;&gt;MsgNotUsed,'4b. Impact - affected (pub)'!K282,"")</f>
        <v/>
      </c>
      <c r="L282" s="402">
        <f t="shared" si="131"/>
        <v>0</v>
      </c>
      <c r="M282" s="402">
        <f t="shared" si="132"/>
        <v>0</v>
      </c>
      <c r="N282" s="570"/>
      <c r="O282" s="628">
        <f t="shared" si="126"/>
        <v>0</v>
      </c>
      <c r="P282" s="628">
        <f t="shared" si="127"/>
        <v>0</v>
      </c>
      <c r="Q282" s="647" t="str">
        <f t="shared" si="128"/>
        <v/>
      </c>
      <c r="R282" s="647" t="str">
        <f t="shared" si="129"/>
        <v/>
      </c>
    </row>
    <row r="283" spans="1:18" x14ac:dyDescent="0.2">
      <c r="A283" s="171"/>
      <c r="B283" s="422">
        <v>10</v>
      </c>
      <c r="C283" s="829" t="str">
        <f t="shared" si="125"/>
        <v>** NOT USED **</v>
      </c>
      <c r="D283" s="830"/>
      <c r="E283" s="831"/>
      <c r="F283" s="401"/>
      <c r="G283" s="86" t="str">
        <f>IF('4b. Impact - affected (pub)'!G283&lt;&gt;"",'4b. Impact - affected (pub)'!G283,"")</f>
        <v/>
      </c>
      <c r="H283" s="401"/>
      <c r="I283" s="401"/>
      <c r="J283" s="402">
        <f t="shared" si="130"/>
        <v>0</v>
      </c>
      <c r="K283" s="643" t="str">
        <f>IF(C283&lt;&gt;MsgNotUsed,'4b. Impact - affected (pub)'!K283,"")</f>
        <v/>
      </c>
      <c r="L283" s="402">
        <f t="shared" si="131"/>
        <v>0</v>
      </c>
      <c r="M283" s="402">
        <f t="shared" si="132"/>
        <v>0</v>
      </c>
      <c r="N283" s="570"/>
      <c r="O283" s="628">
        <f t="shared" si="126"/>
        <v>0</v>
      </c>
      <c r="P283" s="628">
        <f t="shared" si="127"/>
        <v>0</v>
      </c>
      <c r="Q283" s="647" t="str">
        <f t="shared" si="128"/>
        <v/>
      </c>
      <c r="R283" s="647" t="str">
        <f t="shared" si="129"/>
        <v/>
      </c>
    </row>
    <row r="284" spans="1:18" x14ac:dyDescent="0.2">
      <c r="A284" s="171"/>
      <c r="B284" s="422">
        <v>11</v>
      </c>
      <c r="C284" s="829" t="str">
        <f t="shared" si="125"/>
        <v>** NOT USED **</v>
      </c>
      <c r="D284" s="830"/>
      <c r="E284" s="831"/>
      <c r="F284" s="401"/>
      <c r="G284" s="86" t="str">
        <f>IF('4b. Impact - affected (pub)'!G284&lt;&gt;"",'4b. Impact - affected (pub)'!G284,"")</f>
        <v/>
      </c>
      <c r="H284" s="401"/>
      <c r="I284" s="401"/>
      <c r="J284" s="402">
        <f t="shared" si="130"/>
        <v>0</v>
      </c>
      <c r="K284" s="643" t="str">
        <f>IF(C284&lt;&gt;MsgNotUsed,'4b. Impact - affected (pub)'!K284,"")</f>
        <v/>
      </c>
      <c r="L284" s="402">
        <f t="shared" si="131"/>
        <v>0</v>
      </c>
      <c r="M284" s="402">
        <f t="shared" si="132"/>
        <v>0</v>
      </c>
      <c r="N284" s="570"/>
      <c r="O284" s="628">
        <f t="shared" si="126"/>
        <v>0</v>
      </c>
      <c r="P284" s="628">
        <f t="shared" si="127"/>
        <v>0</v>
      </c>
      <c r="Q284" s="647" t="str">
        <f t="shared" si="128"/>
        <v/>
      </c>
      <c r="R284" s="647" t="str">
        <f t="shared" si="129"/>
        <v/>
      </c>
    </row>
    <row r="285" spans="1:18" x14ac:dyDescent="0.2">
      <c r="A285" s="171"/>
      <c r="B285" s="422">
        <v>12</v>
      </c>
      <c r="C285" s="829" t="str">
        <f t="shared" si="125"/>
        <v>** NOT USED **</v>
      </c>
      <c r="D285" s="830"/>
      <c r="E285" s="831"/>
      <c r="F285" s="401"/>
      <c r="G285" s="86" t="str">
        <f>IF('4b. Impact - affected (pub)'!G285&lt;&gt;"",'4b. Impact - affected (pub)'!G285,"")</f>
        <v/>
      </c>
      <c r="H285" s="401"/>
      <c r="I285" s="401"/>
      <c r="J285" s="402">
        <f t="shared" si="130"/>
        <v>0</v>
      </c>
      <c r="K285" s="643" t="str">
        <f>IF(C285&lt;&gt;MsgNotUsed,'4b. Impact - affected (pub)'!K285,"")</f>
        <v/>
      </c>
      <c r="L285" s="402">
        <f t="shared" si="131"/>
        <v>0</v>
      </c>
      <c r="M285" s="402">
        <f t="shared" si="132"/>
        <v>0</v>
      </c>
      <c r="N285" s="570"/>
      <c r="O285" s="628">
        <f t="shared" si="126"/>
        <v>0</v>
      </c>
      <c r="P285" s="628">
        <f t="shared" si="127"/>
        <v>0</v>
      </c>
      <c r="Q285" s="647" t="str">
        <f t="shared" si="128"/>
        <v/>
      </c>
      <c r="R285" s="647" t="str">
        <f t="shared" si="129"/>
        <v/>
      </c>
    </row>
    <row r="286" spans="1:18" x14ac:dyDescent="0.2">
      <c r="A286" s="171"/>
      <c r="B286" s="422">
        <v>13</v>
      </c>
      <c r="C286" s="829" t="str">
        <f t="shared" si="125"/>
        <v>** NOT USED **</v>
      </c>
      <c r="D286" s="830"/>
      <c r="E286" s="831"/>
      <c r="F286" s="401"/>
      <c r="G286" s="86" t="str">
        <f>IF('4b. Impact - affected (pub)'!G286&lt;&gt;"",'4b. Impact - affected (pub)'!G286,"")</f>
        <v/>
      </c>
      <c r="H286" s="401"/>
      <c r="I286" s="401"/>
      <c r="J286" s="402">
        <f t="shared" si="130"/>
        <v>0</v>
      </c>
      <c r="K286" s="643" t="str">
        <f>IF(C286&lt;&gt;MsgNotUsed,'4b. Impact - affected (pub)'!K286,"")</f>
        <v/>
      </c>
      <c r="L286" s="402">
        <f t="shared" si="131"/>
        <v>0</v>
      </c>
      <c r="M286" s="402">
        <f t="shared" si="132"/>
        <v>0</v>
      </c>
      <c r="N286" s="570"/>
      <c r="O286" s="628">
        <f t="shared" si="126"/>
        <v>0</v>
      </c>
      <c r="P286" s="628">
        <f t="shared" si="127"/>
        <v>0</v>
      </c>
      <c r="Q286" s="647" t="str">
        <f t="shared" si="128"/>
        <v/>
      </c>
      <c r="R286" s="647" t="str">
        <f t="shared" si="129"/>
        <v/>
      </c>
    </row>
    <row r="287" spans="1:18" x14ac:dyDescent="0.2">
      <c r="A287" s="171"/>
      <c r="B287" s="422">
        <v>14</v>
      </c>
      <c r="C287" s="829" t="str">
        <f t="shared" si="125"/>
        <v>** NOT USED **</v>
      </c>
      <c r="D287" s="830"/>
      <c r="E287" s="831"/>
      <c r="F287" s="401"/>
      <c r="G287" s="86" t="str">
        <f>IF('4b. Impact - affected (pub)'!G287&lt;&gt;"",'4b. Impact - affected (pub)'!G287,"")</f>
        <v/>
      </c>
      <c r="H287" s="401"/>
      <c r="I287" s="401"/>
      <c r="J287" s="402">
        <f t="shared" si="130"/>
        <v>0</v>
      </c>
      <c r="K287" s="643" t="str">
        <f>IF(C287&lt;&gt;MsgNotUsed,'4b. Impact - affected (pub)'!K287,"")</f>
        <v/>
      </c>
      <c r="L287" s="402">
        <f t="shared" si="131"/>
        <v>0</v>
      </c>
      <c r="M287" s="402">
        <f t="shared" si="132"/>
        <v>0</v>
      </c>
      <c r="N287" s="570"/>
      <c r="O287" s="628">
        <f t="shared" si="126"/>
        <v>0</v>
      </c>
      <c r="P287" s="628">
        <f t="shared" si="127"/>
        <v>0</v>
      </c>
      <c r="Q287" s="647" t="str">
        <f t="shared" si="128"/>
        <v/>
      </c>
      <c r="R287" s="647" t="str">
        <f t="shared" si="129"/>
        <v/>
      </c>
    </row>
    <row r="288" spans="1:18" x14ac:dyDescent="0.2">
      <c r="A288" s="171"/>
      <c r="B288" s="422">
        <v>15</v>
      </c>
      <c r="C288" s="829" t="str">
        <f t="shared" si="125"/>
        <v>** NOT USED **</v>
      </c>
      <c r="D288" s="830"/>
      <c r="E288" s="831"/>
      <c r="F288" s="401"/>
      <c r="G288" s="86" t="str">
        <f>IF('4b. Impact - affected (pub)'!G288&lt;&gt;"",'4b. Impact - affected (pub)'!G288,"")</f>
        <v/>
      </c>
      <c r="H288" s="401"/>
      <c r="I288" s="401"/>
      <c r="J288" s="402">
        <f t="shared" si="130"/>
        <v>0</v>
      </c>
      <c r="K288" s="643" t="str">
        <f>IF(C288&lt;&gt;MsgNotUsed,'4b. Impact - affected (pub)'!K288,"")</f>
        <v/>
      </c>
      <c r="L288" s="402">
        <f t="shared" si="131"/>
        <v>0</v>
      </c>
      <c r="M288" s="402">
        <f t="shared" si="132"/>
        <v>0</v>
      </c>
      <c r="N288" s="570"/>
      <c r="O288" s="628">
        <f t="shared" si="126"/>
        <v>0</v>
      </c>
      <c r="P288" s="628">
        <f t="shared" si="127"/>
        <v>0</v>
      </c>
      <c r="Q288" s="647" t="str">
        <f t="shared" si="128"/>
        <v/>
      </c>
      <c r="R288" s="647" t="str">
        <f t="shared" si="129"/>
        <v/>
      </c>
    </row>
    <row r="289" spans="1:18" x14ac:dyDescent="0.2">
      <c r="A289" s="171"/>
      <c r="B289" s="422">
        <v>16</v>
      </c>
      <c r="C289" s="829" t="str">
        <f t="shared" si="125"/>
        <v>** NOT USED **</v>
      </c>
      <c r="D289" s="830"/>
      <c r="E289" s="831"/>
      <c r="F289" s="401"/>
      <c r="G289" s="86" t="str">
        <f>IF('4b. Impact - affected (pub)'!G289&lt;&gt;"",'4b. Impact - affected (pub)'!G289,"")</f>
        <v/>
      </c>
      <c r="H289" s="401"/>
      <c r="I289" s="401"/>
      <c r="J289" s="402">
        <f t="shared" si="130"/>
        <v>0</v>
      </c>
      <c r="K289" s="643" t="str">
        <f>IF(C289&lt;&gt;MsgNotUsed,'4b. Impact - affected (pub)'!K289,"")</f>
        <v/>
      </c>
      <c r="L289" s="402">
        <f t="shared" si="131"/>
        <v>0</v>
      </c>
      <c r="M289" s="402">
        <f t="shared" si="132"/>
        <v>0</v>
      </c>
      <c r="N289" s="570"/>
      <c r="O289" s="628">
        <f t="shared" si="126"/>
        <v>0</v>
      </c>
      <c r="P289" s="628">
        <f t="shared" si="127"/>
        <v>0</v>
      </c>
      <c r="Q289" s="647" t="str">
        <f t="shared" si="128"/>
        <v/>
      </c>
      <c r="R289" s="647" t="str">
        <f t="shared" si="129"/>
        <v/>
      </c>
    </row>
    <row r="290" spans="1:18" x14ac:dyDescent="0.2">
      <c r="A290" s="171"/>
      <c r="B290" s="422">
        <v>17</v>
      </c>
      <c r="C290" s="829" t="str">
        <f t="shared" si="125"/>
        <v>** NOT USED **</v>
      </c>
      <c r="D290" s="830"/>
      <c r="E290" s="831"/>
      <c r="F290" s="401"/>
      <c r="G290" s="86" t="str">
        <f>IF('4b. Impact - affected (pub)'!G290&lt;&gt;"",'4b. Impact - affected (pub)'!G290,"")</f>
        <v/>
      </c>
      <c r="H290" s="401"/>
      <c r="I290" s="401"/>
      <c r="J290" s="402">
        <f t="shared" si="130"/>
        <v>0</v>
      </c>
      <c r="K290" s="643" t="str">
        <f>IF(C290&lt;&gt;MsgNotUsed,'4b. Impact - affected (pub)'!K290,"")</f>
        <v/>
      </c>
      <c r="L290" s="402">
        <f t="shared" si="131"/>
        <v>0</v>
      </c>
      <c r="M290" s="402">
        <f t="shared" si="132"/>
        <v>0</v>
      </c>
      <c r="N290" s="570"/>
      <c r="O290" s="628">
        <f t="shared" si="126"/>
        <v>0</v>
      </c>
      <c r="P290" s="628">
        <f t="shared" si="127"/>
        <v>0</v>
      </c>
      <c r="Q290" s="647" t="str">
        <f t="shared" si="128"/>
        <v/>
      </c>
      <c r="R290" s="647" t="str">
        <f t="shared" si="129"/>
        <v/>
      </c>
    </row>
    <row r="291" spans="1:18" x14ac:dyDescent="0.2">
      <c r="A291" s="171"/>
      <c r="B291" s="422">
        <v>18</v>
      </c>
      <c r="C291" s="829" t="str">
        <f t="shared" si="125"/>
        <v>** NOT USED **</v>
      </c>
      <c r="D291" s="830"/>
      <c r="E291" s="831"/>
      <c r="F291" s="401"/>
      <c r="G291" s="86" t="str">
        <f>IF('4b. Impact - affected (pub)'!G291&lt;&gt;"",'4b. Impact - affected (pub)'!G291,"")</f>
        <v/>
      </c>
      <c r="H291" s="401"/>
      <c r="I291" s="401"/>
      <c r="J291" s="402">
        <f t="shared" si="130"/>
        <v>0</v>
      </c>
      <c r="K291" s="643" t="str">
        <f>IF(C291&lt;&gt;MsgNotUsed,'4b. Impact - affected (pub)'!K291,"")</f>
        <v/>
      </c>
      <c r="L291" s="402">
        <f t="shared" si="131"/>
        <v>0</v>
      </c>
      <c r="M291" s="402">
        <f t="shared" si="132"/>
        <v>0</v>
      </c>
      <c r="N291" s="570"/>
      <c r="O291" s="628">
        <f t="shared" si="126"/>
        <v>0</v>
      </c>
      <c r="P291" s="628">
        <f t="shared" si="127"/>
        <v>0</v>
      </c>
      <c r="Q291" s="647" t="str">
        <f t="shared" si="128"/>
        <v/>
      </c>
      <c r="R291" s="647" t="str">
        <f t="shared" si="129"/>
        <v/>
      </c>
    </row>
    <row r="292" spans="1:18" x14ac:dyDescent="0.2">
      <c r="A292" s="171"/>
      <c r="B292" s="422">
        <v>19</v>
      </c>
      <c r="C292" s="829" t="str">
        <f t="shared" si="125"/>
        <v>** NOT USED **</v>
      </c>
      <c r="D292" s="830"/>
      <c r="E292" s="831"/>
      <c r="F292" s="401"/>
      <c r="G292" s="86" t="str">
        <f>IF('4b. Impact - affected (pub)'!G292&lt;&gt;"",'4b. Impact - affected (pub)'!G292,"")</f>
        <v/>
      </c>
      <c r="H292" s="401"/>
      <c r="I292" s="401"/>
      <c r="J292" s="402">
        <f t="shared" si="130"/>
        <v>0</v>
      </c>
      <c r="K292" s="643" t="str">
        <f>IF(C292&lt;&gt;MsgNotUsed,'4b. Impact - affected (pub)'!K292,"")</f>
        <v/>
      </c>
      <c r="L292" s="402">
        <f t="shared" si="131"/>
        <v>0</v>
      </c>
      <c r="M292" s="402">
        <f t="shared" si="132"/>
        <v>0</v>
      </c>
      <c r="N292" s="570"/>
      <c r="O292" s="628">
        <f t="shared" si="126"/>
        <v>0</v>
      </c>
      <c r="P292" s="628">
        <f t="shared" si="127"/>
        <v>0</v>
      </c>
      <c r="Q292" s="647" t="str">
        <f t="shared" si="128"/>
        <v/>
      </c>
      <c r="R292" s="647" t="str">
        <f t="shared" si="129"/>
        <v/>
      </c>
    </row>
    <row r="293" spans="1:18" x14ac:dyDescent="0.2">
      <c r="A293" s="171"/>
      <c r="B293" s="422">
        <v>20</v>
      </c>
      <c r="C293" s="829" t="str">
        <f t="shared" si="125"/>
        <v>** NOT USED **</v>
      </c>
      <c r="D293" s="830"/>
      <c r="E293" s="831"/>
      <c r="F293" s="401"/>
      <c r="G293" s="86" t="str">
        <f>IF('4b. Impact - affected (pub)'!G293&lt;&gt;"",'4b. Impact - affected (pub)'!G293,"")</f>
        <v/>
      </c>
      <c r="H293" s="401"/>
      <c r="I293" s="401"/>
      <c r="J293" s="402">
        <f t="shared" si="130"/>
        <v>0</v>
      </c>
      <c r="K293" s="643" t="str">
        <f>IF(C293&lt;&gt;MsgNotUsed,'4b. Impact - affected (pub)'!K293,"")</f>
        <v/>
      </c>
      <c r="L293" s="402">
        <f t="shared" si="131"/>
        <v>0</v>
      </c>
      <c r="M293" s="402">
        <f t="shared" si="132"/>
        <v>0</v>
      </c>
      <c r="N293" s="570"/>
      <c r="O293" s="628">
        <f t="shared" si="126"/>
        <v>0</v>
      </c>
      <c r="P293" s="628">
        <f t="shared" si="127"/>
        <v>0</v>
      </c>
      <c r="Q293" s="647" t="str">
        <f t="shared" si="128"/>
        <v/>
      </c>
      <c r="R293" s="647" t="str">
        <f t="shared" si="129"/>
        <v/>
      </c>
    </row>
    <row r="294" spans="1:18" x14ac:dyDescent="0.2">
      <c r="A294" s="171"/>
      <c r="B294" s="171"/>
      <c r="C294" s="171"/>
      <c r="D294" s="171"/>
      <c r="E294" s="171"/>
      <c r="F294" s="171"/>
      <c r="G294" s="171"/>
      <c r="H294" s="171"/>
      <c r="I294" s="171"/>
      <c r="J294" s="171"/>
      <c r="K294" s="171"/>
      <c r="L294" s="171"/>
      <c r="M294" s="171"/>
      <c r="Q294" s="646">
        <f>SUM(Q274:Q293)</f>
        <v>0</v>
      </c>
      <c r="R294" s="570"/>
    </row>
    <row r="295" spans="1:18" x14ac:dyDescent="0.2">
      <c r="A295" s="171"/>
      <c r="B295" s="171"/>
      <c r="C295" s="220"/>
      <c r="D295" s="220"/>
      <c r="E295" s="220"/>
      <c r="F295" s="215"/>
      <c r="G295" s="171"/>
      <c r="H295" s="171"/>
      <c r="I295" s="171"/>
      <c r="J295" s="171"/>
      <c r="K295" s="171"/>
      <c r="L295" s="171"/>
      <c r="M295" s="171"/>
    </row>
    <row r="296" spans="1:18" ht="15.75" x14ac:dyDescent="0.2">
      <c r="A296" s="176"/>
      <c r="B296" s="176"/>
      <c r="C296" s="174" t="s">
        <v>941</v>
      </c>
      <c r="D296" s="174"/>
      <c r="E296" s="174"/>
      <c r="F296" s="240"/>
      <c r="G296" s="177"/>
      <c r="H296" s="177"/>
      <c r="I296" s="177"/>
      <c r="J296" s="177"/>
      <c r="K296" s="178"/>
      <c r="L296" s="178"/>
      <c r="M296" s="178"/>
    </row>
    <row r="297" spans="1:18" x14ac:dyDescent="0.2">
      <c r="A297" s="5"/>
      <c r="B297" s="5"/>
      <c r="C297" s="18"/>
      <c r="D297" s="18"/>
      <c r="E297" s="18"/>
      <c r="F297" s="18"/>
      <c r="G297" s="18"/>
      <c r="H297" s="18"/>
      <c r="I297" s="18"/>
      <c r="J297" s="18"/>
      <c r="K297" s="18"/>
      <c r="L297" s="18"/>
      <c r="M297" s="18"/>
    </row>
    <row r="298" spans="1:18" x14ac:dyDescent="0.2">
      <c r="A298" s="5"/>
      <c r="B298" s="5"/>
      <c r="C298" s="18" t="s">
        <v>951</v>
      </c>
      <c r="D298" s="18"/>
      <c r="E298" s="18"/>
      <c r="F298" s="18"/>
      <c r="G298" s="18"/>
      <c r="H298" s="18"/>
      <c r="I298" s="18"/>
      <c r="J298" s="18"/>
      <c r="K298" s="18"/>
      <c r="L298" s="18"/>
      <c r="M298" s="16"/>
    </row>
  </sheetData>
  <mergeCells count="63">
    <mergeCell ref="C289:E289"/>
    <mergeCell ref="C290:E290"/>
    <mergeCell ref="C291:E291"/>
    <mergeCell ref="C292:E292"/>
    <mergeCell ref="C293:E293"/>
    <mergeCell ref="C284:E284"/>
    <mergeCell ref="C285:E285"/>
    <mergeCell ref="C286:E286"/>
    <mergeCell ref="C287:E287"/>
    <mergeCell ref="C288:E288"/>
    <mergeCell ref="C276:E276"/>
    <mergeCell ref="C273:E273"/>
    <mergeCell ref="C274:E274"/>
    <mergeCell ref="C275:E275"/>
    <mergeCell ref="K32:M32"/>
    <mergeCell ref="K44:M44"/>
    <mergeCell ref="K56:M56"/>
    <mergeCell ref="K68:M68"/>
    <mergeCell ref="K80:M80"/>
    <mergeCell ref="H272:J272"/>
    <mergeCell ref="K92:M92"/>
    <mergeCell ref="K104:M104"/>
    <mergeCell ref="K116:M116"/>
    <mergeCell ref="K128:M128"/>
    <mergeCell ref="K140:M140"/>
    <mergeCell ref="K260:M260"/>
    <mergeCell ref="C283:E283"/>
    <mergeCell ref="C277:E277"/>
    <mergeCell ref="C278:E278"/>
    <mergeCell ref="C279:E279"/>
    <mergeCell ref="C280:E280"/>
    <mergeCell ref="C281:E281"/>
    <mergeCell ref="C282:E282"/>
    <mergeCell ref="K1:M1"/>
    <mergeCell ref="K212:M212"/>
    <mergeCell ref="K224:M224"/>
    <mergeCell ref="K236:M236"/>
    <mergeCell ref="K248:M248"/>
    <mergeCell ref="K152:M152"/>
    <mergeCell ref="K164:M164"/>
    <mergeCell ref="K176:M176"/>
    <mergeCell ref="K188:M188"/>
    <mergeCell ref="K200:M200"/>
    <mergeCell ref="L28:M28"/>
    <mergeCell ref="L40:M40"/>
    <mergeCell ref="L52:M52"/>
    <mergeCell ref="L64:M64"/>
    <mergeCell ref="L76:M76"/>
    <mergeCell ref="L88:M88"/>
    <mergeCell ref="L100:M100"/>
    <mergeCell ref="L112:M112"/>
    <mergeCell ref="L124:M124"/>
    <mergeCell ref="L136:M136"/>
    <mergeCell ref="L148:M148"/>
    <mergeCell ref="L220:M220"/>
    <mergeCell ref="L232:M232"/>
    <mergeCell ref="L244:M244"/>
    <mergeCell ref="L256:M256"/>
    <mergeCell ref="L160:M160"/>
    <mergeCell ref="L172:M172"/>
    <mergeCell ref="L184:M184"/>
    <mergeCell ref="L196:M196"/>
    <mergeCell ref="L208:M208"/>
  </mergeCells>
  <conditionalFormatting sqref="I274:I293">
    <cfRule type="expression" dxfId="312" priority="162">
      <formula>SplitPPMarket&lt;&gt;"Y"</formula>
    </cfRule>
  </conditionalFormatting>
  <conditionalFormatting sqref="F274:I274">
    <cfRule type="expression" dxfId="311" priority="172">
      <formula>$C$274=MsgNotUsed</formula>
    </cfRule>
  </conditionalFormatting>
  <conditionalFormatting sqref="F275:I275">
    <cfRule type="expression" dxfId="310" priority="171">
      <formula>$C$275=MsgNotUsed</formula>
    </cfRule>
  </conditionalFormatting>
  <conditionalFormatting sqref="F276:I276">
    <cfRule type="expression" dxfId="309" priority="170">
      <formula>$C$276=MsgNotUsed</formula>
    </cfRule>
  </conditionalFormatting>
  <conditionalFormatting sqref="F277:I277">
    <cfRule type="expression" dxfId="308" priority="169">
      <formula>$C$277=MsgNotUsed</formula>
    </cfRule>
  </conditionalFormatting>
  <conditionalFormatting sqref="F278:I278">
    <cfRule type="expression" dxfId="307" priority="168">
      <formula>$C$278=MsgNotUsed</formula>
    </cfRule>
  </conditionalFormatting>
  <conditionalFormatting sqref="F279:I279">
    <cfRule type="expression" dxfId="306" priority="167">
      <formula>$C$279=MsgNotUsed</formula>
    </cfRule>
  </conditionalFormatting>
  <conditionalFormatting sqref="F280:I280">
    <cfRule type="expression" dxfId="305" priority="166">
      <formula>$C$280=MsgNotUsed</formula>
    </cfRule>
  </conditionalFormatting>
  <conditionalFormatting sqref="F281:I281">
    <cfRule type="expression" dxfId="304" priority="165">
      <formula>$C$281=MsgNotUsed</formula>
    </cfRule>
  </conditionalFormatting>
  <conditionalFormatting sqref="F282:I282">
    <cfRule type="expression" dxfId="303" priority="164">
      <formula>$C$282=MsgNotUsed</formula>
    </cfRule>
  </conditionalFormatting>
  <conditionalFormatting sqref="F283:I283">
    <cfRule type="expression" dxfId="302" priority="163">
      <formula>$C$283=MsgNotUsed</formula>
    </cfRule>
  </conditionalFormatting>
  <conditionalFormatting sqref="F284:I284">
    <cfRule type="expression" dxfId="301" priority="113">
      <formula>$C$284=MsgNotUsed</formula>
    </cfRule>
  </conditionalFormatting>
  <conditionalFormatting sqref="F285:I285">
    <cfRule type="expression" dxfId="300" priority="112">
      <formula>$C$285=MsgNotUsed</formula>
    </cfRule>
  </conditionalFormatting>
  <conditionalFormatting sqref="F286:I286">
    <cfRule type="expression" dxfId="299" priority="111">
      <formula>$C$286=MsgNotUsed</formula>
    </cfRule>
  </conditionalFormatting>
  <conditionalFormatting sqref="F287:I287">
    <cfRule type="expression" dxfId="298" priority="110">
      <formula>$C$287=MsgNotUsed</formula>
    </cfRule>
  </conditionalFormatting>
  <conditionalFormatting sqref="F288:I288">
    <cfRule type="expression" dxfId="297" priority="109">
      <formula>$C$288=MsgNotUsed</formula>
    </cfRule>
  </conditionalFormatting>
  <conditionalFormatting sqref="F289:I289">
    <cfRule type="expression" dxfId="296" priority="108">
      <formula>$C$289=MsgNotUsed</formula>
    </cfRule>
  </conditionalFormatting>
  <conditionalFormatting sqref="F290:I290">
    <cfRule type="expression" dxfId="295" priority="107">
      <formula>$C$290=MsgNotUsed</formula>
    </cfRule>
  </conditionalFormatting>
  <conditionalFormatting sqref="F291:I291">
    <cfRule type="expression" dxfId="294" priority="106">
      <formula>$C$291=MsgNotUsed</formula>
    </cfRule>
  </conditionalFormatting>
  <conditionalFormatting sqref="F292:I292">
    <cfRule type="expression" dxfId="293" priority="105">
      <formula>$C$292=MsgNotUsed</formula>
    </cfRule>
  </conditionalFormatting>
  <conditionalFormatting sqref="F293:I293">
    <cfRule type="expression" dxfId="292" priority="104">
      <formula>$C$293=MsgNotUsed</formula>
    </cfRule>
  </conditionalFormatting>
  <conditionalFormatting sqref="K32:M32">
    <cfRule type="notContainsBlanks" dxfId="291" priority="63">
      <formula>LEN(TRIM(K32))&gt;0</formula>
    </cfRule>
  </conditionalFormatting>
  <conditionalFormatting sqref="K44:M44">
    <cfRule type="notContainsBlanks" dxfId="290" priority="62">
      <formula>LEN(TRIM(K44))&gt;0</formula>
    </cfRule>
  </conditionalFormatting>
  <conditionalFormatting sqref="K56:M56">
    <cfRule type="notContainsBlanks" dxfId="289" priority="61">
      <formula>LEN(TRIM(K56))&gt;0</formula>
    </cfRule>
  </conditionalFormatting>
  <conditionalFormatting sqref="K68:M68">
    <cfRule type="notContainsBlanks" dxfId="288" priority="60">
      <formula>LEN(TRIM(K68))&gt;0</formula>
    </cfRule>
  </conditionalFormatting>
  <conditionalFormatting sqref="K80:M80">
    <cfRule type="notContainsBlanks" dxfId="287" priority="59">
      <formula>LEN(TRIM(K80))&gt;0</formula>
    </cfRule>
  </conditionalFormatting>
  <conditionalFormatting sqref="K92:M92">
    <cfRule type="notContainsBlanks" dxfId="286" priority="58">
      <formula>LEN(TRIM(K92))&gt;0</formula>
    </cfRule>
  </conditionalFormatting>
  <conditionalFormatting sqref="K104:M104">
    <cfRule type="notContainsBlanks" dxfId="285" priority="57">
      <formula>LEN(TRIM(K104))&gt;0</formula>
    </cfRule>
  </conditionalFormatting>
  <conditionalFormatting sqref="K116:M116">
    <cfRule type="notContainsBlanks" dxfId="284" priority="56">
      <formula>LEN(TRIM(K116))&gt;0</formula>
    </cfRule>
  </conditionalFormatting>
  <conditionalFormatting sqref="K128:M128">
    <cfRule type="notContainsBlanks" dxfId="283" priority="55">
      <formula>LEN(TRIM(K128))&gt;0</formula>
    </cfRule>
  </conditionalFormatting>
  <conditionalFormatting sqref="K140:M140">
    <cfRule type="notContainsBlanks" dxfId="282" priority="54">
      <formula>LEN(TRIM(K140))&gt;0</formula>
    </cfRule>
  </conditionalFormatting>
  <conditionalFormatting sqref="K152:M152">
    <cfRule type="notContainsBlanks" dxfId="281" priority="53">
      <formula>LEN(TRIM(K152))&gt;0</formula>
    </cfRule>
  </conditionalFormatting>
  <conditionalFormatting sqref="K164:M164">
    <cfRule type="notContainsBlanks" dxfId="280" priority="52">
      <formula>LEN(TRIM(K164))&gt;0</formula>
    </cfRule>
  </conditionalFormatting>
  <conditionalFormatting sqref="K176:M176">
    <cfRule type="notContainsBlanks" dxfId="279" priority="51">
      <formula>LEN(TRIM(K176))&gt;0</formula>
    </cfRule>
  </conditionalFormatting>
  <conditionalFormatting sqref="K188:M188">
    <cfRule type="notContainsBlanks" dxfId="278" priority="50">
      <formula>LEN(TRIM(K188))&gt;0</formula>
    </cfRule>
  </conditionalFormatting>
  <conditionalFormatting sqref="K200:M200">
    <cfRule type="notContainsBlanks" dxfId="277" priority="49">
      <formula>LEN(TRIM(K200))&gt;0</formula>
    </cfRule>
  </conditionalFormatting>
  <conditionalFormatting sqref="K212:M212">
    <cfRule type="notContainsBlanks" dxfId="276" priority="48">
      <formula>LEN(TRIM(K212))&gt;0</formula>
    </cfRule>
  </conditionalFormatting>
  <conditionalFormatting sqref="K224:M224">
    <cfRule type="notContainsBlanks" dxfId="275" priority="47">
      <formula>LEN(TRIM(K224))&gt;0</formula>
    </cfRule>
  </conditionalFormatting>
  <conditionalFormatting sqref="K236:M236">
    <cfRule type="notContainsBlanks" dxfId="274" priority="46">
      <formula>LEN(TRIM(K236))&gt;0</formula>
    </cfRule>
  </conditionalFormatting>
  <conditionalFormatting sqref="K248:M248">
    <cfRule type="notContainsBlanks" dxfId="273" priority="45">
      <formula>LEN(TRIM(K248))&gt;0</formula>
    </cfRule>
  </conditionalFormatting>
  <conditionalFormatting sqref="K260:M260">
    <cfRule type="notContainsBlanks" dxfId="272" priority="44">
      <formula>LEN(TRIM(K260))&gt;0</formula>
    </cfRule>
  </conditionalFormatting>
  <conditionalFormatting sqref="H272:J272">
    <cfRule type="notContainsBlanks" dxfId="271" priority="22">
      <formula>LEN(TRIM(H272))&gt;0</formula>
    </cfRule>
  </conditionalFormatting>
  <conditionalFormatting sqref="I273:J273">
    <cfRule type="expression" dxfId="270" priority="21">
      <formula>$Q$294=0</formula>
    </cfRule>
  </conditionalFormatting>
  <conditionalFormatting sqref="I274:J274">
    <cfRule type="expression" dxfId="269" priority="20">
      <formula>$Q$274=0</formula>
    </cfRule>
  </conditionalFormatting>
  <conditionalFormatting sqref="I275:J275">
    <cfRule type="expression" dxfId="268" priority="19">
      <formula>$Q$275=0</formula>
    </cfRule>
  </conditionalFormatting>
  <conditionalFormatting sqref="I276:J276">
    <cfRule type="expression" dxfId="267" priority="18">
      <formula>$Q$276=0</formula>
    </cfRule>
  </conditionalFormatting>
  <conditionalFormatting sqref="I277:J277">
    <cfRule type="expression" dxfId="266" priority="17">
      <formula>$Q$277=0</formula>
    </cfRule>
  </conditionalFormatting>
  <conditionalFormatting sqref="I278:J278">
    <cfRule type="expression" dxfId="265" priority="16">
      <formula>$Q$278=0</formula>
    </cfRule>
  </conditionalFormatting>
  <conditionalFormatting sqref="I279:J279">
    <cfRule type="expression" dxfId="264" priority="15">
      <formula>$Q$279=0</formula>
    </cfRule>
  </conditionalFormatting>
  <conditionalFormatting sqref="I280:J280">
    <cfRule type="expression" dxfId="263" priority="14">
      <formula>$Q$280=0</formula>
    </cfRule>
  </conditionalFormatting>
  <conditionalFormatting sqref="I281:J281">
    <cfRule type="expression" dxfId="262" priority="13">
      <formula>$Q$281=0</formula>
    </cfRule>
  </conditionalFormatting>
  <conditionalFormatting sqref="I282:J282">
    <cfRule type="expression" dxfId="261" priority="12">
      <formula>$Q$282=0</formula>
    </cfRule>
  </conditionalFormatting>
  <conditionalFormatting sqref="I283:J283">
    <cfRule type="expression" dxfId="260" priority="11">
      <formula>$Q$283=0</formula>
    </cfRule>
  </conditionalFormatting>
  <conditionalFormatting sqref="I284:J284">
    <cfRule type="expression" dxfId="259" priority="10">
      <formula>$Q$284=0</formula>
    </cfRule>
  </conditionalFormatting>
  <conditionalFormatting sqref="I285:J285">
    <cfRule type="expression" dxfId="258" priority="9">
      <formula>$Q$285=0</formula>
    </cfRule>
  </conditionalFormatting>
  <conditionalFormatting sqref="I286:J286">
    <cfRule type="expression" dxfId="257" priority="8">
      <formula>$Q$286=0</formula>
    </cfRule>
  </conditionalFormatting>
  <conditionalFormatting sqref="I287:J287">
    <cfRule type="expression" dxfId="256" priority="7">
      <formula>$Q$287=0</formula>
    </cfRule>
  </conditionalFormatting>
  <conditionalFormatting sqref="I288:J288">
    <cfRule type="expression" dxfId="255" priority="6">
      <formula>$Q$288=0</formula>
    </cfRule>
  </conditionalFormatting>
  <conditionalFormatting sqref="I289:J289">
    <cfRule type="expression" dxfId="254" priority="5">
      <formula>$Q$289=0</formula>
    </cfRule>
  </conditionalFormatting>
  <conditionalFormatting sqref="I290:J290">
    <cfRule type="expression" dxfId="253" priority="4">
      <formula>$Q$290=0</formula>
    </cfRule>
  </conditionalFormatting>
  <conditionalFormatting sqref="I291:J291">
    <cfRule type="expression" dxfId="252" priority="3">
      <formula>$Q$291=0</formula>
    </cfRule>
  </conditionalFormatting>
  <conditionalFormatting sqref="I292:J292">
    <cfRule type="expression" dxfId="251" priority="2">
      <formula>$Q$292=0</formula>
    </cfRule>
  </conditionalFormatting>
  <conditionalFormatting sqref="I293:J293">
    <cfRule type="expression" dxfId="250" priority="1">
      <formula>$Q$293=0</formula>
    </cfRule>
  </conditionalFormatting>
  <dataValidations count="1">
    <dataValidation allowBlank="1" showErrorMessage="1" sqref="D60:I62 D36:I38 D127:I129 D48:I50 D55:I57 D31:I34 D67:I69 D264:I266 D120:I122 D72:I74 D79:I81 D84:I86 D91:I93 D96:I98 D103:I105 D108:I110 D115:I117 D43:I45 D223:I225 D139:I141 D15:I17 F58:I58 D132:I134 D24:I24 D228:I230 D144:I146 D151:I153 D156:I158 D235:I237 D240:I242 D163:I165 D168:I170 D175:I177 D180:I182 D187:I189 D192:I194 D199:I201 D204:I206 D211:I213 D216:I218 D247:I249 D252:I254 D259:I261 D20:I22 J58:M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pageSetUpPr fitToPage="1"/>
  </sheetPr>
  <dimension ref="A1:M43"/>
  <sheetViews>
    <sheetView showGridLines="0" zoomScaleNormal="100" workbookViewId="0">
      <pane ySplit="3" topLeftCell="A4" activePane="bottomLeft" state="frozen"/>
      <selection activeCell="B7" sqref="B7:G7"/>
      <selection pane="bottomLeft"/>
    </sheetView>
  </sheetViews>
  <sheetFormatPr defaultRowHeight="12.75" customHeight="1" x14ac:dyDescent="0.2"/>
  <cols>
    <col min="1" max="1" width="3.7109375" customWidth="1"/>
    <col min="2" max="2" width="20.7109375" customWidth="1"/>
    <col min="3" max="10" width="15.7109375" customWidth="1"/>
    <col min="11" max="11" width="15.7109375" hidden="1" customWidth="1"/>
    <col min="12" max="12" width="20.7109375" customWidth="1"/>
    <col min="13" max="13" width="25.7109375" customWidth="1"/>
  </cols>
  <sheetData>
    <row r="1" spans="1:13" ht="23.25" x14ac:dyDescent="0.2">
      <c r="A1" s="477">
        <f>IF((SUM(C17:H17)+SUM(C22:H22)&lt;&gt;0),2,0)</f>
        <v>0</v>
      </c>
      <c r="B1" s="474" t="s">
        <v>1023</v>
      </c>
      <c r="C1" s="474"/>
      <c r="D1" s="474"/>
      <c r="E1" s="473"/>
      <c r="F1" s="473"/>
      <c r="G1" s="473"/>
      <c r="H1" s="473"/>
      <c r="I1" s="473"/>
      <c r="J1" s="473"/>
      <c r="K1" s="473"/>
      <c r="L1" s="478" t="s">
        <v>46</v>
      </c>
      <c r="M1" s="479" t="str">
        <f>IF(K17=0,"Nil",IF(K19="HS","High save",IF(K19="HC","High cost",IF(K17&lt;0,"Minor save",IF(K17&gt;0,"Minor cost")))))</f>
        <v>Nil</v>
      </c>
    </row>
    <row r="2" spans="1:13" ht="23.25" x14ac:dyDescent="0.2">
      <c r="A2" s="473"/>
      <c r="B2" s="475" t="str">
        <f>CONCATENATE("Name of medicine: ", MedicineBrand)</f>
        <v>Name of medicine:  (®)</v>
      </c>
      <c r="C2" s="476"/>
      <c r="D2" s="476"/>
      <c r="E2" s="473"/>
      <c r="F2" s="473"/>
      <c r="G2" s="473"/>
      <c r="H2" s="473"/>
      <c r="I2" s="473"/>
      <c r="J2" s="473"/>
      <c r="K2" s="473"/>
      <c r="L2" s="478" t="s">
        <v>48</v>
      </c>
      <c r="M2" s="479" t="str">
        <f>IF(K22=0,"Nil",IF(K22&lt;0,"Save",IF(K22&gt;0,"Cost")))</f>
        <v>Nil</v>
      </c>
    </row>
    <row r="3" spans="1:13" ht="15.75" x14ac:dyDescent="0.2">
      <c r="A3" s="473"/>
      <c r="B3" s="475" t="str">
        <f>CONCATENATE("Indication: ",Indication)</f>
        <v xml:space="preserve">Indication: </v>
      </c>
      <c r="C3" s="476"/>
      <c r="D3" s="476"/>
      <c r="E3" s="473"/>
      <c r="F3" s="473"/>
      <c r="G3" s="473"/>
      <c r="H3" s="473"/>
      <c r="I3" s="473"/>
      <c r="J3" s="473"/>
      <c r="K3" s="473"/>
      <c r="L3" s="473"/>
      <c r="M3" s="473"/>
    </row>
    <row r="4" spans="1:13" s="575" customFormat="1" x14ac:dyDescent="0.2">
      <c r="A4" s="600"/>
      <c r="B4" s="714"/>
      <c r="C4" s="714"/>
      <c r="D4" s="714"/>
      <c r="E4" s="600"/>
      <c r="F4" s="600"/>
      <c r="G4" s="600"/>
      <c r="H4" s="600"/>
      <c r="I4" s="600"/>
      <c r="J4" s="600"/>
      <c r="K4" s="600"/>
      <c r="L4" s="600"/>
      <c r="M4" s="600"/>
    </row>
    <row r="5" spans="1:13" ht="15.75" x14ac:dyDescent="0.2">
      <c r="A5" s="173"/>
      <c r="B5" s="174" t="s">
        <v>2</v>
      </c>
      <c r="C5" s="174"/>
      <c r="D5" s="174"/>
      <c r="E5" s="214"/>
      <c r="F5" s="178"/>
      <c r="G5" s="178"/>
      <c r="H5" s="178"/>
      <c r="I5" s="178"/>
      <c r="J5" s="173"/>
      <c r="K5" s="173"/>
      <c r="L5" s="173"/>
      <c r="M5" s="173"/>
    </row>
    <row r="6" spans="1:13" ht="14.25" x14ac:dyDescent="0.2">
      <c r="A6" s="171"/>
      <c r="B6" s="209"/>
      <c r="C6" s="209"/>
      <c r="D6" s="209"/>
      <c r="E6" s="215"/>
      <c r="F6" s="171"/>
      <c r="G6" s="171"/>
      <c r="H6" s="171"/>
      <c r="I6" s="171"/>
      <c r="J6" s="171"/>
      <c r="K6" s="171"/>
      <c r="L6" s="171"/>
      <c r="M6" s="171"/>
    </row>
    <row r="7" spans="1:13" x14ac:dyDescent="0.2">
      <c r="A7" s="171"/>
      <c r="B7" s="6" t="s">
        <v>270</v>
      </c>
      <c r="C7" s="6"/>
      <c r="D7" s="6"/>
      <c r="E7" s="6"/>
      <c r="F7" s="6"/>
      <c r="G7" s="6"/>
      <c r="H7" s="6"/>
      <c r="I7" s="6"/>
      <c r="J7" s="6"/>
      <c r="K7" s="6"/>
      <c r="L7" s="6"/>
      <c r="M7" s="6"/>
    </row>
    <row r="8" spans="1:13" x14ac:dyDescent="0.2">
      <c r="A8" s="171"/>
      <c r="B8" s="6"/>
      <c r="C8" s="6"/>
      <c r="D8" s="6"/>
      <c r="E8" s="6"/>
      <c r="F8" s="6"/>
      <c r="G8" s="6"/>
      <c r="H8" s="6"/>
      <c r="I8" s="6"/>
      <c r="J8" s="6"/>
      <c r="K8" s="6"/>
      <c r="L8" s="6"/>
      <c r="M8" s="6"/>
    </row>
    <row r="9" spans="1:13" x14ac:dyDescent="0.2">
      <c r="A9" s="171"/>
      <c r="B9" s="6"/>
      <c r="C9" s="6"/>
      <c r="D9" s="6"/>
      <c r="E9" s="6"/>
      <c r="F9" s="6"/>
      <c r="G9" s="6"/>
      <c r="H9" s="6"/>
      <c r="I9" s="6"/>
      <c r="J9" s="6"/>
      <c r="K9" s="6"/>
      <c r="L9" s="6"/>
      <c r="M9" s="6"/>
    </row>
    <row r="10" spans="1:13" ht="15.75" x14ac:dyDescent="0.2">
      <c r="A10" s="176"/>
      <c r="B10" s="174" t="s">
        <v>271</v>
      </c>
      <c r="C10" s="174"/>
      <c r="D10" s="174"/>
      <c r="E10" s="214"/>
      <c r="F10" s="178"/>
      <c r="G10" s="178"/>
      <c r="H10" s="178"/>
      <c r="I10" s="178"/>
      <c r="J10" s="239"/>
      <c r="K10" s="239"/>
      <c r="L10" s="239"/>
      <c r="M10" s="239"/>
    </row>
    <row r="11" spans="1:13" ht="15.75" x14ac:dyDescent="0.2">
      <c r="A11" s="171"/>
      <c r="B11" s="193"/>
      <c r="C11" s="193"/>
      <c r="D11" s="193"/>
      <c r="E11" s="215"/>
      <c r="F11" s="171"/>
      <c r="G11" s="171"/>
      <c r="H11" s="171"/>
      <c r="I11" s="171"/>
      <c r="J11" s="171"/>
      <c r="K11" s="171"/>
      <c r="L11" s="171"/>
      <c r="M11" s="171"/>
    </row>
    <row r="12" spans="1:13" x14ac:dyDescent="0.2">
      <c r="A12" s="171"/>
      <c r="B12" s="211" t="s">
        <v>340</v>
      </c>
      <c r="C12" s="211"/>
      <c r="D12" s="211"/>
      <c r="E12" s="211"/>
      <c r="F12" s="211"/>
      <c r="G12" s="211"/>
      <c r="H12" s="211"/>
      <c r="I12" s="211"/>
      <c r="J12" s="211"/>
      <c r="K12" s="211"/>
      <c r="L12" s="211"/>
      <c r="M12" s="211"/>
    </row>
    <row r="13" spans="1:13" x14ac:dyDescent="0.2">
      <c r="A13" s="171"/>
      <c r="B13" s="213"/>
      <c r="C13" s="213"/>
      <c r="D13" s="213"/>
      <c r="E13" s="171"/>
      <c r="F13" s="171"/>
      <c r="G13" s="171"/>
      <c r="H13" s="171"/>
      <c r="I13" s="171"/>
      <c r="J13" s="171"/>
      <c r="K13" s="212" t="s">
        <v>0</v>
      </c>
      <c r="L13" s="213"/>
      <c r="M13" s="213"/>
    </row>
    <row r="14" spans="1:13" ht="15" x14ac:dyDescent="0.2">
      <c r="A14" s="171"/>
      <c r="B14" s="230" t="s">
        <v>0</v>
      </c>
      <c r="C14" s="112">
        <f>FirstYear</f>
        <v>0</v>
      </c>
      <c r="D14" s="112">
        <f>C14+1</f>
        <v>1</v>
      </c>
      <c r="E14" s="112">
        <f>D14+1</f>
        <v>2</v>
      </c>
      <c r="F14" s="112">
        <f>E14+1</f>
        <v>3</v>
      </c>
      <c r="G14" s="112">
        <f>F14+1</f>
        <v>4</v>
      </c>
      <c r="H14" s="112">
        <f>G14+1</f>
        <v>5</v>
      </c>
      <c r="I14" s="171"/>
      <c r="J14" s="171"/>
      <c r="K14" s="244" t="s">
        <v>298</v>
      </c>
      <c r="L14" s="171"/>
      <c r="M14" s="213"/>
    </row>
    <row r="15" spans="1:13" x14ac:dyDescent="0.2">
      <c r="A15" s="171"/>
      <c r="B15" s="115" t="s">
        <v>272</v>
      </c>
      <c r="C15" s="397">
        <f>'3b. Impact - proposed (pub)'!D17</f>
        <v>0</v>
      </c>
      <c r="D15" s="397">
        <f>'3b. Impact - proposed (pub)'!E17</f>
        <v>0</v>
      </c>
      <c r="E15" s="397">
        <f>'3b. Impact - proposed (pub)'!F17</f>
        <v>0</v>
      </c>
      <c r="F15" s="397">
        <f>'3b. Impact - proposed (pub)'!G17</f>
        <v>0</v>
      </c>
      <c r="G15" s="397">
        <f>'3b. Impact - proposed (pub)'!H17</f>
        <v>0</v>
      </c>
      <c r="H15" s="397">
        <f>'3b. Impact - proposed (pub)'!I17</f>
        <v>0</v>
      </c>
      <c r="I15" s="171"/>
      <c r="J15" s="171"/>
      <c r="K15" s="245">
        <v>20</v>
      </c>
      <c r="L15" s="171"/>
      <c r="M15" s="171"/>
    </row>
    <row r="16" spans="1:13" x14ac:dyDescent="0.2">
      <c r="A16" s="171"/>
      <c r="B16" s="11" t="s">
        <v>273</v>
      </c>
      <c r="C16" s="397">
        <f>'4b. Impact - affected (pub)'!D17</f>
        <v>0</v>
      </c>
      <c r="D16" s="397">
        <f>'4b. Impact - affected (pub)'!E17</f>
        <v>0</v>
      </c>
      <c r="E16" s="397">
        <f>'4b. Impact - affected (pub)'!F17</f>
        <v>0</v>
      </c>
      <c r="F16" s="397">
        <f>'4b. Impact - affected (pub)'!G17</f>
        <v>0</v>
      </c>
      <c r="G16" s="397">
        <f>'4b. Impact - affected (pub)'!H17</f>
        <v>0</v>
      </c>
      <c r="H16" s="397">
        <f>'4b. Impact - affected (pub)'!I17</f>
        <v>0</v>
      </c>
      <c r="I16" s="171"/>
      <c r="J16" s="171"/>
      <c r="K16" s="244" t="s">
        <v>299</v>
      </c>
      <c r="L16" s="171"/>
      <c r="M16" s="171"/>
    </row>
    <row r="17" spans="1:13" x14ac:dyDescent="0.2">
      <c r="A17" s="171"/>
      <c r="B17" s="11" t="s">
        <v>106</v>
      </c>
      <c r="C17" s="398">
        <f t="shared" ref="C17:H17" si="0">C15+C16</f>
        <v>0</v>
      </c>
      <c r="D17" s="398">
        <f t="shared" si="0"/>
        <v>0</v>
      </c>
      <c r="E17" s="398">
        <f t="shared" si="0"/>
        <v>0</v>
      </c>
      <c r="F17" s="398">
        <f t="shared" si="0"/>
        <v>0</v>
      </c>
      <c r="G17" s="398">
        <f t="shared" si="0"/>
        <v>0</v>
      </c>
      <c r="H17" s="398">
        <f t="shared" si="0"/>
        <v>0</v>
      </c>
      <c r="I17" s="171"/>
      <c r="J17" s="171"/>
      <c r="K17" s="356">
        <f>SUM(C35:G35)</f>
        <v>0</v>
      </c>
      <c r="L17" s="171"/>
      <c r="M17" s="171"/>
    </row>
    <row r="18" spans="1:13" x14ac:dyDescent="0.2">
      <c r="A18" s="171"/>
      <c r="B18" s="20"/>
      <c r="C18" s="20"/>
      <c r="D18" s="20"/>
      <c r="E18" s="19"/>
      <c r="F18" s="19"/>
      <c r="G18" s="19"/>
      <c r="H18" s="19"/>
      <c r="I18" s="19"/>
      <c r="J18" s="19"/>
      <c r="K18" s="244" t="s">
        <v>300</v>
      </c>
      <c r="L18" s="171"/>
      <c r="M18" s="171"/>
    </row>
    <row r="19" spans="1:13" ht="15" x14ac:dyDescent="0.2">
      <c r="A19" s="171"/>
      <c r="B19" s="230" t="s">
        <v>1</v>
      </c>
      <c r="C19" s="112">
        <f>FirstYear</f>
        <v>0</v>
      </c>
      <c r="D19" s="112">
        <f>C19+1</f>
        <v>1</v>
      </c>
      <c r="E19" s="112">
        <f>D19+1</f>
        <v>2</v>
      </c>
      <c r="F19" s="112">
        <f>E19+1</f>
        <v>3</v>
      </c>
      <c r="G19" s="112">
        <f>F19+1</f>
        <v>4</v>
      </c>
      <c r="H19" s="112">
        <f>G19+1</f>
        <v>5</v>
      </c>
      <c r="I19" s="171"/>
      <c r="J19" s="171"/>
      <c r="K19" s="246" t="str">
        <f>IF(OR(C35&gt;K15,D35&gt;K15,E35&gt;K15,F35&gt;K15,G35&gt;K15),"HC",IF(OR(C35&lt;-K15,D35&lt;-K15,E35&lt;-K15,F35&lt;-K15,G35&lt;-K15),"HS","X"))</f>
        <v>X</v>
      </c>
      <c r="L19" s="171"/>
      <c r="M19" s="171"/>
    </row>
    <row r="20" spans="1:13" x14ac:dyDescent="0.2">
      <c r="A20" s="171"/>
      <c r="B20" s="115" t="s">
        <v>272</v>
      </c>
      <c r="C20" s="396">
        <f>'3b. Impact - proposed (pub)'!D22</f>
        <v>0</v>
      </c>
      <c r="D20" s="396">
        <f>'3b. Impact - proposed (pub)'!E22</f>
        <v>0</v>
      </c>
      <c r="E20" s="396">
        <f>'3b. Impact - proposed (pub)'!F22</f>
        <v>0</v>
      </c>
      <c r="F20" s="396">
        <f>'3b. Impact - proposed (pub)'!G22</f>
        <v>0</v>
      </c>
      <c r="G20" s="396">
        <f>'3b. Impact - proposed (pub)'!H22</f>
        <v>0</v>
      </c>
      <c r="H20" s="396">
        <f>'3b. Impact - proposed (pub)'!I22</f>
        <v>0</v>
      </c>
      <c r="I20" s="171"/>
      <c r="J20" s="171"/>
      <c r="K20" s="171"/>
      <c r="L20" s="171"/>
      <c r="M20" s="171"/>
    </row>
    <row r="21" spans="1:13" x14ac:dyDescent="0.2">
      <c r="A21" s="171"/>
      <c r="B21" s="11" t="s">
        <v>273</v>
      </c>
      <c r="C21" s="396">
        <f>'4b. Impact - affected (pub)'!D22</f>
        <v>0</v>
      </c>
      <c r="D21" s="396">
        <f>'4b. Impact - affected (pub)'!E22</f>
        <v>0</v>
      </c>
      <c r="E21" s="396">
        <f>'4b. Impact - affected (pub)'!F22</f>
        <v>0</v>
      </c>
      <c r="F21" s="396">
        <f>'4b. Impact - affected (pub)'!G22</f>
        <v>0</v>
      </c>
      <c r="G21" s="396">
        <f>'4b. Impact - affected (pub)'!H22</f>
        <v>0</v>
      </c>
      <c r="H21" s="396">
        <f>'4b. Impact - affected (pub)'!I22</f>
        <v>0</v>
      </c>
      <c r="I21" s="171"/>
      <c r="J21" s="171"/>
      <c r="K21" s="212" t="s">
        <v>1</v>
      </c>
      <c r="L21" s="171"/>
      <c r="M21" s="171"/>
    </row>
    <row r="22" spans="1:13" x14ac:dyDescent="0.2">
      <c r="A22" s="171"/>
      <c r="B22" s="11" t="s">
        <v>107</v>
      </c>
      <c r="C22" s="398">
        <f t="shared" ref="C22:H22" si="1">C20+C21</f>
        <v>0</v>
      </c>
      <c r="D22" s="398">
        <f t="shared" si="1"/>
        <v>0</v>
      </c>
      <c r="E22" s="398">
        <f t="shared" si="1"/>
        <v>0</v>
      </c>
      <c r="F22" s="398">
        <f t="shared" si="1"/>
        <v>0</v>
      </c>
      <c r="G22" s="398">
        <f t="shared" si="1"/>
        <v>0</v>
      </c>
      <c r="H22" s="398">
        <f t="shared" si="1"/>
        <v>0</v>
      </c>
      <c r="I22" s="171"/>
      <c r="J22" s="171"/>
      <c r="K22" s="357">
        <f>SUM(C41:G41)</f>
        <v>0</v>
      </c>
      <c r="L22" s="171"/>
      <c r="M22" s="171"/>
    </row>
    <row r="24" spans="1:13" x14ac:dyDescent="0.2">
      <c r="B24" s="386" t="s">
        <v>919</v>
      </c>
      <c r="C24" s="399">
        <f>C22+C17</f>
        <v>0</v>
      </c>
      <c r="D24" s="399">
        <f t="shared" ref="D24:H24" si="2">D22+D17</f>
        <v>0</v>
      </c>
      <c r="E24" s="399">
        <f t="shared" si="2"/>
        <v>0</v>
      </c>
      <c r="F24" s="399">
        <f t="shared" si="2"/>
        <v>0</v>
      </c>
      <c r="G24" s="399">
        <f t="shared" si="2"/>
        <v>0</v>
      </c>
      <c r="H24" s="399">
        <f t="shared" si="2"/>
        <v>0</v>
      </c>
    </row>
    <row r="25" spans="1:13" x14ac:dyDescent="0.2">
      <c r="A25" s="171"/>
      <c r="B25" s="20"/>
      <c r="C25" s="20"/>
      <c r="D25" s="20"/>
      <c r="E25" s="19"/>
      <c r="F25" s="19"/>
      <c r="G25" s="19"/>
      <c r="H25" s="19"/>
      <c r="I25" s="19"/>
      <c r="J25" s="19"/>
      <c r="K25" s="358">
        <f>'0. Title'!D23</f>
        <v>0</v>
      </c>
      <c r="L25" s="171"/>
      <c r="M25" s="171"/>
    </row>
    <row r="26" spans="1:13" x14ac:dyDescent="0.2">
      <c r="A26" s="171"/>
      <c r="B26" s="20"/>
      <c r="C26" s="20"/>
      <c r="D26" s="20"/>
      <c r="E26" s="19"/>
      <c r="F26" s="19"/>
      <c r="G26" s="19"/>
      <c r="H26" s="19"/>
      <c r="I26" s="19"/>
      <c r="J26" s="19"/>
      <c r="K26" s="385"/>
      <c r="L26" s="171"/>
      <c r="M26" s="171"/>
    </row>
    <row r="27" spans="1:13" ht="15.75" x14ac:dyDescent="0.2">
      <c r="A27" s="171"/>
      <c r="B27" s="110" t="str">
        <f>IF(AND(SPANewFlag=1,SPAChangeFlag=1),"2. Summary - effective prices",MsgNotRequired)</f>
        <v>** NOT REQUIRED **</v>
      </c>
      <c r="C27" s="174"/>
      <c r="D27" s="174"/>
      <c r="E27" s="214"/>
      <c r="F27" s="178"/>
      <c r="G27" s="178"/>
      <c r="H27" s="178"/>
      <c r="I27" s="178"/>
      <c r="J27" s="19"/>
      <c r="K27" s="19"/>
      <c r="L27" s="171"/>
      <c r="M27" s="171"/>
    </row>
    <row r="28" spans="1:13" x14ac:dyDescent="0.2">
      <c r="A28" s="171"/>
      <c r="B28" s="229"/>
      <c r="C28" s="229"/>
      <c r="D28" s="229"/>
      <c r="E28" s="229"/>
      <c r="F28" s="229"/>
      <c r="G28" s="229"/>
      <c r="H28" s="229"/>
      <c r="I28" s="229"/>
      <c r="J28" s="229"/>
      <c r="K28" s="229"/>
      <c r="L28" s="6"/>
      <c r="M28" s="6"/>
    </row>
    <row r="29" spans="1:13" x14ac:dyDescent="0.2">
      <c r="A29" s="171"/>
      <c r="B29" s="211" t="s">
        <v>339</v>
      </c>
      <c r="C29" s="229"/>
      <c r="D29" s="229"/>
      <c r="E29" s="229"/>
      <c r="F29" s="229"/>
      <c r="G29" s="229"/>
      <c r="H29" s="229"/>
      <c r="I29" s="229"/>
      <c r="J29" s="229"/>
      <c r="K29" s="229"/>
      <c r="L29" s="6"/>
      <c r="M29" s="6"/>
    </row>
    <row r="30" spans="1:13" x14ac:dyDescent="0.2">
      <c r="A30" s="171"/>
      <c r="B30" s="171"/>
      <c r="C30" s="171"/>
      <c r="D30" s="171"/>
      <c r="E30" s="171"/>
      <c r="F30" s="171"/>
      <c r="G30" s="171"/>
      <c r="H30" s="171"/>
      <c r="I30" s="171"/>
      <c r="J30" s="171"/>
      <c r="K30" s="171"/>
      <c r="L30" s="171"/>
      <c r="M30" s="6"/>
    </row>
    <row r="31" spans="1:13" ht="15" x14ac:dyDescent="0.2">
      <c r="A31" s="171"/>
      <c r="B31" s="230" t="s">
        <v>0</v>
      </c>
      <c r="C31" s="112">
        <f>FirstYear</f>
        <v>0</v>
      </c>
      <c r="D31" s="112">
        <f>C31+1</f>
        <v>1</v>
      </c>
      <c r="E31" s="112">
        <f>D31+1</f>
        <v>2</v>
      </c>
      <c r="F31" s="112">
        <f>E31+1</f>
        <v>3</v>
      </c>
      <c r="G31" s="112">
        <f>F31+1</f>
        <v>4</v>
      </c>
      <c r="H31" s="112">
        <f>G31+1</f>
        <v>5</v>
      </c>
      <c r="I31" s="6"/>
      <c r="J31" s="6"/>
      <c r="K31" s="6"/>
      <c r="L31" s="6"/>
      <c r="M31" s="6"/>
    </row>
    <row r="32" spans="1:13" x14ac:dyDescent="0.2">
      <c r="A32" s="171"/>
      <c r="B32" s="115" t="s">
        <v>272</v>
      </c>
      <c r="C32" s="397">
        <f>'3c. Impact - proposed (eff)'!D17</f>
        <v>0</v>
      </c>
      <c r="D32" s="397">
        <f>'3c. Impact - proposed (eff)'!E17</f>
        <v>0</v>
      </c>
      <c r="E32" s="397">
        <f>'3c. Impact - proposed (eff)'!F17</f>
        <v>0</v>
      </c>
      <c r="F32" s="397">
        <f>'3c. Impact - proposed (eff)'!G17</f>
        <v>0</v>
      </c>
      <c r="G32" s="397">
        <f>'3c. Impact - proposed (eff)'!H17</f>
        <v>0</v>
      </c>
      <c r="H32" s="397">
        <f>'3c. Impact - proposed (eff)'!I17</f>
        <v>0</v>
      </c>
      <c r="I32" s="6"/>
      <c r="J32" s="6"/>
      <c r="K32" s="6"/>
      <c r="L32" s="6"/>
      <c r="M32" s="6"/>
    </row>
    <row r="33" spans="1:13" x14ac:dyDescent="0.2">
      <c r="A33" s="171"/>
      <c r="B33" s="11" t="s">
        <v>273</v>
      </c>
      <c r="C33" s="397">
        <f>'4c. Impact - affected (eff)'!D17</f>
        <v>0</v>
      </c>
      <c r="D33" s="397">
        <f>'4c. Impact - affected (eff)'!E17</f>
        <v>0</v>
      </c>
      <c r="E33" s="397">
        <f>'4c. Impact - affected (eff)'!F17</f>
        <v>0</v>
      </c>
      <c r="F33" s="397">
        <f>'4c. Impact - affected (eff)'!G17</f>
        <v>0</v>
      </c>
      <c r="G33" s="397">
        <f>'4c. Impact - affected (eff)'!H17</f>
        <v>0</v>
      </c>
      <c r="H33" s="397">
        <f>'4c. Impact - affected (eff)'!I17</f>
        <v>0</v>
      </c>
      <c r="I33" s="6"/>
      <c r="J33" s="6"/>
      <c r="K33" s="6"/>
      <c r="L33" s="6"/>
      <c r="M33" s="6"/>
    </row>
    <row r="34" spans="1:13" x14ac:dyDescent="0.2">
      <c r="A34" s="171"/>
      <c r="B34" s="11" t="s">
        <v>106</v>
      </c>
      <c r="C34" s="398">
        <f t="shared" ref="C34:H34" si="3">C32+C33</f>
        <v>0</v>
      </c>
      <c r="D34" s="398">
        <f t="shared" si="3"/>
        <v>0</v>
      </c>
      <c r="E34" s="398">
        <f t="shared" si="3"/>
        <v>0</v>
      </c>
      <c r="F34" s="398">
        <f t="shared" si="3"/>
        <v>0</v>
      </c>
      <c r="G34" s="398">
        <f t="shared" si="3"/>
        <v>0</v>
      </c>
      <c r="H34" s="398">
        <f t="shared" si="3"/>
        <v>0</v>
      </c>
      <c r="I34" s="6"/>
      <c r="J34" s="6"/>
      <c r="K34" s="6"/>
      <c r="L34" s="6"/>
      <c r="M34" s="6"/>
    </row>
    <row r="35" spans="1:13" hidden="1" x14ac:dyDescent="0.2">
      <c r="A35" s="171"/>
      <c r="B35" s="19"/>
      <c r="C35" s="57">
        <f t="shared" ref="C35:H35" si="4">IF($K$25=0,C17,C34)/1000000</f>
        <v>0</v>
      </c>
      <c r="D35" s="57">
        <f t="shared" si="4"/>
        <v>0</v>
      </c>
      <c r="E35" s="57">
        <f t="shared" si="4"/>
        <v>0</v>
      </c>
      <c r="F35" s="57">
        <f t="shared" si="4"/>
        <v>0</v>
      </c>
      <c r="G35" s="57">
        <f t="shared" si="4"/>
        <v>0</v>
      </c>
      <c r="H35" s="57">
        <f t="shared" si="4"/>
        <v>0</v>
      </c>
      <c r="I35" s="6"/>
      <c r="J35" s="6"/>
      <c r="K35" s="6"/>
      <c r="L35" s="6"/>
      <c r="M35" s="6"/>
    </row>
    <row r="36" spans="1:13" x14ac:dyDescent="0.2">
      <c r="A36" s="171"/>
      <c r="B36" s="20"/>
      <c r="C36" s="20"/>
      <c r="D36" s="20"/>
      <c r="E36" s="19"/>
      <c r="F36" s="19"/>
      <c r="G36" s="19"/>
      <c r="H36" s="19"/>
      <c r="I36" s="6"/>
      <c r="J36" s="6"/>
      <c r="K36" s="6"/>
      <c r="L36" s="6"/>
      <c r="M36" s="6"/>
    </row>
    <row r="37" spans="1:13" ht="15" x14ac:dyDescent="0.2">
      <c r="A37" s="171"/>
      <c r="B37" s="230" t="s">
        <v>1</v>
      </c>
      <c r="C37" s="112">
        <f>FirstYear</f>
        <v>0</v>
      </c>
      <c r="D37" s="112">
        <f>C37+1</f>
        <v>1</v>
      </c>
      <c r="E37" s="112">
        <f>D37+1</f>
        <v>2</v>
      </c>
      <c r="F37" s="112">
        <f>E37+1</f>
        <v>3</v>
      </c>
      <c r="G37" s="112">
        <f>F37+1</f>
        <v>4</v>
      </c>
      <c r="H37" s="112">
        <f>G37+1</f>
        <v>5</v>
      </c>
      <c r="I37" s="6"/>
      <c r="J37" s="6"/>
      <c r="K37" s="6"/>
      <c r="L37" s="6"/>
      <c r="M37" s="6"/>
    </row>
    <row r="38" spans="1:13" x14ac:dyDescent="0.2">
      <c r="A38" s="171"/>
      <c r="B38" s="115" t="s">
        <v>272</v>
      </c>
      <c r="C38" s="396">
        <f>'3c. Impact - proposed (eff)'!D22</f>
        <v>0</v>
      </c>
      <c r="D38" s="396">
        <f>'3c. Impact - proposed (eff)'!E22</f>
        <v>0</v>
      </c>
      <c r="E38" s="396">
        <f>'3c. Impact - proposed (eff)'!F22</f>
        <v>0</v>
      </c>
      <c r="F38" s="396">
        <f>'3c. Impact - proposed (eff)'!G22</f>
        <v>0</v>
      </c>
      <c r="G38" s="396">
        <f>'3c. Impact - proposed (eff)'!H22</f>
        <v>0</v>
      </c>
      <c r="H38" s="396">
        <f>'3c. Impact - proposed (eff)'!I22</f>
        <v>0</v>
      </c>
      <c r="I38" s="6"/>
      <c r="J38" s="6"/>
      <c r="K38" s="6"/>
      <c r="L38" s="6"/>
      <c r="M38" s="6"/>
    </row>
    <row r="39" spans="1:13" x14ac:dyDescent="0.2">
      <c r="A39" s="171"/>
      <c r="B39" s="11" t="s">
        <v>273</v>
      </c>
      <c r="C39" s="396">
        <f>'4c. Impact - affected (eff)'!D22</f>
        <v>0</v>
      </c>
      <c r="D39" s="396">
        <f>'4c. Impact - affected (eff)'!E22</f>
        <v>0</v>
      </c>
      <c r="E39" s="396">
        <f>'4c. Impact - affected (eff)'!F22</f>
        <v>0</v>
      </c>
      <c r="F39" s="396">
        <f>'4c. Impact - affected (eff)'!G22</f>
        <v>0</v>
      </c>
      <c r="G39" s="396">
        <f>'4c. Impact - affected (eff)'!H22</f>
        <v>0</v>
      </c>
      <c r="H39" s="396">
        <f>'4c. Impact - affected (eff)'!I22</f>
        <v>0</v>
      </c>
      <c r="I39" s="6"/>
      <c r="J39" s="6"/>
      <c r="K39" s="6"/>
      <c r="L39" s="6"/>
      <c r="M39" s="6"/>
    </row>
    <row r="40" spans="1:13" x14ac:dyDescent="0.2">
      <c r="A40" s="220"/>
      <c r="B40" s="11" t="s">
        <v>107</v>
      </c>
      <c r="C40" s="398">
        <f t="shared" ref="C40:H40" si="5">C38+C39</f>
        <v>0</v>
      </c>
      <c r="D40" s="398">
        <f t="shared" si="5"/>
        <v>0</v>
      </c>
      <c r="E40" s="398">
        <f t="shared" si="5"/>
        <v>0</v>
      </c>
      <c r="F40" s="398">
        <f t="shared" si="5"/>
        <v>0</v>
      </c>
      <c r="G40" s="398">
        <f t="shared" si="5"/>
        <v>0</v>
      </c>
      <c r="H40" s="398">
        <f t="shared" si="5"/>
        <v>0</v>
      </c>
      <c r="I40" s="220"/>
      <c r="J40" s="220"/>
      <c r="K40" s="220"/>
      <c r="L40" s="220"/>
      <c r="M40" s="220"/>
    </row>
    <row r="41" spans="1:13" hidden="1" x14ac:dyDescent="0.2">
      <c r="A41" s="4"/>
      <c r="B41" s="4"/>
      <c r="C41" s="57">
        <f t="shared" ref="C41:H41" si="6">IF($K$25=0,C22,C40)/1000</f>
        <v>0</v>
      </c>
      <c r="D41" s="57">
        <f t="shared" si="6"/>
        <v>0</v>
      </c>
      <c r="E41" s="57">
        <f t="shared" si="6"/>
        <v>0</v>
      </c>
      <c r="F41" s="57">
        <f t="shared" si="6"/>
        <v>0</v>
      </c>
      <c r="G41" s="57">
        <f t="shared" si="6"/>
        <v>0</v>
      </c>
      <c r="H41" s="57">
        <f t="shared" si="6"/>
        <v>0</v>
      </c>
      <c r="I41" s="4"/>
      <c r="J41" s="4"/>
      <c r="K41" s="4"/>
      <c r="L41" s="4"/>
      <c r="M41" s="4"/>
    </row>
    <row r="42" spans="1:13" ht="12.75" customHeight="1" x14ac:dyDescent="0.2">
      <c r="A42" s="13"/>
      <c r="B42" s="13"/>
      <c r="C42" s="13"/>
      <c r="D42" s="13"/>
      <c r="E42" s="13"/>
      <c r="F42" s="13"/>
      <c r="G42" s="13"/>
      <c r="H42" s="13"/>
      <c r="I42" s="13"/>
      <c r="J42" s="13"/>
      <c r="K42" s="13"/>
      <c r="L42" s="13"/>
      <c r="M42" s="13"/>
    </row>
    <row r="43" spans="1:13" ht="12.75" customHeight="1" x14ac:dyDescent="0.2">
      <c r="B43" s="386" t="s">
        <v>919</v>
      </c>
      <c r="C43" s="399">
        <f>C40+C34</f>
        <v>0</v>
      </c>
      <c r="D43" s="399">
        <f t="shared" ref="D43:H43" si="7">D40+D34</f>
        <v>0</v>
      </c>
      <c r="E43" s="399">
        <f t="shared" si="7"/>
        <v>0</v>
      </c>
      <c r="F43" s="399">
        <f t="shared" si="7"/>
        <v>0</v>
      </c>
      <c r="G43" s="399">
        <f t="shared" si="7"/>
        <v>0</v>
      </c>
      <c r="H43" s="399">
        <f t="shared" si="7"/>
        <v>0</v>
      </c>
    </row>
  </sheetData>
  <conditionalFormatting sqref="C32:H34 C38:H40 C43:H43">
    <cfRule type="expression" dxfId="249" priority="1">
      <formula>$B$27=MsgNotRequired</formula>
    </cfRule>
  </conditionalFormatting>
  <dataValidations count="1">
    <dataValidation allowBlank="1" showErrorMessage="1" sqref="C32:H35 C38:H41 C15:H17 C20:H24 C43:H43"/>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pageSetUpPr fitToPage="1"/>
  </sheetPr>
  <dimension ref="A1:AA416"/>
  <sheetViews>
    <sheetView showGridLines="0" workbookViewId="0">
      <pane ySplit="3" topLeftCell="A4" activePane="bottomLeft" state="frozen"/>
      <selection activeCell="B7" sqref="B7:G7"/>
      <selection pane="bottomLeft"/>
    </sheetView>
  </sheetViews>
  <sheetFormatPr defaultRowHeight="12.75" customHeight="1" outlineLevelRow="2" x14ac:dyDescent="0.2"/>
  <cols>
    <col min="1" max="1" width="3.7109375" customWidth="1"/>
    <col min="2" max="2" width="3.7109375" hidden="1" customWidth="1"/>
    <col min="3" max="3" width="35.7109375" customWidth="1"/>
    <col min="4" max="10" width="15.7109375" customWidth="1"/>
    <col min="11" max="23" width="10.7109375" hidden="1" customWidth="1"/>
    <col min="24" max="25" width="15.7109375" hidden="1" customWidth="1"/>
    <col min="26" max="27" width="15.7109375" customWidth="1"/>
  </cols>
  <sheetData>
    <row r="1" spans="1:27" ht="23.25" x14ac:dyDescent="0.2">
      <c r="A1" s="477">
        <f>IF((SUM(D16:I16)+SUM(D27:I27)+SUM(D34:I34)&lt;&gt;0),2,0)</f>
        <v>0</v>
      </c>
      <c r="B1" s="472"/>
      <c r="C1" s="474" t="s">
        <v>765</v>
      </c>
      <c r="D1" s="473"/>
      <c r="E1" s="473"/>
      <c r="F1" s="473"/>
      <c r="G1" s="473"/>
      <c r="H1" s="473"/>
      <c r="I1" s="473"/>
      <c r="J1" s="473"/>
      <c r="K1" s="473"/>
      <c r="L1" s="473"/>
      <c r="M1" s="478"/>
      <c r="N1" s="478"/>
      <c r="O1" s="478"/>
      <c r="P1" s="478"/>
      <c r="Q1" s="478"/>
      <c r="R1" s="478"/>
      <c r="S1" s="478"/>
      <c r="T1" s="478"/>
      <c r="U1" s="478"/>
      <c r="V1" s="478"/>
      <c r="W1" s="478"/>
      <c r="X1" s="478"/>
      <c r="Y1" s="478"/>
      <c r="Z1" s="478" t="s">
        <v>347</v>
      </c>
      <c r="AA1" s="479" t="str">
        <f>IF(L35=0,"Nil",IF(L35&lt;0,"Save",IF(L35&gt;0,"Cost")))</f>
        <v>Nil</v>
      </c>
    </row>
    <row r="2" spans="1:27" ht="15.75" x14ac:dyDescent="0.2">
      <c r="A2" s="473"/>
      <c r="B2" s="473"/>
      <c r="C2" s="475" t="str">
        <f>CONCATENATE("Name of medicine: ", MedicineBrand)</f>
        <v>Name of medicine:  (®)</v>
      </c>
      <c r="D2" s="473"/>
      <c r="E2" s="473"/>
      <c r="F2" s="473"/>
      <c r="G2" s="473"/>
      <c r="H2" s="473"/>
      <c r="I2" s="473"/>
      <c r="J2" s="473"/>
      <c r="K2" s="473"/>
      <c r="L2" s="473"/>
      <c r="M2" s="473"/>
      <c r="N2" s="473"/>
      <c r="O2" s="473"/>
      <c r="P2" s="473"/>
      <c r="Q2" s="473"/>
      <c r="R2" s="473"/>
      <c r="S2" s="473"/>
      <c r="T2" s="473"/>
      <c r="U2" s="473"/>
      <c r="V2" s="473"/>
      <c r="W2" s="473"/>
      <c r="X2" s="473"/>
      <c r="Y2" s="473"/>
      <c r="Z2" s="473"/>
      <c r="AA2" s="473"/>
    </row>
    <row r="3" spans="1:27" ht="15.75" x14ac:dyDescent="0.2">
      <c r="A3" s="473"/>
      <c r="B3" s="473"/>
      <c r="C3" s="475" t="str">
        <f>CONCATENATE("Indication: ",Indication)</f>
        <v xml:space="preserve">Indication: </v>
      </c>
      <c r="D3" s="473"/>
      <c r="E3" s="473"/>
      <c r="F3" s="473"/>
      <c r="G3" s="473"/>
      <c r="H3" s="473"/>
      <c r="I3" s="473"/>
      <c r="J3" s="473"/>
      <c r="K3" s="473"/>
      <c r="L3" s="473"/>
      <c r="M3" s="473"/>
      <c r="N3" s="473"/>
      <c r="O3" s="473"/>
      <c r="P3" s="473"/>
      <c r="Q3" s="473"/>
      <c r="R3" s="473"/>
      <c r="S3" s="473"/>
      <c r="T3" s="473"/>
      <c r="U3" s="473"/>
      <c r="V3" s="473"/>
      <c r="W3" s="473"/>
      <c r="X3" s="473"/>
      <c r="Y3" s="473"/>
      <c r="Z3" s="473"/>
      <c r="AA3" s="473"/>
    </row>
    <row r="4" spans="1:27" s="575" customFormat="1" x14ac:dyDescent="0.2">
      <c r="A4" s="572"/>
      <c r="B4" s="572"/>
      <c r="C4" s="266"/>
      <c r="D4" s="572"/>
      <c r="E4" s="572"/>
      <c r="F4" s="572"/>
      <c r="G4" s="572"/>
      <c r="H4" s="572"/>
      <c r="I4" s="572"/>
      <c r="J4" s="572"/>
      <c r="K4" s="572"/>
      <c r="L4" s="572"/>
      <c r="M4" s="572"/>
      <c r="N4" s="572"/>
    </row>
    <row r="5" spans="1:27" ht="15.75" x14ac:dyDescent="0.2">
      <c r="A5" s="247"/>
      <c r="B5" s="247"/>
      <c r="C5" s="174" t="s">
        <v>2</v>
      </c>
      <c r="D5" s="178"/>
      <c r="E5" s="178"/>
      <c r="F5" s="178"/>
      <c r="G5" s="178"/>
      <c r="H5" s="178"/>
      <c r="I5" s="178"/>
      <c r="J5" s="178"/>
      <c r="K5" s="178"/>
      <c r="L5" s="178"/>
      <c r="M5" s="178"/>
      <c r="N5" s="178"/>
      <c r="O5" s="178"/>
      <c r="P5" s="178"/>
      <c r="Q5" s="178"/>
      <c r="R5" s="178"/>
      <c r="S5" s="178"/>
      <c r="T5" s="178"/>
      <c r="U5" s="178"/>
      <c r="V5" s="178"/>
      <c r="W5" s="178"/>
      <c r="X5" s="178"/>
      <c r="Y5" s="178"/>
      <c r="Z5" s="178"/>
      <c r="AA5" s="178"/>
    </row>
    <row r="6" spans="1:27" x14ac:dyDescent="0.2">
      <c r="A6" s="220"/>
      <c r="B6" s="220"/>
      <c r="C6" s="13"/>
      <c r="D6" s="13"/>
      <c r="E6" s="13"/>
      <c r="F6" s="13"/>
      <c r="G6" s="13"/>
      <c r="H6" s="13"/>
      <c r="I6" s="13"/>
      <c r="J6" s="13"/>
      <c r="K6" s="13"/>
      <c r="L6" s="13"/>
      <c r="M6" s="13"/>
      <c r="N6" s="13"/>
      <c r="O6" s="13"/>
      <c r="P6" s="13"/>
      <c r="Q6" s="13"/>
      <c r="R6" s="13"/>
      <c r="S6" s="13"/>
      <c r="T6" s="13"/>
      <c r="U6" s="13"/>
      <c r="V6" s="13"/>
      <c r="W6" s="13"/>
      <c r="X6" s="13"/>
      <c r="Y6" s="13"/>
      <c r="Z6" s="13"/>
      <c r="AA6" s="13"/>
    </row>
    <row r="7" spans="1:27" x14ac:dyDescent="0.2">
      <c r="A7" s="220"/>
      <c r="B7" s="220"/>
      <c r="C7" s="6" t="s">
        <v>767</v>
      </c>
      <c r="D7" s="220"/>
      <c r="E7" s="220"/>
      <c r="F7" s="220"/>
      <c r="G7" s="220"/>
      <c r="H7" s="220"/>
      <c r="I7" s="220"/>
      <c r="J7" s="220"/>
      <c r="K7" s="220"/>
      <c r="L7" s="220"/>
      <c r="M7" s="220"/>
      <c r="N7" s="220"/>
    </row>
    <row r="8" spans="1:27" x14ac:dyDescent="0.2">
      <c r="A8" s="220"/>
      <c r="B8" s="220"/>
      <c r="C8" s="266"/>
      <c r="D8" s="220"/>
      <c r="E8" s="220"/>
      <c r="F8" s="220"/>
      <c r="G8" s="220"/>
      <c r="H8" s="220"/>
      <c r="I8" s="220"/>
      <c r="J8" s="220"/>
      <c r="K8" s="220"/>
      <c r="L8" s="220"/>
      <c r="M8" s="220"/>
      <c r="N8" s="220"/>
      <c r="O8" s="13"/>
      <c r="P8" s="13"/>
      <c r="Q8" s="13"/>
      <c r="R8" s="13"/>
      <c r="S8" s="13"/>
      <c r="T8" s="13"/>
      <c r="U8" s="13"/>
      <c r="V8" s="13"/>
      <c r="W8" s="13"/>
      <c r="X8" s="13"/>
      <c r="Y8" s="13"/>
      <c r="Z8" s="13"/>
      <c r="AA8" s="13"/>
    </row>
    <row r="9" spans="1:27" ht="15.75" x14ac:dyDescent="0.2">
      <c r="A9" s="220"/>
      <c r="B9" s="220"/>
      <c r="C9" s="174" t="s">
        <v>939</v>
      </c>
      <c r="D9" s="178"/>
      <c r="E9" s="178"/>
      <c r="F9" s="178"/>
      <c r="G9" s="178"/>
      <c r="H9" s="178"/>
      <c r="I9" s="178"/>
      <c r="J9" s="178"/>
      <c r="K9" s="178"/>
      <c r="L9" s="178"/>
      <c r="M9" s="178"/>
      <c r="N9" s="178"/>
      <c r="O9" s="178"/>
      <c r="P9" s="178"/>
      <c r="Q9" s="178"/>
      <c r="R9" s="178"/>
      <c r="S9" s="178"/>
      <c r="T9" s="178"/>
      <c r="U9" s="178"/>
      <c r="V9" s="178"/>
      <c r="W9" s="178"/>
      <c r="X9" s="178"/>
      <c r="Y9" s="178"/>
      <c r="Z9" s="178"/>
      <c r="AA9" s="178"/>
    </row>
    <row r="10" spans="1:27" x14ac:dyDescent="0.2">
      <c r="A10" s="220"/>
      <c r="B10" s="220"/>
    </row>
    <row r="11" spans="1:27" s="570" customFormat="1" x14ac:dyDescent="0.2">
      <c r="A11" s="572"/>
      <c r="B11" s="572"/>
      <c r="C11" s="197" t="s">
        <v>960</v>
      </c>
    </row>
    <row r="12" spans="1:27" s="570" customFormat="1" x14ac:dyDescent="0.2">
      <c r="A12" s="572"/>
      <c r="B12" s="572"/>
    </row>
    <row r="13" spans="1:27" x14ac:dyDescent="0.2">
      <c r="A13" s="220"/>
      <c r="B13" s="220"/>
      <c r="C13" s="7" t="s">
        <v>281</v>
      </c>
      <c r="D13" s="112">
        <f>FirstYear</f>
        <v>0</v>
      </c>
      <c r="E13" s="112">
        <f>D13+1</f>
        <v>1</v>
      </c>
      <c r="F13" s="112">
        <f>E13+1</f>
        <v>2</v>
      </c>
      <c r="G13" s="112">
        <f>F13+1</f>
        <v>3</v>
      </c>
      <c r="H13" s="112">
        <f>G13+1</f>
        <v>4</v>
      </c>
      <c r="I13" s="112">
        <f>H13+1</f>
        <v>5</v>
      </c>
      <c r="J13" s="172"/>
      <c r="K13" s="172"/>
      <c r="L13" s="220"/>
      <c r="M13" s="220"/>
      <c r="N13" s="220"/>
    </row>
    <row r="14" spans="1:27" x14ac:dyDescent="0.2">
      <c r="A14" s="220"/>
      <c r="B14" s="220"/>
      <c r="C14" s="249" t="s">
        <v>158</v>
      </c>
      <c r="D14" s="250">
        <f t="shared" ref="D14:I15" si="0">SUM(D66,D74,D82,D90,D98,D106,D114,D122,D130,D138,D146,D154,D162,D170,D178,D186,D194,D202,D210,D218)+SUM(D255,D263,D271,D279,D287,D295,D303,D311,D319,D327,D335,D343,D351,D359,D367,D375,D383,D391,D399,D407)</f>
        <v>0</v>
      </c>
      <c r="E14" s="250">
        <f t="shared" si="0"/>
        <v>0</v>
      </c>
      <c r="F14" s="250">
        <f t="shared" si="0"/>
        <v>0</v>
      </c>
      <c r="G14" s="250">
        <f t="shared" si="0"/>
        <v>0</v>
      </c>
      <c r="H14" s="250">
        <f t="shared" si="0"/>
        <v>0</v>
      </c>
      <c r="I14" s="250">
        <f t="shared" si="0"/>
        <v>0</v>
      </c>
      <c r="J14" s="172"/>
      <c r="K14" s="172"/>
      <c r="L14" s="220"/>
      <c r="M14" s="220"/>
      <c r="N14" s="220"/>
    </row>
    <row r="15" spans="1:27" x14ac:dyDescent="0.2">
      <c r="A15" s="220"/>
      <c r="B15" s="220"/>
      <c r="C15" s="251" t="s">
        <v>159</v>
      </c>
      <c r="D15" s="250">
        <f t="shared" si="0"/>
        <v>0</v>
      </c>
      <c r="E15" s="250">
        <f t="shared" si="0"/>
        <v>0</v>
      </c>
      <c r="F15" s="250">
        <f t="shared" si="0"/>
        <v>0</v>
      </c>
      <c r="G15" s="250">
        <f t="shared" si="0"/>
        <v>0</v>
      </c>
      <c r="H15" s="250">
        <f t="shared" si="0"/>
        <v>0</v>
      </c>
      <c r="I15" s="250">
        <f t="shared" si="0"/>
        <v>0</v>
      </c>
      <c r="J15" s="172"/>
      <c r="K15" s="172"/>
      <c r="M15" s="220"/>
      <c r="N15" s="220"/>
    </row>
    <row r="16" spans="1:27" x14ac:dyDescent="0.2">
      <c r="A16" s="220"/>
      <c r="B16" s="220"/>
      <c r="C16" s="115" t="s">
        <v>282</v>
      </c>
      <c r="D16" s="252">
        <f t="shared" ref="D16:I16" si="1">D14+D15</f>
        <v>0</v>
      </c>
      <c r="E16" s="252">
        <f t="shared" si="1"/>
        <v>0</v>
      </c>
      <c r="F16" s="252">
        <f t="shared" si="1"/>
        <v>0</v>
      </c>
      <c r="G16" s="252">
        <f t="shared" si="1"/>
        <v>0</v>
      </c>
      <c r="H16" s="252">
        <f t="shared" si="1"/>
        <v>0</v>
      </c>
      <c r="I16" s="252">
        <f t="shared" si="1"/>
        <v>0</v>
      </c>
      <c r="J16" s="172"/>
      <c r="K16" s="172"/>
      <c r="M16" s="254"/>
      <c r="N16" s="220"/>
    </row>
    <row r="17" spans="1:27" x14ac:dyDescent="0.2">
      <c r="A17" s="172"/>
      <c r="B17" s="172"/>
      <c r="C17" s="172"/>
      <c r="D17" s="172"/>
      <c r="E17" s="172"/>
      <c r="F17" s="172"/>
      <c r="G17" s="172"/>
      <c r="H17" s="172"/>
      <c r="I17" s="172"/>
      <c r="J17" s="172"/>
      <c r="K17" s="172"/>
      <c r="L17" s="172"/>
      <c r="M17" s="172"/>
      <c r="N17" s="172"/>
    </row>
    <row r="18" spans="1:27" ht="15.75" x14ac:dyDescent="0.2">
      <c r="A18" s="172"/>
      <c r="B18" s="172"/>
      <c r="C18" s="174" t="s">
        <v>963</v>
      </c>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row>
    <row r="19" spans="1:27" x14ac:dyDescent="0.2">
      <c r="A19" s="172"/>
      <c r="B19" s="172"/>
      <c r="C19" s="172"/>
      <c r="D19" s="172"/>
      <c r="E19" s="172"/>
      <c r="F19" s="172"/>
      <c r="G19" s="172"/>
      <c r="H19" s="172"/>
      <c r="I19" s="172"/>
      <c r="J19" s="172"/>
      <c r="K19" s="172"/>
      <c r="L19" s="172"/>
      <c r="M19" s="172"/>
      <c r="N19" s="172"/>
    </row>
    <row r="20" spans="1:27" s="570" customFormat="1" x14ac:dyDescent="0.2">
      <c r="A20" s="498"/>
      <c r="B20" s="498"/>
      <c r="C20" s="597" t="s">
        <v>962</v>
      </c>
      <c r="D20" s="498"/>
      <c r="E20" s="498"/>
      <c r="F20" s="498"/>
      <c r="G20" s="498"/>
      <c r="H20" s="498"/>
      <c r="I20" s="498"/>
      <c r="J20" s="498"/>
      <c r="K20" s="498"/>
      <c r="L20" s="498"/>
      <c r="M20" s="498"/>
      <c r="N20" s="498"/>
    </row>
    <row r="21" spans="1:27" s="570" customFormat="1" x14ac:dyDescent="0.2">
      <c r="A21" s="498"/>
      <c r="B21" s="498"/>
      <c r="C21" s="498"/>
      <c r="D21" s="498"/>
      <c r="E21" s="498"/>
      <c r="F21" s="498"/>
      <c r="G21" s="498"/>
      <c r="H21" s="498"/>
      <c r="I21" s="498"/>
      <c r="J21" s="498"/>
      <c r="K21" s="498"/>
      <c r="L21" s="498"/>
      <c r="M21" s="498"/>
      <c r="N21" s="498"/>
    </row>
    <row r="22" spans="1:27" x14ac:dyDescent="0.2">
      <c r="A22" s="172"/>
      <c r="B22" s="172"/>
      <c r="C22" s="7" t="s">
        <v>160</v>
      </c>
      <c r="D22" s="112">
        <f>FirstYear</f>
        <v>0</v>
      </c>
      <c r="E22" s="112">
        <f>D22+1</f>
        <v>1</v>
      </c>
      <c r="F22" s="112">
        <f>E22+1</f>
        <v>2</v>
      </c>
      <c r="G22" s="112">
        <f>F22+1</f>
        <v>3</v>
      </c>
      <c r="H22" s="112">
        <f>G22+1</f>
        <v>4</v>
      </c>
      <c r="I22" s="112">
        <f>H22+1</f>
        <v>5</v>
      </c>
      <c r="J22" s="172"/>
      <c r="K22" s="113" t="s">
        <v>961</v>
      </c>
      <c r="M22" s="63"/>
      <c r="N22" s="172"/>
    </row>
    <row r="23" spans="1:27" x14ac:dyDescent="0.2">
      <c r="A23" s="220"/>
      <c r="B23" s="220"/>
      <c r="C23" s="249" t="s">
        <v>161</v>
      </c>
      <c r="D23" s="250">
        <f t="shared" ref="D23:I25" si="2">SUMIFS(N$41:N$60,$L$41:$L$60,$K23)+SUMIFS(N$230:N$249,$L$230:$L$249,$K23)</f>
        <v>0</v>
      </c>
      <c r="E23" s="250">
        <f t="shared" si="2"/>
        <v>0</v>
      </c>
      <c r="F23" s="250">
        <f t="shared" si="2"/>
        <v>0</v>
      </c>
      <c r="G23" s="250">
        <f t="shared" si="2"/>
        <v>0</v>
      </c>
      <c r="H23" s="250">
        <f t="shared" si="2"/>
        <v>0</v>
      </c>
      <c r="I23" s="250">
        <f t="shared" si="2"/>
        <v>0</v>
      </c>
      <c r="J23" s="172"/>
      <c r="K23" s="253">
        <v>1</v>
      </c>
      <c r="M23" s="205"/>
      <c r="N23" s="220"/>
    </row>
    <row r="24" spans="1:27" x14ac:dyDescent="0.2">
      <c r="A24" s="220"/>
      <c r="B24" s="220"/>
      <c r="C24" s="251" t="s">
        <v>162</v>
      </c>
      <c r="D24" s="250">
        <f t="shared" si="2"/>
        <v>0</v>
      </c>
      <c r="E24" s="250">
        <f t="shared" si="2"/>
        <v>0</v>
      </c>
      <c r="F24" s="250">
        <f t="shared" si="2"/>
        <v>0</v>
      </c>
      <c r="G24" s="250">
        <f t="shared" si="2"/>
        <v>0</v>
      </c>
      <c r="H24" s="250">
        <f t="shared" si="2"/>
        <v>0</v>
      </c>
      <c r="I24" s="250">
        <f t="shared" si="2"/>
        <v>0</v>
      </c>
      <c r="J24" s="172"/>
      <c r="K24" s="253">
        <v>2</v>
      </c>
      <c r="M24" s="205"/>
      <c r="N24" s="220"/>
    </row>
    <row r="25" spans="1:27" x14ac:dyDescent="0.2">
      <c r="A25" s="220"/>
      <c r="B25" s="220"/>
      <c r="C25" s="251" t="s">
        <v>677</v>
      </c>
      <c r="D25" s="250">
        <f t="shared" si="2"/>
        <v>0</v>
      </c>
      <c r="E25" s="250">
        <f t="shared" si="2"/>
        <v>0</v>
      </c>
      <c r="F25" s="250">
        <f t="shared" si="2"/>
        <v>0</v>
      </c>
      <c r="G25" s="250">
        <f t="shared" si="2"/>
        <v>0</v>
      </c>
      <c r="H25" s="250">
        <f t="shared" si="2"/>
        <v>0</v>
      </c>
      <c r="I25" s="250">
        <f t="shared" si="2"/>
        <v>0</v>
      </c>
      <c r="J25" s="172"/>
      <c r="K25" s="253">
        <v>3</v>
      </c>
      <c r="M25" s="205"/>
      <c r="N25" s="220"/>
    </row>
    <row r="26" spans="1:27" x14ac:dyDescent="0.2">
      <c r="A26" s="220"/>
      <c r="B26" s="220"/>
      <c r="C26" s="251" t="s">
        <v>163</v>
      </c>
      <c r="D26" s="250">
        <f t="shared" ref="D26:I26" si="3">SUMIFS(N$41:N$60,$M$41:$M$60,$K26)+SUMIFS(N$230:N$249,$L$230:$L$249,$K26)</f>
        <v>0</v>
      </c>
      <c r="E26" s="250">
        <f t="shared" si="3"/>
        <v>0</v>
      </c>
      <c r="F26" s="250">
        <f t="shared" si="3"/>
        <v>0</v>
      </c>
      <c r="G26" s="250">
        <f t="shared" si="3"/>
        <v>0</v>
      </c>
      <c r="H26" s="250">
        <f t="shared" si="3"/>
        <v>0</v>
      </c>
      <c r="I26" s="250">
        <f t="shared" si="3"/>
        <v>0</v>
      </c>
      <c r="J26" s="172"/>
      <c r="K26" s="253">
        <v>1</v>
      </c>
      <c r="L26" s="427" t="s">
        <v>518</v>
      </c>
      <c r="M26" s="205"/>
      <c r="N26" s="220"/>
    </row>
    <row r="27" spans="1:27" x14ac:dyDescent="0.2">
      <c r="A27" s="220"/>
      <c r="B27" s="220"/>
      <c r="C27" s="255" t="s">
        <v>142</v>
      </c>
      <c r="D27" s="252">
        <f>SUM(D23:D25)</f>
        <v>0</v>
      </c>
      <c r="E27" s="252">
        <f t="shared" ref="E27:I27" si="4">SUM(E23:E25)</f>
        <v>0</v>
      </c>
      <c r="F27" s="252">
        <f t="shared" si="4"/>
        <v>0</v>
      </c>
      <c r="G27" s="252">
        <f t="shared" si="4"/>
        <v>0</v>
      </c>
      <c r="H27" s="252">
        <f t="shared" si="4"/>
        <v>0</v>
      </c>
      <c r="I27" s="252">
        <f t="shared" si="4"/>
        <v>0</v>
      </c>
      <c r="J27" s="172"/>
      <c r="L27" s="359">
        <f>SUM(D24:H25)</f>
        <v>0</v>
      </c>
      <c r="M27" s="254"/>
      <c r="N27" s="220"/>
    </row>
    <row r="28" spans="1:27" x14ac:dyDescent="0.2">
      <c r="A28" s="172"/>
      <c r="B28" s="172"/>
      <c r="C28" s="172"/>
      <c r="D28" s="172"/>
      <c r="E28" s="172"/>
      <c r="F28" s="172"/>
      <c r="G28" s="172"/>
      <c r="H28" s="172"/>
      <c r="I28" s="172"/>
      <c r="J28" s="172"/>
      <c r="K28" s="172"/>
      <c r="M28" s="172"/>
      <c r="N28" s="172"/>
    </row>
    <row r="29" spans="1:27" x14ac:dyDescent="0.2">
      <c r="A29" s="172"/>
      <c r="B29" s="172"/>
      <c r="C29" s="7" t="s">
        <v>160</v>
      </c>
      <c r="D29" s="172"/>
      <c r="E29" s="172"/>
      <c r="F29" s="172"/>
      <c r="G29" s="172"/>
      <c r="H29" s="172"/>
      <c r="I29" s="172"/>
      <c r="J29" s="172"/>
      <c r="K29" s="427" t="s">
        <v>961</v>
      </c>
      <c r="M29" s="172"/>
      <c r="N29" s="172"/>
    </row>
    <row r="30" spans="1:27" x14ac:dyDescent="0.2">
      <c r="A30" s="220"/>
      <c r="B30" s="220"/>
      <c r="C30" s="249" t="s">
        <v>164</v>
      </c>
      <c r="D30" s="250">
        <f t="shared" ref="D30:I32" si="5">SUMIFS(T$41:T$60,$L$41:$L$60,$K30)+SUMIFS(T$230:T$249,$L$230:$L$249,$K30)</f>
        <v>0</v>
      </c>
      <c r="E30" s="250">
        <f t="shared" si="5"/>
        <v>0</v>
      </c>
      <c r="F30" s="250">
        <f t="shared" si="5"/>
        <v>0</v>
      </c>
      <c r="G30" s="250">
        <f t="shared" si="5"/>
        <v>0</v>
      </c>
      <c r="H30" s="250">
        <f t="shared" si="5"/>
        <v>0</v>
      </c>
      <c r="I30" s="250">
        <f t="shared" si="5"/>
        <v>0</v>
      </c>
      <c r="J30" s="172"/>
      <c r="K30" s="253">
        <v>1</v>
      </c>
      <c r="M30" s="205"/>
      <c r="N30" s="220"/>
    </row>
    <row r="31" spans="1:27" x14ac:dyDescent="0.2">
      <c r="A31" s="220"/>
      <c r="B31" s="220"/>
      <c r="C31" s="251" t="s">
        <v>165</v>
      </c>
      <c r="D31" s="250">
        <f t="shared" si="5"/>
        <v>0</v>
      </c>
      <c r="E31" s="250">
        <f t="shared" si="5"/>
        <v>0</v>
      </c>
      <c r="F31" s="250">
        <f t="shared" si="5"/>
        <v>0</v>
      </c>
      <c r="G31" s="250">
        <f t="shared" si="5"/>
        <v>0</v>
      </c>
      <c r="H31" s="250">
        <f t="shared" si="5"/>
        <v>0</v>
      </c>
      <c r="I31" s="250">
        <f t="shared" si="5"/>
        <v>0</v>
      </c>
      <c r="J31" s="172"/>
      <c r="K31" s="253">
        <v>2</v>
      </c>
      <c r="M31" s="205"/>
      <c r="N31" s="220"/>
    </row>
    <row r="32" spans="1:27" x14ac:dyDescent="0.2">
      <c r="A32" s="220"/>
      <c r="B32" s="220"/>
      <c r="C32" s="251" t="s">
        <v>679</v>
      </c>
      <c r="D32" s="250">
        <f t="shared" si="5"/>
        <v>0</v>
      </c>
      <c r="E32" s="250">
        <f t="shared" si="5"/>
        <v>0</v>
      </c>
      <c r="F32" s="250">
        <f t="shared" si="5"/>
        <v>0</v>
      </c>
      <c r="G32" s="250">
        <f t="shared" si="5"/>
        <v>0</v>
      </c>
      <c r="H32" s="250">
        <f t="shared" si="5"/>
        <v>0</v>
      </c>
      <c r="I32" s="250">
        <f t="shared" si="5"/>
        <v>0</v>
      </c>
      <c r="J32" s="172"/>
      <c r="K32" s="253">
        <v>3</v>
      </c>
      <c r="M32" s="205"/>
      <c r="N32" s="220"/>
    </row>
    <row r="33" spans="1:27" x14ac:dyDescent="0.2">
      <c r="A33" s="220"/>
      <c r="B33" s="220"/>
      <c r="C33" s="251" t="s">
        <v>166</v>
      </c>
      <c r="D33" s="250">
        <f t="shared" ref="D33:I33" si="6">SUMIFS(T$41:T$60,$M$41:$M$60,$K33)+SUMIFS(T$230:T$249,$L$230:$L$249,$K33)</f>
        <v>0</v>
      </c>
      <c r="E33" s="250">
        <f t="shared" si="6"/>
        <v>0</v>
      </c>
      <c r="F33" s="250">
        <f t="shared" si="6"/>
        <v>0</v>
      </c>
      <c r="G33" s="250">
        <f t="shared" si="6"/>
        <v>0</v>
      </c>
      <c r="H33" s="250">
        <f t="shared" si="6"/>
        <v>0</v>
      </c>
      <c r="I33" s="250">
        <f t="shared" si="6"/>
        <v>0</v>
      </c>
      <c r="J33" s="172"/>
      <c r="K33" s="253">
        <v>1</v>
      </c>
      <c r="L33" s="427" t="s">
        <v>518</v>
      </c>
      <c r="M33" s="205"/>
      <c r="N33" s="220"/>
    </row>
    <row r="34" spans="1:27" x14ac:dyDescent="0.2">
      <c r="A34" s="220"/>
      <c r="B34" s="220"/>
      <c r="C34" s="25" t="s">
        <v>143</v>
      </c>
      <c r="D34" s="252">
        <f>SUM(D30:D32)</f>
        <v>0</v>
      </c>
      <c r="E34" s="252">
        <f t="shared" ref="E34:I34" si="7">SUM(E30:E32)</f>
        <v>0</v>
      </c>
      <c r="F34" s="252">
        <f t="shared" si="7"/>
        <v>0</v>
      </c>
      <c r="G34" s="252">
        <f t="shared" si="7"/>
        <v>0</v>
      </c>
      <c r="H34" s="252">
        <f t="shared" si="7"/>
        <v>0</v>
      </c>
      <c r="I34" s="252">
        <f t="shared" si="7"/>
        <v>0</v>
      </c>
      <c r="J34" s="172"/>
      <c r="L34" s="359">
        <f>SUM(D31:H32)</f>
        <v>0</v>
      </c>
      <c r="M34" s="254"/>
      <c r="N34" s="220"/>
    </row>
    <row r="35" spans="1:27" x14ac:dyDescent="0.2">
      <c r="A35" s="220"/>
      <c r="B35" s="220"/>
      <c r="C35" s="266"/>
      <c r="D35" s="256"/>
      <c r="E35" s="256"/>
      <c r="F35" s="256"/>
      <c r="G35" s="256"/>
      <c r="H35" s="256"/>
      <c r="I35" s="256"/>
      <c r="J35" s="256"/>
      <c r="K35" s="13"/>
      <c r="L35" s="359">
        <f>L34+L27</f>
        <v>0</v>
      </c>
      <c r="M35" s="254"/>
      <c r="N35" s="220"/>
      <c r="O35" s="13"/>
      <c r="P35" s="13"/>
      <c r="Q35" s="13"/>
      <c r="R35" s="13"/>
      <c r="S35" s="13"/>
      <c r="T35" s="13"/>
      <c r="U35" s="13"/>
      <c r="V35" s="13"/>
      <c r="W35" s="13"/>
      <c r="X35" s="13"/>
      <c r="Y35" s="13"/>
      <c r="Z35" s="13"/>
      <c r="AA35" s="13"/>
    </row>
    <row r="36" spans="1:27" ht="15.75" x14ac:dyDescent="0.2">
      <c r="A36" s="247"/>
      <c r="B36" s="247"/>
      <c r="C36" s="174" t="s">
        <v>964</v>
      </c>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row>
    <row r="37" spans="1:27" outlineLevel="2" x14ac:dyDescent="0.2">
      <c r="A37" s="220"/>
      <c r="B37" s="220"/>
      <c r="J37" s="503"/>
      <c r="K37" s="503"/>
      <c r="L37" s="503"/>
      <c r="M37" s="503"/>
      <c r="N37" s="503"/>
    </row>
    <row r="38" spans="1:27" outlineLevel="2" x14ac:dyDescent="0.2">
      <c r="A38" s="502"/>
      <c r="B38" s="502"/>
      <c r="C38" s="502" t="s">
        <v>924</v>
      </c>
      <c r="D38" s="502"/>
      <c r="E38" s="502"/>
      <c r="F38" s="502"/>
      <c r="G38" s="502"/>
      <c r="H38" s="502"/>
      <c r="I38" s="502"/>
      <c r="J38" s="502"/>
      <c r="K38" s="502"/>
      <c r="L38" s="502"/>
      <c r="M38" s="502"/>
      <c r="N38" s="502"/>
      <c r="O38" s="13"/>
      <c r="P38" s="13"/>
      <c r="Q38" s="13"/>
      <c r="R38" s="13"/>
      <c r="S38" s="13"/>
      <c r="T38" s="13"/>
      <c r="U38" s="13"/>
      <c r="V38" s="13"/>
      <c r="W38" s="13"/>
      <c r="X38" s="13"/>
      <c r="Y38" s="13"/>
      <c r="Z38" s="13"/>
      <c r="AA38" s="13"/>
    </row>
    <row r="39" spans="1:27" outlineLevel="2" x14ac:dyDescent="0.2">
      <c r="A39" s="220"/>
      <c r="B39" s="220"/>
      <c r="C39" s="195"/>
      <c r="D39" s="220"/>
      <c r="E39" s="220"/>
      <c r="F39" s="220"/>
      <c r="G39" s="220"/>
      <c r="H39" s="220"/>
      <c r="I39" s="502"/>
      <c r="J39" s="220"/>
      <c r="K39" s="220"/>
      <c r="L39" s="502"/>
      <c r="M39" s="220"/>
      <c r="N39" s="798" t="s">
        <v>0</v>
      </c>
      <c r="O39" s="798"/>
      <c r="P39" s="798"/>
      <c r="Q39" s="798"/>
      <c r="R39" s="798"/>
      <c r="S39" s="798"/>
      <c r="T39" s="846" t="s">
        <v>1</v>
      </c>
      <c r="U39" s="846"/>
      <c r="V39" s="846"/>
      <c r="W39" s="846"/>
      <c r="X39" s="846"/>
      <c r="Y39" s="846"/>
      <c r="Z39" s="13"/>
      <c r="AA39" s="13"/>
    </row>
    <row r="40" spans="1:27" ht="25.5" outlineLevel="2" x14ac:dyDescent="0.2">
      <c r="A40" s="220"/>
      <c r="B40" s="220"/>
      <c r="C40" s="847" t="s">
        <v>883</v>
      </c>
      <c r="D40" s="848"/>
      <c r="E40" s="849"/>
      <c r="F40" s="113" t="s">
        <v>476</v>
      </c>
      <c r="G40" s="113" t="s">
        <v>150</v>
      </c>
      <c r="H40" s="113" t="s">
        <v>139</v>
      </c>
      <c r="I40" s="544" t="s">
        <v>761</v>
      </c>
      <c r="J40" s="113" t="s">
        <v>284</v>
      </c>
      <c r="K40" s="113" t="s">
        <v>313</v>
      </c>
      <c r="L40" s="113" t="s">
        <v>312</v>
      </c>
      <c r="M40" s="544" t="s">
        <v>761</v>
      </c>
      <c r="N40" s="426">
        <f>FirstYear</f>
        <v>0</v>
      </c>
      <c r="O40" s="426">
        <f>N40+1</f>
        <v>1</v>
      </c>
      <c r="P40" s="426">
        <f>O40+1</f>
        <v>2</v>
      </c>
      <c r="Q40" s="426">
        <f>P40+1</f>
        <v>3</v>
      </c>
      <c r="R40" s="426">
        <f>Q40+1</f>
        <v>4</v>
      </c>
      <c r="S40" s="426">
        <f>R40+1</f>
        <v>5</v>
      </c>
      <c r="T40" s="426">
        <f>FirstYear</f>
        <v>0</v>
      </c>
      <c r="U40" s="426">
        <f>T40+1</f>
        <v>1</v>
      </c>
      <c r="V40" s="426">
        <f>U40+1</f>
        <v>2</v>
      </c>
      <c r="W40" s="426">
        <f>V40+1</f>
        <v>3</v>
      </c>
      <c r="X40" s="426">
        <f>W40+1</f>
        <v>4</v>
      </c>
      <c r="Y40" s="426">
        <f>X40+1</f>
        <v>5</v>
      </c>
    </row>
    <row r="41" spans="1:27" outlineLevel="2" x14ac:dyDescent="0.2">
      <c r="A41" s="171"/>
      <c r="B41" s="422">
        <v>1</v>
      </c>
      <c r="C41" s="816" t="str">
        <f t="shared" ref="C41:C60" si="8">INDEX(PBSScriptsNew,B41,1)</f>
        <v>** NOT USED **</v>
      </c>
      <c r="D41" s="817"/>
      <c r="E41" s="817"/>
      <c r="F41" s="232"/>
      <c r="G41" s="86" t="str">
        <f t="shared" ref="G41:G50" si="9">IF(F41&lt;&gt;"",F41+1,"")</f>
        <v/>
      </c>
      <c r="H41" s="241"/>
      <c r="I41" s="241"/>
      <c r="J41" s="241"/>
      <c r="K41" s="346">
        <f t="shared" ref="K41:K60" si="10">IF(J41="Yes",G41,1)</f>
        <v>1</v>
      </c>
      <c r="L41" s="346">
        <f t="shared" ref="L41:L60" si="11">IF(AND(G41&lt;&gt;"",H41&lt;&gt;""),VLOOKUP(H41,AuthorityCode,2,FALSE),0)</f>
        <v>0</v>
      </c>
      <c r="M41" s="346">
        <f>IF(AND(OR(L41=2,L41=3),I41="Yes"),1,0)</f>
        <v>0</v>
      </c>
      <c r="N41" s="359">
        <f>D68</f>
        <v>0</v>
      </c>
      <c r="O41" s="359">
        <f>E68</f>
        <v>0</v>
      </c>
      <c r="P41" s="359">
        <f>F68</f>
        <v>0</v>
      </c>
      <c r="Q41" s="359">
        <f>G68</f>
        <v>0</v>
      </c>
      <c r="R41" s="359">
        <f>H68</f>
        <v>0</v>
      </c>
      <c r="S41" s="359">
        <f t="shared" ref="S41" si="12">I68</f>
        <v>0</v>
      </c>
      <c r="T41" s="443">
        <f>D69</f>
        <v>0</v>
      </c>
      <c r="U41" s="443">
        <f>E69</f>
        <v>0</v>
      </c>
      <c r="V41" s="443">
        <f>F69</f>
        <v>0</v>
      </c>
      <c r="W41" s="443">
        <f>G69</f>
        <v>0</v>
      </c>
      <c r="X41" s="443">
        <f>H69</f>
        <v>0</v>
      </c>
      <c r="Y41" s="443">
        <f t="shared" ref="Y41" si="13">I69</f>
        <v>0</v>
      </c>
    </row>
    <row r="42" spans="1:27" outlineLevel="2" x14ac:dyDescent="0.2">
      <c r="A42" s="171"/>
      <c r="B42" s="422">
        <v>2</v>
      </c>
      <c r="C42" s="816" t="str">
        <f t="shared" si="8"/>
        <v>** NOT USED **</v>
      </c>
      <c r="D42" s="817"/>
      <c r="E42" s="817"/>
      <c r="F42" s="232"/>
      <c r="G42" s="86" t="str">
        <f t="shared" si="9"/>
        <v/>
      </c>
      <c r="H42" s="241"/>
      <c r="I42" s="241"/>
      <c r="J42" s="241"/>
      <c r="K42" s="346">
        <f t="shared" si="10"/>
        <v>1</v>
      </c>
      <c r="L42" s="346">
        <f t="shared" si="11"/>
        <v>0</v>
      </c>
      <c r="M42" s="346">
        <f t="shared" ref="M42:M60" si="14">IF(AND(OR(L42=2,L42=3),I42="Yes"),1,0)</f>
        <v>0</v>
      </c>
      <c r="N42" s="359">
        <f>D76</f>
        <v>0</v>
      </c>
      <c r="O42" s="359">
        <f>E76</f>
        <v>0</v>
      </c>
      <c r="P42" s="359">
        <f>F76</f>
        <v>0</v>
      </c>
      <c r="Q42" s="359">
        <f>G76</f>
        <v>0</v>
      </c>
      <c r="R42" s="359">
        <f>H76</f>
        <v>0</v>
      </c>
      <c r="S42" s="359">
        <f t="shared" ref="S42" si="15">I76</f>
        <v>0</v>
      </c>
      <c r="T42" s="443">
        <f>D77</f>
        <v>0</v>
      </c>
      <c r="U42" s="443">
        <f>E77</f>
        <v>0</v>
      </c>
      <c r="V42" s="443">
        <f>F77</f>
        <v>0</v>
      </c>
      <c r="W42" s="443">
        <f>G77</f>
        <v>0</v>
      </c>
      <c r="X42" s="443">
        <f>H77</f>
        <v>0</v>
      </c>
      <c r="Y42" s="443">
        <f t="shared" ref="Y42" si="16">I77</f>
        <v>0</v>
      </c>
    </row>
    <row r="43" spans="1:27" outlineLevel="2" x14ac:dyDescent="0.2">
      <c r="A43" s="171"/>
      <c r="B43" s="422">
        <v>3</v>
      </c>
      <c r="C43" s="816" t="str">
        <f t="shared" si="8"/>
        <v>** NOT USED **</v>
      </c>
      <c r="D43" s="817"/>
      <c r="E43" s="817"/>
      <c r="F43" s="232"/>
      <c r="G43" s="86" t="str">
        <f t="shared" si="9"/>
        <v/>
      </c>
      <c r="H43" s="241"/>
      <c r="I43" s="241"/>
      <c r="J43" s="241"/>
      <c r="K43" s="346">
        <f t="shared" si="10"/>
        <v>1</v>
      </c>
      <c r="L43" s="346">
        <f t="shared" si="11"/>
        <v>0</v>
      </c>
      <c r="M43" s="346">
        <f t="shared" si="14"/>
        <v>0</v>
      </c>
      <c r="N43" s="359">
        <f>D84</f>
        <v>0</v>
      </c>
      <c r="O43" s="359">
        <f>E84</f>
        <v>0</v>
      </c>
      <c r="P43" s="359">
        <f>F84</f>
        <v>0</v>
      </c>
      <c r="Q43" s="359">
        <f>G84</f>
        <v>0</v>
      </c>
      <c r="R43" s="359">
        <f>H84</f>
        <v>0</v>
      </c>
      <c r="S43" s="359">
        <f t="shared" ref="S43" si="17">I84</f>
        <v>0</v>
      </c>
      <c r="T43" s="443">
        <f>D85</f>
        <v>0</v>
      </c>
      <c r="U43" s="443">
        <f>E85</f>
        <v>0</v>
      </c>
      <c r="V43" s="443">
        <f>F85</f>
        <v>0</v>
      </c>
      <c r="W43" s="443">
        <f>G85</f>
        <v>0</v>
      </c>
      <c r="X43" s="443">
        <f>H85</f>
        <v>0</v>
      </c>
      <c r="Y43" s="443">
        <f t="shared" ref="Y43" si="18">I85</f>
        <v>0</v>
      </c>
    </row>
    <row r="44" spans="1:27" outlineLevel="2" x14ac:dyDescent="0.2">
      <c r="A44" s="171"/>
      <c r="B44" s="422">
        <v>4</v>
      </c>
      <c r="C44" s="816" t="str">
        <f t="shared" si="8"/>
        <v>** NOT USED **</v>
      </c>
      <c r="D44" s="817"/>
      <c r="E44" s="817"/>
      <c r="F44" s="232"/>
      <c r="G44" s="86" t="str">
        <f t="shared" si="9"/>
        <v/>
      </c>
      <c r="H44" s="241"/>
      <c r="I44" s="241"/>
      <c r="J44" s="241"/>
      <c r="K44" s="346">
        <f t="shared" si="10"/>
        <v>1</v>
      </c>
      <c r="L44" s="346">
        <f t="shared" si="11"/>
        <v>0</v>
      </c>
      <c r="M44" s="346">
        <f t="shared" si="14"/>
        <v>0</v>
      </c>
      <c r="N44" s="359">
        <f>D92</f>
        <v>0</v>
      </c>
      <c r="O44" s="359">
        <f>E92</f>
        <v>0</v>
      </c>
      <c r="P44" s="359">
        <f>F92</f>
        <v>0</v>
      </c>
      <c r="Q44" s="359">
        <f>G92</f>
        <v>0</v>
      </c>
      <c r="R44" s="359">
        <f>H92</f>
        <v>0</v>
      </c>
      <c r="S44" s="359">
        <f t="shared" ref="S44" si="19">I92</f>
        <v>0</v>
      </c>
      <c r="T44" s="443">
        <f>D93</f>
        <v>0</v>
      </c>
      <c r="U44" s="443">
        <f>E93</f>
        <v>0</v>
      </c>
      <c r="V44" s="443">
        <f>F93</f>
        <v>0</v>
      </c>
      <c r="W44" s="443">
        <f>G93</f>
        <v>0</v>
      </c>
      <c r="X44" s="443">
        <f>H93</f>
        <v>0</v>
      </c>
      <c r="Y44" s="443">
        <f t="shared" ref="Y44" si="20">I93</f>
        <v>0</v>
      </c>
    </row>
    <row r="45" spans="1:27" outlineLevel="2" x14ac:dyDescent="0.2">
      <c r="A45" s="171"/>
      <c r="B45" s="422">
        <v>5</v>
      </c>
      <c r="C45" s="816" t="str">
        <f t="shared" si="8"/>
        <v>** NOT USED **</v>
      </c>
      <c r="D45" s="817"/>
      <c r="E45" s="817"/>
      <c r="F45" s="232"/>
      <c r="G45" s="86" t="str">
        <f t="shared" si="9"/>
        <v/>
      </c>
      <c r="H45" s="241"/>
      <c r="I45" s="241"/>
      <c r="J45" s="241"/>
      <c r="K45" s="346">
        <f t="shared" si="10"/>
        <v>1</v>
      </c>
      <c r="L45" s="346">
        <f t="shared" si="11"/>
        <v>0</v>
      </c>
      <c r="M45" s="346">
        <f t="shared" si="14"/>
        <v>0</v>
      </c>
      <c r="N45" s="359">
        <f>D100</f>
        <v>0</v>
      </c>
      <c r="O45" s="359">
        <f>E100</f>
        <v>0</v>
      </c>
      <c r="P45" s="359">
        <f>F100</f>
        <v>0</v>
      </c>
      <c r="Q45" s="359">
        <f>G100</f>
        <v>0</v>
      </c>
      <c r="R45" s="359">
        <f>H100</f>
        <v>0</v>
      </c>
      <c r="S45" s="359">
        <f t="shared" ref="S45" si="21">I100</f>
        <v>0</v>
      </c>
      <c r="T45" s="443">
        <f>D101</f>
        <v>0</v>
      </c>
      <c r="U45" s="443">
        <f>E101</f>
        <v>0</v>
      </c>
      <c r="V45" s="443">
        <f>F101</f>
        <v>0</v>
      </c>
      <c r="W45" s="443">
        <f>G101</f>
        <v>0</v>
      </c>
      <c r="X45" s="443">
        <f>H101</f>
        <v>0</v>
      </c>
      <c r="Y45" s="443">
        <f t="shared" ref="Y45" si="22">I101</f>
        <v>0</v>
      </c>
    </row>
    <row r="46" spans="1:27" outlineLevel="2" x14ac:dyDescent="0.2">
      <c r="A46" s="171"/>
      <c r="B46" s="422">
        <v>6</v>
      </c>
      <c r="C46" s="816" t="str">
        <f t="shared" si="8"/>
        <v>** NOT USED **</v>
      </c>
      <c r="D46" s="817"/>
      <c r="E46" s="817"/>
      <c r="F46" s="232"/>
      <c r="G46" s="86" t="str">
        <f t="shared" si="9"/>
        <v/>
      </c>
      <c r="H46" s="241"/>
      <c r="I46" s="241"/>
      <c r="J46" s="241"/>
      <c r="K46" s="346">
        <f t="shared" si="10"/>
        <v>1</v>
      </c>
      <c r="L46" s="346">
        <f t="shared" si="11"/>
        <v>0</v>
      </c>
      <c r="M46" s="346">
        <f t="shared" si="14"/>
        <v>0</v>
      </c>
      <c r="N46" s="359">
        <f>D108</f>
        <v>0</v>
      </c>
      <c r="O46" s="359">
        <f>E108</f>
        <v>0</v>
      </c>
      <c r="P46" s="359">
        <f>F108</f>
        <v>0</v>
      </c>
      <c r="Q46" s="359">
        <f>G108</f>
        <v>0</v>
      </c>
      <c r="R46" s="359">
        <f>H108</f>
        <v>0</v>
      </c>
      <c r="S46" s="359">
        <f t="shared" ref="S46" si="23">I108</f>
        <v>0</v>
      </c>
      <c r="T46" s="443">
        <f>D109</f>
        <v>0</v>
      </c>
      <c r="U46" s="443">
        <f>E109</f>
        <v>0</v>
      </c>
      <c r="V46" s="443">
        <f>F109</f>
        <v>0</v>
      </c>
      <c r="W46" s="443">
        <f>G109</f>
        <v>0</v>
      </c>
      <c r="X46" s="443">
        <f>H109</f>
        <v>0</v>
      </c>
      <c r="Y46" s="443">
        <f t="shared" ref="Y46" si="24">I109</f>
        <v>0</v>
      </c>
    </row>
    <row r="47" spans="1:27" outlineLevel="2" x14ac:dyDescent="0.2">
      <c r="A47" s="171"/>
      <c r="B47" s="422">
        <v>7</v>
      </c>
      <c r="C47" s="816" t="str">
        <f t="shared" si="8"/>
        <v>** NOT USED **</v>
      </c>
      <c r="D47" s="817"/>
      <c r="E47" s="817"/>
      <c r="F47" s="232"/>
      <c r="G47" s="86" t="str">
        <f t="shared" si="9"/>
        <v/>
      </c>
      <c r="H47" s="241"/>
      <c r="I47" s="241"/>
      <c r="J47" s="241"/>
      <c r="K47" s="346">
        <f t="shared" si="10"/>
        <v>1</v>
      </c>
      <c r="L47" s="346">
        <f t="shared" si="11"/>
        <v>0</v>
      </c>
      <c r="M47" s="346">
        <f t="shared" si="14"/>
        <v>0</v>
      </c>
      <c r="N47" s="359">
        <f>D116</f>
        <v>0</v>
      </c>
      <c r="O47" s="359">
        <f>E116</f>
        <v>0</v>
      </c>
      <c r="P47" s="359">
        <f>F116</f>
        <v>0</v>
      </c>
      <c r="Q47" s="359">
        <f>G116</f>
        <v>0</v>
      </c>
      <c r="R47" s="359">
        <f>H116</f>
        <v>0</v>
      </c>
      <c r="S47" s="359">
        <f t="shared" ref="S47" si="25">I116</f>
        <v>0</v>
      </c>
      <c r="T47" s="443">
        <f>D117</f>
        <v>0</v>
      </c>
      <c r="U47" s="443">
        <f>E117</f>
        <v>0</v>
      </c>
      <c r="V47" s="443">
        <f>F117</f>
        <v>0</v>
      </c>
      <c r="W47" s="443">
        <f>G117</f>
        <v>0</v>
      </c>
      <c r="X47" s="443">
        <f>H117</f>
        <v>0</v>
      </c>
      <c r="Y47" s="443">
        <f t="shared" ref="Y47" si="26">I117</f>
        <v>0</v>
      </c>
    </row>
    <row r="48" spans="1:27" outlineLevel="2" x14ac:dyDescent="0.2">
      <c r="A48" s="171"/>
      <c r="B48" s="422">
        <v>8</v>
      </c>
      <c r="C48" s="816" t="str">
        <f t="shared" si="8"/>
        <v>** NOT USED **</v>
      </c>
      <c r="D48" s="817"/>
      <c r="E48" s="817"/>
      <c r="F48" s="232"/>
      <c r="G48" s="86" t="str">
        <f t="shared" si="9"/>
        <v/>
      </c>
      <c r="H48" s="241"/>
      <c r="I48" s="241"/>
      <c r="J48" s="241"/>
      <c r="K48" s="346">
        <f t="shared" si="10"/>
        <v>1</v>
      </c>
      <c r="L48" s="346">
        <f t="shared" si="11"/>
        <v>0</v>
      </c>
      <c r="M48" s="346">
        <f t="shared" si="14"/>
        <v>0</v>
      </c>
      <c r="N48" s="359">
        <f>D124</f>
        <v>0</v>
      </c>
      <c r="O48" s="359">
        <f>E124</f>
        <v>0</v>
      </c>
      <c r="P48" s="359">
        <f>F124</f>
        <v>0</v>
      </c>
      <c r="Q48" s="359">
        <f>G124</f>
        <v>0</v>
      </c>
      <c r="R48" s="359">
        <f>H124</f>
        <v>0</v>
      </c>
      <c r="S48" s="359">
        <f t="shared" ref="S48" si="27">I124</f>
        <v>0</v>
      </c>
      <c r="T48" s="443">
        <f>D125</f>
        <v>0</v>
      </c>
      <c r="U48" s="443">
        <f>E125</f>
        <v>0</v>
      </c>
      <c r="V48" s="443">
        <f>F125</f>
        <v>0</v>
      </c>
      <c r="W48" s="443">
        <f>G125</f>
        <v>0</v>
      </c>
      <c r="X48" s="443">
        <f>H125</f>
        <v>0</v>
      </c>
      <c r="Y48" s="443">
        <f t="shared" ref="Y48" si="28">I125</f>
        <v>0</v>
      </c>
    </row>
    <row r="49" spans="1:27" outlineLevel="2" x14ac:dyDescent="0.2">
      <c r="A49" s="171"/>
      <c r="B49" s="422">
        <v>9</v>
      </c>
      <c r="C49" s="816" t="str">
        <f t="shared" si="8"/>
        <v>** NOT USED **</v>
      </c>
      <c r="D49" s="817"/>
      <c r="E49" s="817"/>
      <c r="F49" s="232"/>
      <c r="G49" s="86" t="str">
        <f t="shared" si="9"/>
        <v/>
      </c>
      <c r="H49" s="241"/>
      <c r="I49" s="241"/>
      <c r="J49" s="241"/>
      <c r="K49" s="346">
        <f t="shared" si="10"/>
        <v>1</v>
      </c>
      <c r="L49" s="346">
        <f t="shared" si="11"/>
        <v>0</v>
      </c>
      <c r="M49" s="346">
        <f t="shared" si="14"/>
        <v>0</v>
      </c>
      <c r="N49" s="359">
        <f>D132</f>
        <v>0</v>
      </c>
      <c r="O49" s="359">
        <f>E132</f>
        <v>0</v>
      </c>
      <c r="P49" s="359">
        <f>F132</f>
        <v>0</v>
      </c>
      <c r="Q49" s="359">
        <f>G132</f>
        <v>0</v>
      </c>
      <c r="R49" s="359">
        <f>H132</f>
        <v>0</v>
      </c>
      <c r="S49" s="359">
        <f t="shared" ref="S49" si="29">I132</f>
        <v>0</v>
      </c>
      <c r="T49" s="443">
        <f>D133</f>
        <v>0</v>
      </c>
      <c r="U49" s="443">
        <f>E133</f>
        <v>0</v>
      </c>
      <c r="V49" s="443">
        <f>F133</f>
        <v>0</v>
      </c>
      <c r="W49" s="443">
        <f>G133</f>
        <v>0</v>
      </c>
      <c r="X49" s="443">
        <f>H133</f>
        <v>0</v>
      </c>
      <c r="Y49" s="443">
        <f t="shared" ref="Y49" si="30">I133</f>
        <v>0</v>
      </c>
    </row>
    <row r="50" spans="1:27" outlineLevel="2" x14ac:dyDescent="0.2">
      <c r="A50" s="171"/>
      <c r="B50" s="422">
        <v>10</v>
      </c>
      <c r="C50" s="816" t="str">
        <f t="shared" si="8"/>
        <v>** NOT USED **</v>
      </c>
      <c r="D50" s="817"/>
      <c r="E50" s="817"/>
      <c r="F50" s="232"/>
      <c r="G50" s="86" t="str">
        <f t="shared" si="9"/>
        <v/>
      </c>
      <c r="H50" s="241"/>
      <c r="I50" s="241"/>
      <c r="J50" s="241"/>
      <c r="K50" s="346">
        <f t="shared" si="10"/>
        <v>1</v>
      </c>
      <c r="L50" s="346">
        <f t="shared" si="11"/>
        <v>0</v>
      </c>
      <c r="M50" s="346">
        <f t="shared" si="14"/>
        <v>0</v>
      </c>
      <c r="N50" s="359">
        <f>D140</f>
        <v>0</v>
      </c>
      <c r="O50" s="359">
        <f>E140</f>
        <v>0</v>
      </c>
      <c r="P50" s="359">
        <f>F140</f>
        <v>0</v>
      </c>
      <c r="Q50" s="359">
        <f>G140</f>
        <v>0</v>
      </c>
      <c r="R50" s="359">
        <f>H140</f>
        <v>0</v>
      </c>
      <c r="S50" s="359">
        <f t="shared" ref="S50" si="31">I140</f>
        <v>0</v>
      </c>
      <c r="T50" s="443">
        <f>D141</f>
        <v>0</v>
      </c>
      <c r="U50" s="443">
        <f>E141</f>
        <v>0</v>
      </c>
      <c r="V50" s="443">
        <f>F141</f>
        <v>0</v>
      </c>
      <c r="W50" s="443">
        <f>G141</f>
        <v>0</v>
      </c>
      <c r="X50" s="443">
        <f>H141</f>
        <v>0</v>
      </c>
      <c r="Y50" s="443">
        <f t="shared" ref="Y50" si="32">I141</f>
        <v>0</v>
      </c>
    </row>
    <row r="51" spans="1:27" outlineLevel="2" x14ac:dyDescent="0.2">
      <c r="A51" s="171"/>
      <c r="B51" s="422">
        <v>11</v>
      </c>
      <c r="C51" s="816" t="str">
        <f t="shared" si="8"/>
        <v>** NOT USED **</v>
      </c>
      <c r="D51" s="817"/>
      <c r="E51" s="817"/>
      <c r="F51" s="232"/>
      <c r="G51" s="86" t="str">
        <f t="shared" ref="G51:G60" si="33">IF(F51&lt;&gt;"",F51+1,"")</f>
        <v/>
      </c>
      <c r="H51" s="241"/>
      <c r="I51" s="241"/>
      <c r="J51" s="241"/>
      <c r="K51" s="346">
        <f t="shared" si="10"/>
        <v>1</v>
      </c>
      <c r="L51" s="346">
        <f t="shared" si="11"/>
        <v>0</v>
      </c>
      <c r="M51" s="346">
        <f t="shared" si="14"/>
        <v>0</v>
      </c>
      <c r="N51" s="359">
        <f>D148</f>
        <v>0</v>
      </c>
      <c r="O51" s="359">
        <f>E148</f>
        <v>0</v>
      </c>
      <c r="P51" s="359">
        <f>F148</f>
        <v>0</v>
      </c>
      <c r="Q51" s="359">
        <f>G148</f>
        <v>0</v>
      </c>
      <c r="R51" s="359">
        <f>H148</f>
        <v>0</v>
      </c>
      <c r="S51" s="359">
        <f t="shared" ref="S51" si="34">I148</f>
        <v>0</v>
      </c>
      <c r="T51" s="443">
        <f>D149</f>
        <v>0</v>
      </c>
      <c r="U51" s="443">
        <f>E149</f>
        <v>0</v>
      </c>
      <c r="V51" s="443">
        <f>F149</f>
        <v>0</v>
      </c>
      <c r="W51" s="443">
        <f>G149</f>
        <v>0</v>
      </c>
      <c r="X51" s="443">
        <f>H149</f>
        <v>0</v>
      </c>
      <c r="Y51" s="443">
        <f t="shared" ref="Y51" si="35">I149</f>
        <v>0</v>
      </c>
    </row>
    <row r="52" spans="1:27" outlineLevel="2" x14ac:dyDescent="0.2">
      <c r="A52" s="171"/>
      <c r="B52" s="422">
        <v>12</v>
      </c>
      <c r="C52" s="816" t="str">
        <f t="shared" si="8"/>
        <v>** NOT USED **</v>
      </c>
      <c r="D52" s="817"/>
      <c r="E52" s="817"/>
      <c r="F52" s="232"/>
      <c r="G52" s="86" t="str">
        <f t="shared" si="33"/>
        <v/>
      </c>
      <c r="H52" s="241"/>
      <c r="I52" s="241"/>
      <c r="J52" s="241"/>
      <c r="K52" s="346">
        <f t="shared" si="10"/>
        <v>1</v>
      </c>
      <c r="L52" s="346">
        <f t="shared" si="11"/>
        <v>0</v>
      </c>
      <c r="M52" s="346">
        <f t="shared" si="14"/>
        <v>0</v>
      </c>
      <c r="N52" s="359">
        <f>D156</f>
        <v>0</v>
      </c>
      <c r="O52" s="359">
        <f>E156</f>
        <v>0</v>
      </c>
      <c r="P52" s="359">
        <f>F156</f>
        <v>0</v>
      </c>
      <c r="Q52" s="359">
        <f>G156</f>
        <v>0</v>
      </c>
      <c r="R52" s="359">
        <f>H156</f>
        <v>0</v>
      </c>
      <c r="S52" s="359">
        <f t="shared" ref="S52" si="36">I156</f>
        <v>0</v>
      </c>
      <c r="T52" s="443">
        <f>D157</f>
        <v>0</v>
      </c>
      <c r="U52" s="443">
        <f>E157</f>
        <v>0</v>
      </c>
      <c r="V52" s="443">
        <f>F157</f>
        <v>0</v>
      </c>
      <c r="W52" s="443">
        <f>G157</f>
        <v>0</v>
      </c>
      <c r="X52" s="443">
        <f>H157</f>
        <v>0</v>
      </c>
      <c r="Y52" s="443">
        <f t="shared" ref="Y52" si="37">I157</f>
        <v>0</v>
      </c>
    </row>
    <row r="53" spans="1:27" outlineLevel="2" x14ac:dyDescent="0.2">
      <c r="A53" s="171"/>
      <c r="B53" s="422">
        <v>13</v>
      </c>
      <c r="C53" s="816" t="str">
        <f t="shared" si="8"/>
        <v>** NOT USED **</v>
      </c>
      <c r="D53" s="817"/>
      <c r="E53" s="817"/>
      <c r="F53" s="232"/>
      <c r="G53" s="86" t="str">
        <f t="shared" si="33"/>
        <v/>
      </c>
      <c r="H53" s="241"/>
      <c r="I53" s="241"/>
      <c r="J53" s="241"/>
      <c r="K53" s="346">
        <f t="shared" si="10"/>
        <v>1</v>
      </c>
      <c r="L53" s="346">
        <f t="shared" si="11"/>
        <v>0</v>
      </c>
      <c r="M53" s="346">
        <f t="shared" si="14"/>
        <v>0</v>
      </c>
      <c r="N53" s="359">
        <f>D164</f>
        <v>0</v>
      </c>
      <c r="O53" s="359">
        <f>E164</f>
        <v>0</v>
      </c>
      <c r="P53" s="359">
        <f>F164</f>
        <v>0</v>
      </c>
      <c r="Q53" s="359">
        <f>G164</f>
        <v>0</v>
      </c>
      <c r="R53" s="359">
        <f>H164</f>
        <v>0</v>
      </c>
      <c r="S53" s="359">
        <f t="shared" ref="S53" si="38">I164</f>
        <v>0</v>
      </c>
      <c r="T53" s="443">
        <f>D165</f>
        <v>0</v>
      </c>
      <c r="U53" s="443">
        <f>E165</f>
        <v>0</v>
      </c>
      <c r="V53" s="443">
        <f>F165</f>
        <v>0</v>
      </c>
      <c r="W53" s="443">
        <f>G165</f>
        <v>0</v>
      </c>
      <c r="X53" s="443">
        <f>H165</f>
        <v>0</v>
      </c>
      <c r="Y53" s="443">
        <f t="shared" ref="Y53" si="39">I165</f>
        <v>0</v>
      </c>
    </row>
    <row r="54" spans="1:27" outlineLevel="2" x14ac:dyDescent="0.2">
      <c r="A54" s="171"/>
      <c r="B54" s="422">
        <v>14</v>
      </c>
      <c r="C54" s="816" t="str">
        <f t="shared" si="8"/>
        <v>** NOT USED **</v>
      </c>
      <c r="D54" s="817"/>
      <c r="E54" s="817"/>
      <c r="F54" s="232"/>
      <c r="G54" s="86" t="str">
        <f t="shared" si="33"/>
        <v/>
      </c>
      <c r="H54" s="241"/>
      <c r="I54" s="241"/>
      <c r="J54" s="241"/>
      <c r="K54" s="346">
        <f t="shared" si="10"/>
        <v>1</v>
      </c>
      <c r="L54" s="346">
        <f t="shared" si="11"/>
        <v>0</v>
      </c>
      <c r="M54" s="346">
        <f t="shared" si="14"/>
        <v>0</v>
      </c>
      <c r="N54" s="359">
        <f>D172</f>
        <v>0</v>
      </c>
      <c r="O54" s="359">
        <f>E172</f>
        <v>0</v>
      </c>
      <c r="P54" s="359">
        <f>F172</f>
        <v>0</v>
      </c>
      <c r="Q54" s="359">
        <f>G172</f>
        <v>0</v>
      </c>
      <c r="R54" s="359">
        <f>H172</f>
        <v>0</v>
      </c>
      <c r="S54" s="359">
        <f t="shared" ref="S54" si="40">I172</f>
        <v>0</v>
      </c>
      <c r="T54" s="443">
        <f>D173</f>
        <v>0</v>
      </c>
      <c r="U54" s="443">
        <f>E173</f>
        <v>0</v>
      </c>
      <c r="V54" s="443">
        <f>F173</f>
        <v>0</v>
      </c>
      <c r="W54" s="443">
        <f>G173</f>
        <v>0</v>
      </c>
      <c r="X54" s="443">
        <f>H173</f>
        <v>0</v>
      </c>
      <c r="Y54" s="443">
        <f t="shared" ref="Y54" si="41">I173</f>
        <v>0</v>
      </c>
    </row>
    <row r="55" spans="1:27" outlineLevel="2" x14ac:dyDescent="0.2">
      <c r="A55" s="171"/>
      <c r="B55" s="422">
        <v>15</v>
      </c>
      <c r="C55" s="816" t="str">
        <f t="shared" si="8"/>
        <v>** NOT USED **</v>
      </c>
      <c r="D55" s="817"/>
      <c r="E55" s="817"/>
      <c r="F55" s="232"/>
      <c r="G55" s="86" t="str">
        <f t="shared" si="33"/>
        <v/>
      </c>
      <c r="H55" s="241"/>
      <c r="I55" s="241"/>
      <c r="J55" s="241"/>
      <c r="K55" s="346">
        <f t="shared" si="10"/>
        <v>1</v>
      </c>
      <c r="L55" s="346">
        <f t="shared" si="11"/>
        <v>0</v>
      </c>
      <c r="M55" s="346">
        <f t="shared" si="14"/>
        <v>0</v>
      </c>
      <c r="N55" s="359">
        <f>D180</f>
        <v>0</v>
      </c>
      <c r="O55" s="359">
        <f>E180</f>
        <v>0</v>
      </c>
      <c r="P55" s="359">
        <f>F180</f>
        <v>0</v>
      </c>
      <c r="Q55" s="359">
        <f>G180</f>
        <v>0</v>
      </c>
      <c r="R55" s="359">
        <f>H180</f>
        <v>0</v>
      </c>
      <c r="S55" s="359">
        <f t="shared" ref="S55" si="42">I180</f>
        <v>0</v>
      </c>
      <c r="T55" s="443">
        <f>D181</f>
        <v>0</v>
      </c>
      <c r="U55" s="443">
        <f>E181</f>
        <v>0</v>
      </c>
      <c r="V55" s="443">
        <f>F181</f>
        <v>0</v>
      </c>
      <c r="W55" s="443">
        <f>G181</f>
        <v>0</v>
      </c>
      <c r="X55" s="443">
        <f>H181</f>
        <v>0</v>
      </c>
      <c r="Y55" s="443">
        <f t="shared" ref="Y55" si="43">I181</f>
        <v>0</v>
      </c>
    </row>
    <row r="56" spans="1:27" outlineLevel="2" x14ac:dyDescent="0.2">
      <c r="A56" s="171"/>
      <c r="B56" s="422">
        <v>16</v>
      </c>
      <c r="C56" s="816" t="str">
        <f t="shared" si="8"/>
        <v>** NOT USED **</v>
      </c>
      <c r="D56" s="817"/>
      <c r="E56" s="817"/>
      <c r="F56" s="232"/>
      <c r="G56" s="86" t="str">
        <f t="shared" si="33"/>
        <v/>
      </c>
      <c r="H56" s="241"/>
      <c r="I56" s="241"/>
      <c r="J56" s="241"/>
      <c r="K56" s="346">
        <f t="shared" si="10"/>
        <v>1</v>
      </c>
      <c r="L56" s="346">
        <f t="shared" si="11"/>
        <v>0</v>
      </c>
      <c r="M56" s="346">
        <f t="shared" si="14"/>
        <v>0</v>
      </c>
      <c r="N56" s="359">
        <f>D188</f>
        <v>0</v>
      </c>
      <c r="O56" s="359">
        <f>E188</f>
        <v>0</v>
      </c>
      <c r="P56" s="359">
        <f>F188</f>
        <v>0</v>
      </c>
      <c r="Q56" s="359">
        <f>G188</f>
        <v>0</v>
      </c>
      <c r="R56" s="359">
        <f>H188</f>
        <v>0</v>
      </c>
      <c r="S56" s="359">
        <f t="shared" ref="S56" si="44">I188</f>
        <v>0</v>
      </c>
      <c r="T56" s="443">
        <f>D189</f>
        <v>0</v>
      </c>
      <c r="U56" s="443">
        <f>E189</f>
        <v>0</v>
      </c>
      <c r="V56" s="443">
        <f>F189</f>
        <v>0</v>
      </c>
      <c r="W56" s="443">
        <f>G189</f>
        <v>0</v>
      </c>
      <c r="X56" s="443">
        <f>H189</f>
        <v>0</v>
      </c>
      <c r="Y56" s="443">
        <f t="shared" ref="Y56" si="45">I189</f>
        <v>0</v>
      </c>
    </row>
    <row r="57" spans="1:27" outlineLevel="2" x14ac:dyDescent="0.2">
      <c r="A57" s="171"/>
      <c r="B57" s="422">
        <v>17</v>
      </c>
      <c r="C57" s="816" t="str">
        <f t="shared" si="8"/>
        <v>** NOT USED **</v>
      </c>
      <c r="D57" s="817"/>
      <c r="E57" s="817"/>
      <c r="F57" s="232"/>
      <c r="G57" s="86" t="str">
        <f t="shared" si="33"/>
        <v/>
      </c>
      <c r="H57" s="241"/>
      <c r="I57" s="241"/>
      <c r="J57" s="241"/>
      <c r="K57" s="346">
        <f t="shared" si="10"/>
        <v>1</v>
      </c>
      <c r="L57" s="346">
        <f t="shared" si="11"/>
        <v>0</v>
      </c>
      <c r="M57" s="346">
        <f t="shared" si="14"/>
        <v>0</v>
      </c>
      <c r="N57" s="359">
        <f>D196</f>
        <v>0</v>
      </c>
      <c r="O57" s="359">
        <f>E196</f>
        <v>0</v>
      </c>
      <c r="P57" s="359">
        <f>F196</f>
        <v>0</v>
      </c>
      <c r="Q57" s="359">
        <f>G196</f>
        <v>0</v>
      </c>
      <c r="R57" s="359">
        <f>H196</f>
        <v>0</v>
      </c>
      <c r="S57" s="359">
        <f t="shared" ref="S57" si="46">I196</f>
        <v>0</v>
      </c>
      <c r="T57" s="443">
        <f>D197</f>
        <v>0</v>
      </c>
      <c r="U57" s="443">
        <f>E197</f>
        <v>0</v>
      </c>
      <c r="V57" s="443">
        <f>F197</f>
        <v>0</v>
      </c>
      <c r="W57" s="443">
        <f>G197</f>
        <v>0</v>
      </c>
      <c r="X57" s="443">
        <f>H197</f>
        <v>0</v>
      </c>
      <c r="Y57" s="443">
        <f t="shared" ref="Y57" si="47">I197</f>
        <v>0</v>
      </c>
    </row>
    <row r="58" spans="1:27" outlineLevel="2" x14ac:dyDescent="0.2">
      <c r="A58" s="171"/>
      <c r="B58" s="422">
        <v>18</v>
      </c>
      <c r="C58" s="816" t="str">
        <f t="shared" si="8"/>
        <v>** NOT USED **</v>
      </c>
      <c r="D58" s="817"/>
      <c r="E58" s="817"/>
      <c r="F58" s="232"/>
      <c r="G58" s="86" t="str">
        <f t="shared" si="33"/>
        <v/>
      </c>
      <c r="H58" s="241"/>
      <c r="I58" s="241"/>
      <c r="J58" s="241"/>
      <c r="K58" s="346">
        <f t="shared" si="10"/>
        <v>1</v>
      </c>
      <c r="L58" s="346">
        <f t="shared" si="11"/>
        <v>0</v>
      </c>
      <c r="M58" s="346">
        <f t="shared" si="14"/>
        <v>0</v>
      </c>
      <c r="N58" s="359">
        <f>D204</f>
        <v>0</v>
      </c>
      <c r="O58" s="359">
        <f>E204</f>
        <v>0</v>
      </c>
      <c r="P58" s="359">
        <f>F204</f>
        <v>0</v>
      </c>
      <c r="Q58" s="359">
        <f>G204</f>
        <v>0</v>
      </c>
      <c r="R58" s="359">
        <f>H204</f>
        <v>0</v>
      </c>
      <c r="S58" s="359">
        <f t="shared" ref="S58" si="48">I204</f>
        <v>0</v>
      </c>
      <c r="T58" s="443">
        <f>D205</f>
        <v>0</v>
      </c>
      <c r="U58" s="443">
        <f>E205</f>
        <v>0</v>
      </c>
      <c r="V58" s="443">
        <f>F205</f>
        <v>0</v>
      </c>
      <c r="W58" s="443">
        <f>G205</f>
        <v>0</v>
      </c>
      <c r="X58" s="443">
        <f>H205</f>
        <v>0</v>
      </c>
      <c r="Y58" s="443">
        <f t="shared" ref="Y58" si="49">I205</f>
        <v>0</v>
      </c>
    </row>
    <row r="59" spans="1:27" outlineLevel="2" x14ac:dyDescent="0.2">
      <c r="A59" s="171"/>
      <c r="B59" s="422">
        <v>19</v>
      </c>
      <c r="C59" s="816" t="str">
        <f t="shared" si="8"/>
        <v>** NOT USED **</v>
      </c>
      <c r="D59" s="817"/>
      <c r="E59" s="817"/>
      <c r="F59" s="232"/>
      <c r="G59" s="86" t="str">
        <f t="shared" si="33"/>
        <v/>
      </c>
      <c r="H59" s="241"/>
      <c r="I59" s="241"/>
      <c r="J59" s="241"/>
      <c r="K59" s="346">
        <f t="shared" si="10"/>
        <v>1</v>
      </c>
      <c r="L59" s="346">
        <f t="shared" si="11"/>
        <v>0</v>
      </c>
      <c r="M59" s="346">
        <f t="shared" si="14"/>
        <v>0</v>
      </c>
      <c r="N59" s="359">
        <f>D212</f>
        <v>0</v>
      </c>
      <c r="O59" s="359">
        <f>E212</f>
        <v>0</v>
      </c>
      <c r="P59" s="359">
        <f>F212</f>
        <v>0</v>
      </c>
      <c r="Q59" s="359">
        <f>G212</f>
        <v>0</v>
      </c>
      <c r="R59" s="359">
        <f>H212</f>
        <v>0</v>
      </c>
      <c r="S59" s="359">
        <f t="shared" ref="S59" si="50">I212</f>
        <v>0</v>
      </c>
      <c r="T59" s="443">
        <f>D213</f>
        <v>0</v>
      </c>
      <c r="U59" s="443">
        <f>E213</f>
        <v>0</v>
      </c>
      <c r="V59" s="443">
        <f>F213</f>
        <v>0</v>
      </c>
      <c r="W59" s="443">
        <f>G213</f>
        <v>0</v>
      </c>
      <c r="X59" s="443">
        <f>H213</f>
        <v>0</v>
      </c>
      <c r="Y59" s="443">
        <f t="shared" ref="Y59" si="51">I213</f>
        <v>0</v>
      </c>
    </row>
    <row r="60" spans="1:27" outlineLevel="2" x14ac:dyDescent="0.2">
      <c r="A60" s="171"/>
      <c r="B60" s="422">
        <v>20</v>
      </c>
      <c r="C60" s="816" t="str">
        <f t="shared" si="8"/>
        <v>** NOT USED **</v>
      </c>
      <c r="D60" s="817"/>
      <c r="E60" s="817"/>
      <c r="F60" s="232"/>
      <c r="G60" s="86" t="str">
        <f t="shared" si="33"/>
        <v/>
      </c>
      <c r="H60" s="241"/>
      <c r="I60" s="241"/>
      <c r="J60" s="241"/>
      <c r="K60" s="346">
        <f t="shared" si="10"/>
        <v>1</v>
      </c>
      <c r="L60" s="346">
        <f t="shared" si="11"/>
        <v>0</v>
      </c>
      <c r="M60" s="346">
        <f t="shared" si="14"/>
        <v>0</v>
      </c>
      <c r="N60" s="359">
        <f>D220</f>
        <v>0</v>
      </c>
      <c r="O60" s="359">
        <f>E220</f>
        <v>0</v>
      </c>
      <c r="P60" s="359">
        <f>F220</f>
        <v>0</v>
      </c>
      <c r="Q60" s="359">
        <f>G220</f>
        <v>0</v>
      </c>
      <c r="R60" s="359">
        <f>H220</f>
        <v>0</v>
      </c>
      <c r="S60" s="359">
        <f t="shared" ref="S60" si="52">I220</f>
        <v>0</v>
      </c>
      <c r="T60" s="443">
        <f>D221</f>
        <v>0</v>
      </c>
      <c r="U60" s="443">
        <f>E221</f>
        <v>0</v>
      </c>
      <c r="V60" s="443">
        <f>F221</f>
        <v>0</v>
      </c>
      <c r="W60" s="443">
        <f>G221</f>
        <v>0</v>
      </c>
      <c r="X60" s="443">
        <f>H221</f>
        <v>0</v>
      </c>
      <c r="Y60" s="443">
        <f t="shared" ref="Y60" si="53">I221</f>
        <v>0</v>
      </c>
    </row>
    <row r="61" spans="1:27" outlineLevel="2" x14ac:dyDescent="0.2">
      <c r="A61" s="220"/>
      <c r="B61" s="220"/>
      <c r="C61" s="220"/>
      <c r="D61" s="220"/>
      <c r="E61" s="220"/>
      <c r="F61" s="220"/>
      <c r="G61" s="220"/>
      <c r="H61" s="220"/>
      <c r="I61" s="220"/>
      <c r="J61" s="220"/>
      <c r="K61" s="220"/>
      <c r="L61" s="346">
        <f>COUNTIF(L41:L60,"&gt;1")</f>
        <v>0</v>
      </c>
      <c r="M61" s="220"/>
      <c r="N61" s="220"/>
      <c r="R61" s="442"/>
    </row>
    <row r="62" spans="1:27" outlineLevel="1" x14ac:dyDescent="0.2">
      <c r="A62" s="220"/>
      <c r="B62" s="220"/>
      <c r="C62" s="220"/>
      <c r="D62" s="6"/>
      <c r="E62" s="220"/>
      <c r="F62" s="220"/>
      <c r="G62" s="220"/>
      <c r="H62" s="220"/>
      <c r="I62" s="220"/>
      <c r="J62" s="220"/>
      <c r="K62" s="220"/>
      <c r="L62" s="220"/>
      <c r="M62" s="220"/>
      <c r="N62" s="220"/>
    </row>
    <row r="63" spans="1:27" ht="15" outlineLevel="1" x14ac:dyDescent="0.2">
      <c r="A63" s="220"/>
      <c r="B63" s="422">
        <v>1</v>
      </c>
      <c r="C63" s="221" t="str">
        <f>INDEX(PBSScriptsNew,B63,1)</f>
        <v>** NOT USED **</v>
      </c>
      <c r="D63" s="207"/>
      <c r="E63" s="207"/>
      <c r="F63" s="207"/>
      <c r="G63" s="207"/>
      <c r="H63" s="207"/>
      <c r="I63" s="207"/>
      <c r="J63" s="207"/>
      <c r="K63" s="207"/>
      <c r="L63" s="189"/>
      <c r="M63" s="189"/>
      <c r="N63" s="189"/>
      <c r="O63" s="178"/>
      <c r="P63" s="178"/>
      <c r="Q63" s="178"/>
      <c r="R63" s="178"/>
      <c r="S63" s="178"/>
      <c r="T63" s="178"/>
      <c r="U63" s="178"/>
      <c r="V63" s="178"/>
      <c r="W63" s="178"/>
      <c r="X63" s="178"/>
      <c r="Y63" s="178"/>
      <c r="Z63" s="178"/>
      <c r="AA63" s="178"/>
    </row>
    <row r="64" spans="1:27" outlineLevel="2" x14ac:dyDescent="0.2">
      <c r="A64" s="220"/>
      <c r="B64" s="220"/>
      <c r="C64" s="503"/>
      <c r="D64" s="545">
        <v>2</v>
      </c>
      <c r="E64" s="545">
        <v>3</v>
      </c>
      <c r="F64" s="545">
        <v>4</v>
      </c>
      <c r="G64" s="545">
        <v>5</v>
      </c>
      <c r="H64" s="545">
        <v>6</v>
      </c>
      <c r="I64" s="545">
        <v>7</v>
      </c>
      <c r="J64" s="545"/>
      <c r="K64" s="503"/>
      <c r="L64" s="503"/>
      <c r="M64" s="503"/>
      <c r="N64" s="503"/>
    </row>
    <row r="65" spans="1:27" outlineLevel="2" x14ac:dyDescent="0.2">
      <c r="A65" s="220"/>
      <c r="B65" s="220"/>
      <c r="C65" s="220"/>
      <c r="D65" s="112">
        <f>FirstYear</f>
        <v>0</v>
      </c>
      <c r="E65" s="112">
        <f>D65+1</f>
        <v>1</v>
      </c>
      <c r="F65" s="112">
        <f>E65+1</f>
        <v>2</v>
      </c>
      <c r="G65" s="112">
        <f>F65+1</f>
        <v>3</v>
      </c>
      <c r="H65" s="112">
        <f>G65+1</f>
        <v>4</v>
      </c>
      <c r="I65" s="112">
        <f>H65+1</f>
        <v>5</v>
      </c>
      <c r="J65" s="220"/>
      <c r="K65" s="220"/>
      <c r="L65" s="220"/>
      <c r="M65" s="220"/>
      <c r="N65" s="220"/>
    </row>
    <row r="66" spans="1:27" outlineLevel="2" x14ac:dyDescent="0.2">
      <c r="A66" s="220"/>
      <c r="B66" s="220"/>
      <c r="C66" s="258" t="s">
        <v>140</v>
      </c>
      <c r="D66" s="259">
        <f t="shared" ref="D66:I66" si="54">INDEX(PBSScriptsNew,$B63,D64)</f>
        <v>0</v>
      </c>
      <c r="E66" s="259">
        <f t="shared" si="54"/>
        <v>0</v>
      </c>
      <c r="F66" s="259">
        <f t="shared" si="54"/>
        <v>0</v>
      </c>
      <c r="G66" s="259">
        <f t="shared" si="54"/>
        <v>0</v>
      </c>
      <c r="H66" s="259">
        <f t="shared" si="54"/>
        <v>0</v>
      </c>
      <c r="I66" s="259">
        <f t="shared" si="54"/>
        <v>0</v>
      </c>
      <c r="J66" s="220"/>
      <c r="K66" s="220"/>
      <c r="L66" s="6"/>
      <c r="M66" s="6"/>
      <c r="N66" s="260"/>
    </row>
    <row r="67" spans="1:27" outlineLevel="2" x14ac:dyDescent="0.2">
      <c r="A67" s="220"/>
      <c r="B67" s="220"/>
      <c r="C67" s="258" t="s">
        <v>141</v>
      </c>
      <c r="D67" s="259">
        <f t="shared" ref="D67:I67" si="55">INDEX(RPBSScriptsNew,$B63,D64)</f>
        <v>0</v>
      </c>
      <c r="E67" s="259">
        <f t="shared" si="55"/>
        <v>0</v>
      </c>
      <c r="F67" s="259">
        <f t="shared" si="55"/>
        <v>0</v>
      </c>
      <c r="G67" s="259">
        <f t="shared" si="55"/>
        <v>0</v>
      </c>
      <c r="H67" s="259">
        <f t="shared" si="55"/>
        <v>0</v>
      </c>
      <c r="I67" s="259">
        <f t="shared" si="55"/>
        <v>0</v>
      </c>
      <c r="J67" s="220"/>
      <c r="K67" s="220"/>
      <c r="L67" s="6"/>
      <c r="M67" s="6"/>
      <c r="N67" s="6"/>
    </row>
    <row r="68" spans="1:27" outlineLevel="2" x14ac:dyDescent="0.2">
      <c r="A68" s="220"/>
      <c r="B68" s="220"/>
      <c r="C68" s="242" t="s">
        <v>142</v>
      </c>
      <c r="D68" s="259">
        <f t="shared" ref="D68:I68" si="56">IF(INDEX(SANew,$B63,7)&gt;0,ROUND(D66/INDEX(SANew,$B63,2),0),0)</f>
        <v>0</v>
      </c>
      <c r="E68" s="259">
        <f t="shared" si="56"/>
        <v>0</v>
      </c>
      <c r="F68" s="259">
        <f t="shared" si="56"/>
        <v>0</v>
      </c>
      <c r="G68" s="259">
        <f t="shared" si="56"/>
        <v>0</v>
      </c>
      <c r="H68" s="259">
        <f t="shared" si="56"/>
        <v>0</v>
      </c>
      <c r="I68" s="259">
        <f t="shared" si="56"/>
        <v>0</v>
      </c>
      <c r="J68" s="220"/>
      <c r="L68" s="205"/>
      <c r="M68" s="6"/>
    </row>
    <row r="69" spans="1:27" outlineLevel="2" x14ac:dyDescent="0.2">
      <c r="A69" s="220"/>
      <c r="B69" s="220"/>
      <c r="C69" s="242" t="s">
        <v>143</v>
      </c>
      <c r="D69" s="259">
        <f t="shared" ref="D69:I69" si="57">IF(INDEX(SANew,$B63,7)&gt;0,ROUND(D67/INDEX(SANew,$B63,2),0),0)</f>
        <v>0</v>
      </c>
      <c r="E69" s="259">
        <f t="shared" si="57"/>
        <v>0</v>
      </c>
      <c r="F69" s="259">
        <f t="shared" si="57"/>
        <v>0</v>
      </c>
      <c r="G69" s="259">
        <f t="shared" si="57"/>
        <v>0</v>
      </c>
      <c r="H69" s="259">
        <f t="shared" si="57"/>
        <v>0</v>
      </c>
      <c r="I69" s="259">
        <f t="shared" si="57"/>
        <v>0</v>
      </c>
      <c r="J69" s="220"/>
      <c r="L69" s="205"/>
      <c r="M69" s="6"/>
    </row>
    <row r="70" spans="1:27" outlineLevel="1" x14ac:dyDescent="0.2">
      <c r="A70" s="220"/>
      <c r="B70" s="220"/>
      <c r="C70" s="248"/>
      <c r="D70" s="63"/>
      <c r="E70" s="261"/>
      <c r="F70" s="261"/>
      <c r="G70" s="261"/>
      <c r="H70" s="261"/>
      <c r="I70" s="261"/>
      <c r="J70" s="261"/>
      <c r="K70" s="261"/>
      <c r="L70" s="6"/>
      <c r="M70" s="6"/>
      <c r="N70" s="6"/>
    </row>
    <row r="71" spans="1:27" ht="15" outlineLevel="1" x14ac:dyDescent="0.2">
      <c r="A71" s="220"/>
      <c r="B71" s="422">
        <v>2</v>
      </c>
      <c r="C71" s="221" t="str">
        <f>INDEX(PBSScriptsNew,B71,1)</f>
        <v>** NOT USED **</v>
      </c>
      <c r="D71" s="207"/>
      <c r="E71" s="207"/>
      <c r="F71" s="207"/>
      <c r="G71" s="207"/>
      <c r="H71" s="207"/>
      <c r="I71" s="207"/>
      <c r="J71" s="207"/>
      <c r="K71" s="207"/>
      <c r="L71" s="189"/>
      <c r="M71" s="189"/>
      <c r="N71" s="189"/>
      <c r="O71" s="178"/>
      <c r="P71" s="178"/>
      <c r="Q71" s="178"/>
      <c r="R71" s="178"/>
      <c r="S71" s="178"/>
      <c r="T71" s="178"/>
      <c r="U71" s="178"/>
      <c r="V71" s="178"/>
      <c r="W71" s="178"/>
      <c r="X71" s="178"/>
      <c r="Y71" s="178"/>
      <c r="Z71" s="178"/>
      <c r="AA71" s="178"/>
    </row>
    <row r="72" spans="1:27" outlineLevel="2" x14ac:dyDescent="0.2">
      <c r="A72" s="220"/>
      <c r="B72" s="220"/>
      <c r="C72" s="503"/>
      <c r="D72" s="545">
        <v>2</v>
      </c>
      <c r="E72" s="545">
        <v>3</v>
      </c>
      <c r="F72" s="545">
        <v>4</v>
      </c>
      <c r="G72" s="545">
        <v>5</v>
      </c>
      <c r="H72" s="545">
        <v>6</v>
      </c>
      <c r="I72" s="545">
        <v>7</v>
      </c>
      <c r="J72" s="545"/>
      <c r="K72" s="503"/>
      <c r="L72" s="503"/>
      <c r="M72" s="503"/>
      <c r="N72" s="503"/>
    </row>
    <row r="73" spans="1:27" outlineLevel="2" x14ac:dyDescent="0.2">
      <c r="A73" s="220"/>
      <c r="B73" s="220"/>
      <c r="C73" s="220"/>
      <c r="D73" s="112">
        <f>FirstYear</f>
        <v>0</v>
      </c>
      <c r="E73" s="112">
        <f>D73+1</f>
        <v>1</v>
      </c>
      <c r="F73" s="112">
        <f>E73+1</f>
        <v>2</v>
      </c>
      <c r="G73" s="112">
        <f>F73+1</f>
        <v>3</v>
      </c>
      <c r="H73" s="112">
        <f>G73+1</f>
        <v>4</v>
      </c>
      <c r="I73" s="112">
        <f>H73+1</f>
        <v>5</v>
      </c>
      <c r="J73" s="220"/>
      <c r="K73" s="220"/>
      <c r="L73" s="220"/>
      <c r="M73" s="220"/>
      <c r="N73" s="220"/>
    </row>
    <row r="74" spans="1:27" outlineLevel="2" x14ac:dyDescent="0.2">
      <c r="A74" s="220"/>
      <c r="B74" s="220"/>
      <c r="C74" s="258" t="s">
        <v>140</v>
      </c>
      <c r="D74" s="259">
        <f t="shared" ref="D74:I74" si="58">INDEX(PBSScriptsNew,$B71,D72)</f>
        <v>0</v>
      </c>
      <c r="E74" s="259">
        <f t="shared" si="58"/>
        <v>0</v>
      </c>
      <c r="F74" s="259">
        <f t="shared" si="58"/>
        <v>0</v>
      </c>
      <c r="G74" s="259">
        <f t="shared" si="58"/>
        <v>0</v>
      </c>
      <c r="H74" s="259">
        <f t="shared" si="58"/>
        <v>0</v>
      </c>
      <c r="I74" s="259">
        <f t="shared" si="58"/>
        <v>0</v>
      </c>
      <c r="J74" s="220"/>
      <c r="K74" s="220"/>
      <c r="L74" s="6"/>
      <c r="M74" s="6"/>
      <c r="N74" s="6"/>
    </row>
    <row r="75" spans="1:27" outlineLevel="2" x14ac:dyDescent="0.2">
      <c r="A75" s="220"/>
      <c r="B75" s="220"/>
      <c r="C75" s="258" t="s">
        <v>141</v>
      </c>
      <c r="D75" s="259">
        <f t="shared" ref="D75:I75" si="59">INDEX(RPBSScriptsNew,$B71,D72)</f>
        <v>0</v>
      </c>
      <c r="E75" s="259">
        <f t="shared" si="59"/>
        <v>0</v>
      </c>
      <c r="F75" s="259">
        <f t="shared" si="59"/>
        <v>0</v>
      </c>
      <c r="G75" s="259">
        <f t="shared" si="59"/>
        <v>0</v>
      </c>
      <c r="H75" s="259">
        <f t="shared" si="59"/>
        <v>0</v>
      </c>
      <c r="I75" s="259">
        <f t="shared" si="59"/>
        <v>0</v>
      </c>
      <c r="J75" s="220"/>
      <c r="K75" s="220"/>
      <c r="L75" s="6"/>
      <c r="M75" s="6"/>
      <c r="N75" s="6"/>
    </row>
    <row r="76" spans="1:27" outlineLevel="2" x14ac:dyDescent="0.2">
      <c r="A76" s="220"/>
      <c r="B76" s="220"/>
      <c r="C76" s="242" t="s">
        <v>142</v>
      </c>
      <c r="D76" s="259">
        <f t="shared" ref="D76:I76" si="60">IF(INDEX(SANew,$B71,7)&gt;0,ROUND(D74/INDEX(SANew,$B71,2),0),0)</f>
        <v>0</v>
      </c>
      <c r="E76" s="259">
        <f t="shared" si="60"/>
        <v>0</v>
      </c>
      <c r="F76" s="259">
        <f t="shared" si="60"/>
        <v>0</v>
      </c>
      <c r="G76" s="259">
        <f t="shared" si="60"/>
        <v>0</v>
      </c>
      <c r="H76" s="259">
        <f t="shared" si="60"/>
        <v>0</v>
      </c>
      <c r="I76" s="259">
        <f t="shared" si="60"/>
        <v>0</v>
      </c>
      <c r="J76" s="220"/>
      <c r="L76" s="205"/>
      <c r="M76" s="6"/>
    </row>
    <row r="77" spans="1:27" outlineLevel="2" x14ac:dyDescent="0.2">
      <c r="A77" s="220"/>
      <c r="B77" s="220"/>
      <c r="C77" s="242" t="s">
        <v>143</v>
      </c>
      <c r="D77" s="259">
        <f t="shared" ref="D77:I77" si="61">IF(INDEX(SANew,$B71,7)&gt;0,ROUND(D75/INDEX(SANew,$B71,2),0),0)</f>
        <v>0</v>
      </c>
      <c r="E77" s="259">
        <f t="shared" si="61"/>
        <v>0</v>
      </c>
      <c r="F77" s="259">
        <f t="shared" si="61"/>
        <v>0</v>
      </c>
      <c r="G77" s="259">
        <f t="shared" si="61"/>
        <v>0</v>
      </c>
      <c r="H77" s="259">
        <f t="shared" si="61"/>
        <v>0</v>
      </c>
      <c r="I77" s="259">
        <f t="shared" si="61"/>
        <v>0</v>
      </c>
      <c r="J77" s="220"/>
      <c r="L77" s="205"/>
      <c r="M77" s="6"/>
    </row>
    <row r="78" spans="1:27" outlineLevel="1" x14ac:dyDescent="0.2">
      <c r="A78" s="220"/>
      <c r="B78" s="220"/>
      <c r="C78" s="248"/>
      <c r="D78" s="63"/>
      <c r="E78" s="261"/>
      <c r="F78" s="261"/>
      <c r="G78" s="261"/>
      <c r="H78" s="261"/>
      <c r="I78" s="261"/>
      <c r="J78" s="261"/>
      <c r="K78" s="261"/>
      <c r="L78" s="6"/>
      <c r="M78" s="6"/>
      <c r="N78" s="6"/>
    </row>
    <row r="79" spans="1:27" ht="15" outlineLevel="1" x14ac:dyDescent="0.2">
      <c r="A79" s="220"/>
      <c r="B79" s="422">
        <v>3</v>
      </c>
      <c r="C79" s="221" t="str">
        <f>INDEX(PBSScriptsNew,B79,1)</f>
        <v>** NOT USED **</v>
      </c>
      <c r="D79" s="207"/>
      <c r="E79" s="207"/>
      <c r="F79" s="207"/>
      <c r="G79" s="207"/>
      <c r="H79" s="207"/>
      <c r="I79" s="207"/>
      <c r="J79" s="207"/>
      <c r="K79" s="207"/>
      <c r="L79" s="189"/>
      <c r="M79" s="189"/>
      <c r="N79" s="189"/>
      <c r="O79" s="178"/>
      <c r="P79" s="178"/>
      <c r="Q79" s="178"/>
      <c r="R79" s="178"/>
      <c r="S79" s="178"/>
      <c r="T79" s="178"/>
      <c r="U79" s="178"/>
      <c r="V79" s="178"/>
      <c r="W79" s="178"/>
      <c r="X79" s="178"/>
      <c r="Y79" s="178"/>
      <c r="Z79" s="178"/>
      <c r="AA79" s="178"/>
    </row>
    <row r="80" spans="1:27" outlineLevel="2" x14ac:dyDescent="0.2">
      <c r="A80" s="220"/>
      <c r="B80" s="220"/>
      <c r="C80" s="503"/>
      <c r="D80" s="545">
        <v>2</v>
      </c>
      <c r="E80" s="545">
        <v>3</v>
      </c>
      <c r="F80" s="545">
        <v>4</v>
      </c>
      <c r="G80" s="545">
        <v>5</v>
      </c>
      <c r="H80" s="545">
        <v>6</v>
      </c>
      <c r="I80" s="545">
        <v>7</v>
      </c>
      <c r="J80" s="545"/>
      <c r="K80" s="503"/>
      <c r="L80" s="503"/>
      <c r="M80" s="503"/>
      <c r="N80" s="503"/>
    </row>
    <row r="81" spans="1:27" outlineLevel="2" x14ac:dyDescent="0.2">
      <c r="A81" s="220"/>
      <c r="B81" s="220"/>
      <c r="C81" s="220"/>
      <c r="D81" s="112">
        <f>FirstYear</f>
        <v>0</v>
      </c>
      <c r="E81" s="112">
        <f>D81+1</f>
        <v>1</v>
      </c>
      <c r="F81" s="112">
        <f>E81+1</f>
        <v>2</v>
      </c>
      <c r="G81" s="112">
        <f>F81+1</f>
        <v>3</v>
      </c>
      <c r="H81" s="112">
        <f>G81+1</f>
        <v>4</v>
      </c>
      <c r="I81" s="112">
        <f>H81+1</f>
        <v>5</v>
      </c>
      <c r="J81" s="220"/>
      <c r="K81" s="220"/>
      <c r="L81" s="220"/>
      <c r="M81" s="220"/>
      <c r="N81" s="220"/>
    </row>
    <row r="82" spans="1:27" outlineLevel="2" x14ac:dyDescent="0.2">
      <c r="A82" s="220"/>
      <c r="B82" s="220"/>
      <c r="C82" s="258" t="s">
        <v>140</v>
      </c>
      <c r="D82" s="259">
        <f t="shared" ref="D82:I82" si="62">INDEX(PBSScriptsNew,$B79,D80)</f>
        <v>0</v>
      </c>
      <c r="E82" s="259">
        <f t="shared" si="62"/>
        <v>0</v>
      </c>
      <c r="F82" s="259">
        <f t="shared" si="62"/>
        <v>0</v>
      </c>
      <c r="G82" s="259">
        <f t="shared" si="62"/>
        <v>0</v>
      </c>
      <c r="H82" s="259">
        <f t="shared" si="62"/>
        <v>0</v>
      </c>
      <c r="I82" s="259">
        <f t="shared" si="62"/>
        <v>0</v>
      </c>
      <c r="J82" s="220"/>
      <c r="K82" s="220"/>
      <c r="L82" s="6"/>
      <c r="M82" s="6"/>
      <c r="N82" s="6"/>
    </row>
    <row r="83" spans="1:27" outlineLevel="2" x14ac:dyDescent="0.2">
      <c r="A83" s="220"/>
      <c r="B83" s="220"/>
      <c r="C83" s="258" t="s">
        <v>141</v>
      </c>
      <c r="D83" s="259">
        <f t="shared" ref="D83:I83" si="63">INDEX(RPBSScriptsNew,$B79,D80)</f>
        <v>0</v>
      </c>
      <c r="E83" s="259">
        <f t="shared" si="63"/>
        <v>0</v>
      </c>
      <c r="F83" s="259">
        <f t="shared" si="63"/>
        <v>0</v>
      </c>
      <c r="G83" s="259">
        <f t="shared" si="63"/>
        <v>0</v>
      </c>
      <c r="H83" s="259">
        <f t="shared" si="63"/>
        <v>0</v>
      </c>
      <c r="I83" s="259">
        <f t="shared" si="63"/>
        <v>0</v>
      </c>
      <c r="J83" s="220"/>
      <c r="K83" s="220"/>
      <c r="L83" s="6"/>
      <c r="M83" s="6"/>
      <c r="N83" s="6"/>
    </row>
    <row r="84" spans="1:27" outlineLevel="2" x14ac:dyDescent="0.2">
      <c r="A84" s="220"/>
      <c r="B84" s="220"/>
      <c r="C84" s="242" t="s">
        <v>142</v>
      </c>
      <c r="D84" s="259">
        <f t="shared" ref="D84:I84" si="64">IF(INDEX(SANew,$B79,7)&gt;0,ROUND(D82/INDEX(SANew,$B79,2),0),0)</f>
        <v>0</v>
      </c>
      <c r="E84" s="259">
        <f t="shared" si="64"/>
        <v>0</v>
      </c>
      <c r="F84" s="259">
        <f t="shared" si="64"/>
        <v>0</v>
      </c>
      <c r="G84" s="259">
        <f t="shared" si="64"/>
        <v>0</v>
      </c>
      <c r="H84" s="259">
        <f t="shared" si="64"/>
        <v>0</v>
      </c>
      <c r="I84" s="259">
        <f t="shared" si="64"/>
        <v>0</v>
      </c>
      <c r="J84" s="220"/>
      <c r="L84" s="205"/>
      <c r="M84" s="6"/>
    </row>
    <row r="85" spans="1:27" outlineLevel="2" x14ac:dyDescent="0.2">
      <c r="A85" s="220"/>
      <c r="B85" s="220"/>
      <c r="C85" s="242" t="s">
        <v>143</v>
      </c>
      <c r="D85" s="259">
        <f t="shared" ref="D85:I85" si="65">IF(INDEX(SANew,$B79,7)&gt;0,ROUND(D83/INDEX(SANew,$B79,2),0),0)</f>
        <v>0</v>
      </c>
      <c r="E85" s="259">
        <f t="shared" si="65"/>
        <v>0</v>
      </c>
      <c r="F85" s="259">
        <f t="shared" si="65"/>
        <v>0</v>
      </c>
      <c r="G85" s="259">
        <f t="shared" si="65"/>
        <v>0</v>
      </c>
      <c r="H85" s="259">
        <f t="shared" si="65"/>
        <v>0</v>
      </c>
      <c r="I85" s="259">
        <f t="shared" si="65"/>
        <v>0</v>
      </c>
      <c r="J85" s="220"/>
      <c r="L85" s="205"/>
      <c r="M85" s="6"/>
    </row>
    <row r="86" spans="1:27" outlineLevel="1" x14ac:dyDescent="0.2">
      <c r="A86" s="220"/>
      <c r="B86" s="220"/>
      <c r="C86" s="197"/>
      <c r="D86" s="248"/>
      <c r="E86" s="220"/>
      <c r="F86" s="220"/>
      <c r="G86" s="220"/>
      <c r="H86" s="220"/>
      <c r="I86" s="220"/>
      <c r="J86" s="220"/>
      <c r="K86" s="220"/>
      <c r="L86" s="220"/>
      <c r="M86" s="220"/>
      <c r="N86" s="220"/>
    </row>
    <row r="87" spans="1:27" ht="15" outlineLevel="1" x14ac:dyDescent="0.2">
      <c r="A87" s="220"/>
      <c r="B87" s="422">
        <v>4</v>
      </c>
      <c r="C87" s="221" t="str">
        <f>INDEX(PBSScriptsNew,B87,1)</f>
        <v>** NOT USED **</v>
      </c>
      <c r="D87" s="207"/>
      <c r="E87" s="207"/>
      <c r="F87" s="207"/>
      <c r="G87" s="207"/>
      <c r="H87" s="207"/>
      <c r="I87" s="207"/>
      <c r="J87" s="207"/>
      <c r="K87" s="207"/>
      <c r="L87" s="189"/>
      <c r="M87" s="189"/>
      <c r="N87" s="189"/>
      <c r="O87" s="178"/>
      <c r="P87" s="178"/>
      <c r="Q87" s="178"/>
      <c r="R87" s="178"/>
      <c r="S87" s="178"/>
      <c r="T87" s="178"/>
      <c r="U87" s="178"/>
      <c r="V87" s="178"/>
      <c r="W87" s="178"/>
      <c r="X87" s="178"/>
      <c r="Y87" s="178"/>
      <c r="Z87" s="178"/>
      <c r="AA87" s="178"/>
    </row>
    <row r="88" spans="1:27" outlineLevel="2" x14ac:dyDescent="0.2">
      <c r="A88" s="220"/>
      <c r="B88" s="220"/>
      <c r="C88" s="503"/>
      <c r="D88" s="545">
        <v>2</v>
      </c>
      <c r="E88" s="545">
        <v>3</v>
      </c>
      <c r="F88" s="545">
        <v>4</v>
      </c>
      <c r="G88" s="545">
        <v>5</v>
      </c>
      <c r="H88" s="545">
        <v>6</v>
      </c>
      <c r="I88" s="545">
        <v>7</v>
      </c>
      <c r="J88" s="545"/>
      <c r="K88" s="503"/>
      <c r="L88" s="503"/>
      <c r="M88" s="503"/>
      <c r="N88" s="503"/>
    </row>
    <row r="89" spans="1:27" outlineLevel="2" x14ac:dyDescent="0.2">
      <c r="A89" s="220"/>
      <c r="B89" s="220"/>
      <c r="C89" s="220"/>
      <c r="D89" s="112">
        <f>FirstYear</f>
        <v>0</v>
      </c>
      <c r="E89" s="112">
        <f>D89+1</f>
        <v>1</v>
      </c>
      <c r="F89" s="112">
        <f>E89+1</f>
        <v>2</v>
      </c>
      <c r="G89" s="112">
        <f>F89+1</f>
        <v>3</v>
      </c>
      <c r="H89" s="112">
        <f>G89+1</f>
        <v>4</v>
      </c>
      <c r="I89" s="112">
        <f>H89+1</f>
        <v>5</v>
      </c>
      <c r="J89" s="220"/>
      <c r="K89" s="220"/>
      <c r="L89" s="220"/>
      <c r="M89" s="220"/>
      <c r="N89" s="220"/>
    </row>
    <row r="90" spans="1:27" outlineLevel="2" x14ac:dyDescent="0.2">
      <c r="A90" s="220"/>
      <c r="B90" s="220"/>
      <c r="C90" s="258" t="s">
        <v>140</v>
      </c>
      <c r="D90" s="259">
        <f t="shared" ref="D90:I90" si="66">INDEX(PBSScriptsNew,$B87,D88)</f>
        <v>0</v>
      </c>
      <c r="E90" s="259">
        <f t="shared" si="66"/>
        <v>0</v>
      </c>
      <c r="F90" s="259">
        <f t="shared" si="66"/>
        <v>0</v>
      </c>
      <c r="G90" s="259">
        <f t="shared" si="66"/>
        <v>0</v>
      </c>
      <c r="H90" s="259">
        <f t="shared" si="66"/>
        <v>0</v>
      </c>
      <c r="I90" s="259">
        <f t="shared" si="66"/>
        <v>0</v>
      </c>
      <c r="J90" s="220"/>
      <c r="K90" s="220"/>
      <c r="L90" s="6"/>
      <c r="M90" s="6"/>
      <c r="N90" s="6"/>
    </row>
    <row r="91" spans="1:27" outlineLevel="2" x14ac:dyDescent="0.2">
      <c r="A91" s="220"/>
      <c r="B91" s="220"/>
      <c r="C91" s="258" t="s">
        <v>141</v>
      </c>
      <c r="D91" s="259">
        <f t="shared" ref="D91:I91" si="67">INDEX(RPBSScriptsNew,$B87,D88)</f>
        <v>0</v>
      </c>
      <c r="E91" s="259">
        <f t="shared" si="67"/>
        <v>0</v>
      </c>
      <c r="F91" s="259">
        <f t="shared" si="67"/>
        <v>0</v>
      </c>
      <c r="G91" s="259">
        <f t="shared" si="67"/>
        <v>0</v>
      </c>
      <c r="H91" s="259">
        <f t="shared" si="67"/>
        <v>0</v>
      </c>
      <c r="I91" s="259">
        <f t="shared" si="67"/>
        <v>0</v>
      </c>
      <c r="J91" s="220"/>
      <c r="K91" s="220"/>
      <c r="L91" s="6"/>
      <c r="M91" s="6"/>
      <c r="N91" s="6"/>
    </row>
    <row r="92" spans="1:27" outlineLevel="2" x14ac:dyDescent="0.2">
      <c r="A92" s="220"/>
      <c r="B92" s="220"/>
      <c r="C92" s="242" t="s">
        <v>142</v>
      </c>
      <c r="D92" s="259">
        <f t="shared" ref="D92:I92" si="68">IF(INDEX(SANew,$B87,7)&gt;0,ROUND(D90/INDEX(SANew,$B87,2),0),0)</f>
        <v>0</v>
      </c>
      <c r="E92" s="259">
        <f t="shared" si="68"/>
        <v>0</v>
      </c>
      <c r="F92" s="259">
        <f t="shared" si="68"/>
        <v>0</v>
      </c>
      <c r="G92" s="259">
        <f t="shared" si="68"/>
        <v>0</v>
      </c>
      <c r="H92" s="259">
        <f t="shared" si="68"/>
        <v>0</v>
      </c>
      <c r="I92" s="259">
        <f t="shared" si="68"/>
        <v>0</v>
      </c>
      <c r="J92" s="220"/>
      <c r="L92" s="205"/>
      <c r="M92" s="6"/>
    </row>
    <row r="93" spans="1:27" outlineLevel="2" x14ac:dyDescent="0.2">
      <c r="A93" s="220"/>
      <c r="B93" s="220"/>
      <c r="C93" s="242" t="s">
        <v>143</v>
      </c>
      <c r="D93" s="259">
        <f t="shared" ref="D93:I93" si="69">IF(INDEX(SANew,$B87,7)&gt;0,ROUND(D91/INDEX(SANew,$B87,2),0),0)</f>
        <v>0</v>
      </c>
      <c r="E93" s="259">
        <f t="shared" si="69"/>
        <v>0</v>
      </c>
      <c r="F93" s="259">
        <f t="shared" si="69"/>
        <v>0</v>
      </c>
      <c r="G93" s="259">
        <f t="shared" si="69"/>
        <v>0</v>
      </c>
      <c r="H93" s="259">
        <f t="shared" si="69"/>
        <v>0</v>
      </c>
      <c r="I93" s="259">
        <f t="shared" si="69"/>
        <v>0</v>
      </c>
      <c r="J93" s="220"/>
      <c r="L93" s="205"/>
      <c r="M93" s="6"/>
    </row>
    <row r="94" spans="1:27" outlineLevel="1" x14ac:dyDescent="0.2">
      <c r="A94" s="220"/>
      <c r="B94" s="220"/>
      <c r="C94" s="197"/>
      <c r="D94" s="248"/>
      <c r="E94" s="220"/>
      <c r="F94" s="220"/>
      <c r="G94" s="220"/>
      <c r="H94" s="220"/>
      <c r="I94" s="220"/>
      <c r="J94" s="220"/>
      <c r="K94" s="220"/>
      <c r="L94" s="220"/>
      <c r="M94" s="220"/>
      <c r="N94" s="220"/>
    </row>
    <row r="95" spans="1:27" ht="15" outlineLevel="1" x14ac:dyDescent="0.2">
      <c r="A95" s="220"/>
      <c r="B95" s="422">
        <v>5</v>
      </c>
      <c r="C95" s="221" t="str">
        <f>INDEX(PBSScriptsNew,B95,1)</f>
        <v>** NOT USED **</v>
      </c>
      <c r="D95" s="207"/>
      <c r="E95" s="207"/>
      <c r="F95" s="207"/>
      <c r="G95" s="207"/>
      <c r="H95" s="207"/>
      <c r="I95" s="207"/>
      <c r="J95" s="207"/>
      <c r="K95" s="207"/>
      <c r="L95" s="189"/>
      <c r="M95" s="189"/>
      <c r="N95" s="189"/>
      <c r="O95" s="178"/>
      <c r="P95" s="178"/>
      <c r="Q95" s="178"/>
      <c r="R95" s="178"/>
      <c r="S95" s="178"/>
      <c r="T95" s="178"/>
      <c r="U95" s="178"/>
      <c r="V95" s="178"/>
      <c r="W95" s="178"/>
      <c r="X95" s="178"/>
      <c r="Y95" s="178"/>
      <c r="Z95" s="178"/>
      <c r="AA95" s="178"/>
    </row>
    <row r="96" spans="1:27" outlineLevel="2" x14ac:dyDescent="0.2">
      <c r="A96" s="220"/>
      <c r="B96" s="220"/>
      <c r="C96" s="503"/>
      <c r="D96" s="545">
        <v>2</v>
      </c>
      <c r="E96" s="545">
        <v>3</v>
      </c>
      <c r="F96" s="545">
        <v>4</v>
      </c>
      <c r="G96" s="545">
        <v>5</v>
      </c>
      <c r="H96" s="545">
        <v>6</v>
      </c>
      <c r="I96" s="545">
        <v>7</v>
      </c>
      <c r="J96" s="545"/>
      <c r="K96" s="503"/>
      <c r="L96" s="503"/>
      <c r="M96" s="503"/>
      <c r="N96" s="503"/>
    </row>
    <row r="97" spans="1:27" outlineLevel="2" x14ac:dyDescent="0.2">
      <c r="A97" s="220"/>
      <c r="B97" s="220"/>
      <c r="C97" s="220"/>
      <c r="D97" s="112">
        <f>FirstYear</f>
        <v>0</v>
      </c>
      <c r="E97" s="112">
        <f>D97+1</f>
        <v>1</v>
      </c>
      <c r="F97" s="112">
        <f>E97+1</f>
        <v>2</v>
      </c>
      <c r="G97" s="112">
        <f>F97+1</f>
        <v>3</v>
      </c>
      <c r="H97" s="112">
        <f>G97+1</f>
        <v>4</v>
      </c>
      <c r="I97" s="112">
        <f>H97+1</f>
        <v>5</v>
      </c>
      <c r="J97" s="220"/>
      <c r="K97" s="220"/>
      <c r="L97" s="220"/>
      <c r="M97" s="220"/>
      <c r="N97" s="220"/>
    </row>
    <row r="98" spans="1:27" outlineLevel="2" x14ac:dyDescent="0.2">
      <c r="A98" s="220"/>
      <c r="B98" s="220"/>
      <c r="C98" s="258" t="s">
        <v>140</v>
      </c>
      <c r="D98" s="259">
        <f t="shared" ref="D98:I98" si="70">INDEX(PBSScriptsNew,$B95,D96)</f>
        <v>0</v>
      </c>
      <c r="E98" s="259">
        <f t="shared" si="70"/>
        <v>0</v>
      </c>
      <c r="F98" s="259">
        <f t="shared" si="70"/>
        <v>0</v>
      </c>
      <c r="G98" s="259">
        <f t="shared" si="70"/>
        <v>0</v>
      </c>
      <c r="H98" s="259">
        <f t="shared" si="70"/>
        <v>0</v>
      </c>
      <c r="I98" s="259">
        <f t="shared" si="70"/>
        <v>0</v>
      </c>
      <c r="J98" s="220"/>
      <c r="K98" s="220"/>
      <c r="L98" s="6"/>
      <c r="M98" s="6"/>
      <c r="N98" s="6"/>
    </row>
    <row r="99" spans="1:27" outlineLevel="2" x14ac:dyDescent="0.2">
      <c r="A99" s="220"/>
      <c r="B99" s="220"/>
      <c r="C99" s="258" t="s">
        <v>141</v>
      </c>
      <c r="D99" s="259">
        <f t="shared" ref="D99:I99" si="71">INDEX(RPBSScriptsNew,$B95,D96)</f>
        <v>0</v>
      </c>
      <c r="E99" s="259">
        <f t="shared" si="71"/>
        <v>0</v>
      </c>
      <c r="F99" s="259">
        <f t="shared" si="71"/>
        <v>0</v>
      </c>
      <c r="G99" s="259">
        <f t="shared" si="71"/>
        <v>0</v>
      </c>
      <c r="H99" s="259">
        <f t="shared" si="71"/>
        <v>0</v>
      </c>
      <c r="I99" s="259">
        <f t="shared" si="71"/>
        <v>0</v>
      </c>
      <c r="J99" s="220"/>
      <c r="K99" s="220"/>
      <c r="L99" s="6"/>
      <c r="M99" s="6"/>
      <c r="N99" s="6"/>
    </row>
    <row r="100" spans="1:27" outlineLevel="2" x14ac:dyDescent="0.2">
      <c r="A100" s="220"/>
      <c r="B100" s="220"/>
      <c r="C100" s="242" t="s">
        <v>142</v>
      </c>
      <c r="D100" s="259">
        <f t="shared" ref="D100:I100" si="72">IF(INDEX(SANew,$B95,7)&gt;0,ROUND(D98/INDEX(SANew,$B95,2),0),0)</f>
        <v>0</v>
      </c>
      <c r="E100" s="259">
        <f t="shared" si="72"/>
        <v>0</v>
      </c>
      <c r="F100" s="259">
        <f t="shared" si="72"/>
        <v>0</v>
      </c>
      <c r="G100" s="259">
        <f t="shared" si="72"/>
        <v>0</v>
      </c>
      <c r="H100" s="259">
        <f t="shared" si="72"/>
        <v>0</v>
      </c>
      <c r="I100" s="259">
        <f t="shared" si="72"/>
        <v>0</v>
      </c>
      <c r="J100" s="220"/>
      <c r="K100" s="205"/>
      <c r="L100" s="6"/>
    </row>
    <row r="101" spans="1:27" outlineLevel="2" x14ac:dyDescent="0.2">
      <c r="A101" s="220"/>
      <c r="B101" s="220"/>
      <c r="C101" s="242" t="s">
        <v>143</v>
      </c>
      <c r="D101" s="259">
        <f t="shared" ref="D101:I101" si="73">IF(INDEX(SANew,$B95,7)&gt;0,ROUND(D99/INDEX(SANew,$B95,2),0),0)</f>
        <v>0</v>
      </c>
      <c r="E101" s="259">
        <f t="shared" si="73"/>
        <v>0</v>
      </c>
      <c r="F101" s="259">
        <f t="shared" si="73"/>
        <v>0</v>
      </c>
      <c r="G101" s="259">
        <f t="shared" si="73"/>
        <v>0</v>
      </c>
      <c r="H101" s="259">
        <f t="shared" si="73"/>
        <v>0</v>
      </c>
      <c r="I101" s="259">
        <f t="shared" si="73"/>
        <v>0</v>
      </c>
      <c r="J101" s="220"/>
      <c r="K101" s="205"/>
      <c r="L101" s="6"/>
    </row>
    <row r="102" spans="1:27" outlineLevel="1" x14ac:dyDescent="0.2">
      <c r="A102" s="220"/>
      <c r="B102" s="220"/>
      <c r="C102" s="197"/>
      <c r="D102" s="248"/>
      <c r="E102" s="220"/>
      <c r="F102" s="220"/>
      <c r="G102" s="220"/>
      <c r="H102" s="220"/>
      <c r="I102" s="220"/>
      <c r="J102" s="220"/>
      <c r="K102" s="220"/>
      <c r="L102" s="220"/>
      <c r="M102" s="220"/>
      <c r="N102" s="6"/>
    </row>
    <row r="103" spans="1:27" ht="15" outlineLevel="1" x14ac:dyDescent="0.2">
      <c r="A103" s="220"/>
      <c r="B103" s="422">
        <v>6</v>
      </c>
      <c r="C103" s="221" t="str">
        <f>INDEX(PBSScriptsNew,B103,1)</f>
        <v>** NOT USED **</v>
      </c>
      <c r="D103" s="207"/>
      <c r="E103" s="207"/>
      <c r="F103" s="207"/>
      <c r="G103" s="207"/>
      <c r="H103" s="207"/>
      <c r="I103" s="207"/>
      <c r="J103" s="207"/>
      <c r="K103" s="207"/>
      <c r="L103" s="189"/>
      <c r="M103" s="189"/>
      <c r="N103" s="189"/>
      <c r="O103" s="178"/>
      <c r="P103" s="178"/>
      <c r="Q103" s="178"/>
      <c r="R103" s="178"/>
      <c r="S103" s="178"/>
      <c r="T103" s="178"/>
      <c r="U103" s="178"/>
      <c r="V103" s="178"/>
      <c r="W103" s="178"/>
      <c r="X103" s="178"/>
      <c r="Y103" s="178"/>
      <c r="Z103" s="178"/>
      <c r="AA103" s="178"/>
    </row>
    <row r="104" spans="1:27" outlineLevel="2" x14ac:dyDescent="0.2">
      <c r="A104" s="220"/>
      <c r="B104" s="220"/>
      <c r="C104" s="503"/>
      <c r="D104" s="545">
        <v>2</v>
      </c>
      <c r="E104" s="545">
        <v>3</v>
      </c>
      <c r="F104" s="545">
        <v>4</v>
      </c>
      <c r="G104" s="545">
        <v>5</v>
      </c>
      <c r="H104" s="545">
        <v>6</v>
      </c>
      <c r="I104" s="545">
        <v>7</v>
      </c>
      <c r="J104" s="545"/>
      <c r="K104" s="503"/>
      <c r="L104" s="503"/>
      <c r="M104" s="503"/>
      <c r="N104" s="503"/>
    </row>
    <row r="105" spans="1:27" outlineLevel="2" x14ac:dyDescent="0.2">
      <c r="A105" s="220"/>
      <c r="B105" s="220"/>
      <c r="C105" s="220"/>
      <c r="D105" s="112">
        <f>FirstYear</f>
        <v>0</v>
      </c>
      <c r="E105" s="112">
        <f>D105+1</f>
        <v>1</v>
      </c>
      <c r="F105" s="112">
        <f>E105+1</f>
        <v>2</v>
      </c>
      <c r="G105" s="112">
        <f>F105+1</f>
        <v>3</v>
      </c>
      <c r="H105" s="112">
        <f>G105+1</f>
        <v>4</v>
      </c>
      <c r="I105" s="112">
        <f>H105+1</f>
        <v>5</v>
      </c>
      <c r="J105" s="220"/>
      <c r="K105" s="220"/>
      <c r="L105" s="220"/>
      <c r="M105" s="220"/>
      <c r="N105" s="6"/>
    </row>
    <row r="106" spans="1:27" outlineLevel="2" x14ac:dyDescent="0.2">
      <c r="A106" s="220"/>
      <c r="B106" s="220"/>
      <c r="C106" s="258" t="s">
        <v>140</v>
      </c>
      <c r="D106" s="259">
        <f t="shared" ref="D106:I106" si="74">INDEX(PBSScriptsNew,$B103,D104)</f>
        <v>0</v>
      </c>
      <c r="E106" s="259">
        <f t="shared" si="74"/>
        <v>0</v>
      </c>
      <c r="F106" s="259">
        <f t="shared" si="74"/>
        <v>0</v>
      </c>
      <c r="G106" s="259">
        <f t="shared" si="74"/>
        <v>0</v>
      </c>
      <c r="H106" s="259">
        <f t="shared" si="74"/>
        <v>0</v>
      </c>
      <c r="I106" s="259">
        <f t="shared" si="74"/>
        <v>0</v>
      </c>
      <c r="J106" s="220"/>
      <c r="K106" s="220"/>
      <c r="L106" s="6"/>
      <c r="M106" s="6"/>
      <c r="N106" s="220"/>
    </row>
    <row r="107" spans="1:27" outlineLevel="2" x14ac:dyDescent="0.2">
      <c r="A107" s="220"/>
      <c r="B107" s="220"/>
      <c r="C107" s="258" t="s">
        <v>141</v>
      </c>
      <c r="D107" s="259">
        <f t="shared" ref="D107:I107" si="75">INDEX(RPBSScriptsNew,$B103,D104)</f>
        <v>0</v>
      </c>
      <c r="E107" s="259">
        <f t="shared" si="75"/>
        <v>0</v>
      </c>
      <c r="F107" s="259">
        <f t="shared" si="75"/>
        <v>0</v>
      </c>
      <c r="G107" s="259">
        <f t="shared" si="75"/>
        <v>0</v>
      </c>
      <c r="H107" s="259">
        <f t="shared" si="75"/>
        <v>0</v>
      </c>
      <c r="I107" s="259">
        <f t="shared" si="75"/>
        <v>0</v>
      </c>
      <c r="J107" s="220"/>
      <c r="K107" s="220"/>
      <c r="L107" s="6"/>
      <c r="M107" s="6"/>
      <c r="N107" s="220"/>
    </row>
    <row r="108" spans="1:27" outlineLevel="2" x14ac:dyDescent="0.2">
      <c r="A108" s="220"/>
      <c r="B108" s="220"/>
      <c r="C108" s="242" t="s">
        <v>142</v>
      </c>
      <c r="D108" s="259">
        <f t="shared" ref="D108:I108" si="76">IF(INDEX(SANew,$B103,7)&gt;0,ROUND(D106/INDEX(SANew,$B103,2),0),0)</f>
        <v>0</v>
      </c>
      <c r="E108" s="259">
        <f t="shared" si="76"/>
        <v>0</v>
      </c>
      <c r="F108" s="259">
        <f t="shared" si="76"/>
        <v>0</v>
      </c>
      <c r="G108" s="259">
        <f t="shared" si="76"/>
        <v>0</v>
      </c>
      <c r="H108" s="259">
        <f t="shared" si="76"/>
        <v>0</v>
      </c>
      <c r="I108" s="259">
        <f t="shared" si="76"/>
        <v>0</v>
      </c>
      <c r="J108" s="220"/>
      <c r="L108" s="205"/>
      <c r="M108" s="220"/>
    </row>
    <row r="109" spans="1:27" outlineLevel="2" x14ac:dyDescent="0.2">
      <c r="A109" s="220"/>
      <c r="B109" s="220"/>
      <c r="C109" s="242" t="s">
        <v>143</v>
      </c>
      <c r="D109" s="259">
        <f t="shared" ref="D109:I109" si="77">IF(INDEX(SANew,$B103,7)&gt;0,ROUND(D107/INDEX(SANew,$B103,2),0),0)</f>
        <v>0</v>
      </c>
      <c r="E109" s="259">
        <f t="shared" si="77"/>
        <v>0</v>
      </c>
      <c r="F109" s="259">
        <f t="shared" si="77"/>
        <v>0</v>
      </c>
      <c r="G109" s="259">
        <f t="shared" si="77"/>
        <v>0</v>
      </c>
      <c r="H109" s="259">
        <f t="shared" si="77"/>
        <v>0</v>
      </c>
      <c r="I109" s="259">
        <f t="shared" si="77"/>
        <v>0</v>
      </c>
      <c r="J109" s="220"/>
      <c r="L109" s="205"/>
      <c r="M109" s="220"/>
    </row>
    <row r="110" spans="1:27" outlineLevel="1" x14ac:dyDescent="0.2">
      <c r="A110" s="220"/>
      <c r="B110" s="220"/>
      <c r="C110" s="197"/>
      <c r="D110" s="248"/>
      <c r="E110" s="220"/>
      <c r="F110" s="220"/>
      <c r="G110" s="220"/>
      <c r="H110" s="220"/>
      <c r="I110" s="220"/>
      <c r="J110" s="220"/>
      <c r="K110" s="220"/>
      <c r="L110" s="220"/>
      <c r="M110" s="220"/>
      <c r="N110" s="220"/>
    </row>
    <row r="111" spans="1:27" ht="15" outlineLevel="1" x14ac:dyDescent="0.2">
      <c r="A111" s="220"/>
      <c r="B111" s="422">
        <v>7</v>
      </c>
      <c r="C111" s="221" t="str">
        <f>INDEX(PBSScriptsNew,B111,1)</f>
        <v>** NOT USED **</v>
      </c>
      <c r="D111" s="207"/>
      <c r="E111" s="207"/>
      <c r="F111" s="207"/>
      <c r="G111" s="207"/>
      <c r="H111" s="207"/>
      <c r="I111" s="207"/>
      <c r="J111" s="207"/>
      <c r="K111" s="207"/>
      <c r="L111" s="189"/>
      <c r="M111" s="189"/>
      <c r="N111" s="189"/>
      <c r="O111" s="178"/>
      <c r="P111" s="178"/>
      <c r="Q111" s="178"/>
      <c r="R111" s="178"/>
      <c r="S111" s="178"/>
      <c r="T111" s="178"/>
      <c r="U111" s="178"/>
      <c r="V111" s="178"/>
      <c r="W111" s="178"/>
      <c r="X111" s="178"/>
      <c r="Y111" s="178"/>
      <c r="Z111" s="178"/>
      <c r="AA111" s="178"/>
    </row>
    <row r="112" spans="1:27" outlineLevel="2" x14ac:dyDescent="0.2">
      <c r="A112" s="220"/>
      <c r="B112" s="220"/>
      <c r="C112" s="503"/>
      <c r="D112" s="545">
        <v>2</v>
      </c>
      <c r="E112" s="545">
        <v>3</v>
      </c>
      <c r="F112" s="545">
        <v>4</v>
      </c>
      <c r="G112" s="545">
        <v>5</v>
      </c>
      <c r="H112" s="545">
        <v>6</v>
      </c>
      <c r="I112" s="545">
        <v>7</v>
      </c>
      <c r="J112" s="545"/>
      <c r="K112" s="503"/>
      <c r="L112" s="503"/>
      <c r="M112" s="503"/>
      <c r="N112" s="503"/>
    </row>
    <row r="113" spans="1:27" outlineLevel="2" x14ac:dyDescent="0.2">
      <c r="A113" s="220"/>
      <c r="B113" s="220"/>
      <c r="C113" s="220"/>
      <c r="D113" s="112">
        <f>FirstYear</f>
        <v>0</v>
      </c>
      <c r="E113" s="112">
        <f>D113+1</f>
        <v>1</v>
      </c>
      <c r="F113" s="112">
        <f>E113+1</f>
        <v>2</v>
      </c>
      <c r="G113" s="112">
        <f>F113+1</f>
        <v>3</v>
      </c>
      <c r="H113" s="112">
        <f>G113+1</f>
        <v>4</v>
      </c>
      <c r="I113" s="112">
        <f>H113+1</f>
        <v>5</v>
      </c>
      <c r="J113" s="220"/>
      <c r="K113" s="220"/>
      <c r="L113" s="220"/>
      <c r="M113" s="220"/>
      <c r="N113" s="220"/>
    </row>
    <row r="114" spans="1:27" outlineLevel="2" x14ac:dyDescent="0.2">
      <c r="A114" s="220"/>
      <c r="B114" s="220"/>
      <c r="C114" s="258" t="s">
        <v>140</v>
      </c>
      <c r="D114" s="259">
        <f t="shared" ref="D114:I114" si="78">INDEX(PBSScriptsNew,$B111,D112)</f>
        <v>0</v>
      </c>
      <c r="E114" s="259">
        <f t="shared" si="78"/>
        <v>0</v>
      </c>
      <c r="F114" s="259">
        <f t="shared" si="78"/>
        <v>0</v>
      </c>
      <c r="G114" s="259">
        <f t="shared" si="78"/>
        <v>0</v>
      </c>
      <c r="H114" s="259">
        <f t="shared" si="78"/>
        <v>0</v>
      </c>
      <c r="I114" s="259">
        <f t="shared" si="78"/>
        <v>0</v>
      </c>
      <c r="J114" s="220"/>
      <c r="K114" s="220"/>
      <c r="L114" s="6"/>
      <c r="M114" s="6"/>
      <c r="N114" s="220"/>
    </row>
    <row r="115" spans="1:27" outlineLevel="2" x14ac:dyDescent="0.2">
      <c r="A115" s="220"/>
      <c r="B115" s="220"/>
      <c r="C115" s="258" t="s">
        <v>141</v>
      </c>
      <c r="D115" s="259">
        <f t="shared" ref="D115:I115" si="79">INDEX(RPBSScriptsNew,$B111,D112)</f>
        <v>0</v>
      </c>
      <c r="E115" s="259">
        <f t="shared" si="79"/>
        <v>0</v>
      </c>
      <c r="F115" s="259">
        <f t="shared" si="79"/>
        <v>0</v>
      </c>
      <c r="G115" s="259">
        <f t="shared" si="79"/>
        <v>0</v>
      </c>
      <c r="H115" s="259">
        <f t="shared" si="79"/>
        <v>0</v>
      </c>
      <c r="I115" s="259">
        <f t="shared" si="79"/>
        <v>0</v>
      </c>
      <c r="J115" s="220"/>
      <c r="K115" s="220"/>
      <c r="L115" s="6"/>
      <c r="M115" s="6"/>
      <c r="N115" s="220"/>
    </row>
    <row r="116" spans="1:27" outlineLevel="2" x14ac:dyDescent="0.2">
      <c r="A116" s="220"/>
      <c r="B116" s="220"/>
      <c r="C116" s="242" t="s">
        <v>142</v>
      </c>
      <c r="D116" s="259">
        <f t="shared" ref="D116:I116" si="80">IF(INDEX(SANew,$B111,7)&gt;0,ROUND(D114/INDEX(SANew,$B111,2),0),0)</f>
        <v>0</v>
      </c>
      <c r="E116" s="259">
        <f t="shared" si="80"/>
        <v>0</v>
      </c>
      <c r="F116" s="259">
        <f t="shared" si="80"/>
        <v>0</v>
      </c>
      <c r="G116" s="259">
        <f t="shared" si="80"/>
        <v>0</v>
      </c>
      <c r="H116" s="259">
        <f t="shared" si="80"/>
        <v>0</v>
      </c>
      <c r="I116" s="259">
        <f t="shared" si="80"/>
        <v>0</v>
      </c>
      <c r="J116" s="220"/>
      <c r="L116" s="205"/>
      <c r="M116" s="220"/>
    </row>
    <row r="117" spans="1:27" outlineLevel="2" x14ac:dyDescent="0.2">
      <c r="A117" s="220"/>
      <c r="B117" s="220"/>
      <c r="C117" s="242" t="s">
        <v>143</v>
      </c>
      <c r="D117" s="259">
        <f t="shared" ref="D117:I117" si="81">IF(INDEX(SANew,$B111,7)&gt;0,ROUND(D115/INDEX(SANew,$B111,2),0),0)</f>
        <v>0</v>
      </c>
      <c r="E117" s="259">
        <f t="shared" si="81"/>
        <v>0</v>
      </c>
      <c r="F117" s="259">
        <f t="shared" si="81"/>
        <v>0</v>
      </c>
      <c r="G117" s="259">
        <f t="shared" si="81"/>
        <v>0</v>
      </c>
      <c r="H117" s="259">
        <f t="shared" si="81"/>
        <v>0</v>
      </c>
      <c r="I117" s="259">
        <f t="shared" si="81"/>
        <v>0</v>
      </c>
      <c r="J117" s="220"/>
      <c r="L117" s="205"/>
      <c r="M117" s="220"/>
    </row>
    <row r="118" spans="1:27" outlineLevel="1" x14ac:dyDescent="0.2">
      <c r="A118" s="220"/>
      <c r="B118" s="220"/>
      <c r="C118" s="197"/>
      <c r="D118" s="248"/>
      <c r="E118" s="220"/>
      <c r="F118" s="220"/>
      <c r="G118" s="220"/>
      <c r="H118" s="220"/>
      <c r="I118" s="220"/>
      <c r="J118" s="220"/>
      <c r="K118" s="220"/>
      <c r="L118" s="220"/>
      <c r="M118" s="220"/>
      <c r="N118" s="220"/>
    </row>
    <row r="119" spans="1:27" ht="15" outlineLevel="1" x14ac:dyDescent="0.2">
      <c r="A119" s="220"/>
      <c r="B119" s="422">
        <v>8</v>
      </c>
      <c r="C119" s="221" t="str">
        <f>INDEX(PBSScriptsNew,B119,1)</f>
        <v>** NOT USED **</v>
      </c>
      <c r="D119" s="207"/>
      <c r="E119" s="207"/>
      <c r="F119" s="207"/>
      <c r="G119" s="207"/>
      <c r="H119" s="207"/>
      <c r="I119" s="207"/>
      <c r="J119" s="207"/>
      <c r="K119" s="207"/>
      <c r="L119" s="189"/>
      <c r="M119" s="189"/>
      <c r="N119" s="189"/>
      <c r="O119" s="178"/>
      <c r="P119" s="178"/>
      <c r="Q119" s="178"/>
      <c r="R119" s="178"/>
      <c r="S119" s="178"/>
      <c r="T119" s="178"/>
      <c r="U119" s="178"/>
      <c r="V119" s="178"/>
      <c r="W119" s="178"/>
      <c r="X119" s="178"/>
      <c r="Y119" s="178"/>
      <c r="Z119" s="178"/>
      <c r="AA119" s="178"/>
    </row>
    <row r="120" spans="1:27" outlineLevel="2" x14ac:dyDescent="0.2">
      <c r="A120" s="220"/>
      <c r="B120" s="220"/>
      <c r="C120" s="503"/>
      <c r="D120" s="545">
        <v>2</v>
      </c>
      <c r="E120" s="545">
        <v>3</v>
      </c>
      <c r="F120" s="545">
        <v>4</v>
      </c>
      <c r="G120" s="545">
        <v>5</v>
      </c>
      <c r="H120" s="545">
        <v>6</v>
      </c>
      <c r="I120" s="545">
        <v>7</v>
      </c>
      <c r="J120" s="545"/>
      <c r="K120" s="503"/>
      <c r="L120" s="503"/>
      <c r="M120" s="503"/>
      <c r="N120" s="503"/>
    </row>
    <row r="121" spans="1:27" outlineLevel="2" x14ac:dyDescent="0.2">
      <c r="A121" s="220"/>
      <c r="B121" s="220"/>
      <c r="C121" s="220"/>
      <c r="D121" s="112">
        <f>FirstYear</f>
        <v>0</v>
      </c>
      <c r="E121" s="112">
        <f>D121+1</f>
        <v>1</v>
      </c>
      <c r="F121" s="112">
        <f>E121+1</f>
        <v>2</v>
      </c>
      <c r="G121" s="112">
        <f>F121+1</f>
        <v>3</v>
      </c>
      <c r="H121" s="112">
        <f>G121+1</f>
        <v>4</v>
      </c>
      <c r="I121" s="112">
        <f>H121+1</f>
        <v>5</v>
      </c>
      <c r="J121" s="220"/>
      <c r="K121" s="220"/>
      <c r="L121" s="220"/>
      <c r="M121" s="220"/>
      <c r="N121" s="220"/>
    </row>
    <row r="122" spans="1:27" outlineLevel="2" x14ac:dyDescent="0.2">
      <c r="A122" s="220"/>
      <c r="B122" s="220"/>
      <c r="C122" s="258" t="s">
        <v>140</v>
      </c>
      <c r="D122" s="259">
        <f t="shared" ref="D122:I122" si="82">INDEX(PBSScriptsNew,$B119,D120)</f>
        <v>0</v>
      </c>
      <c r="E122" s="259">
        <f t="shared" si="82"/>
        <v>0</v>
      </c>
      <c r="F122" s="259">
        <f t="shared" si="82"/>
        <v>0</v>
      </c>
      <c r="G122" s="259">
        <f t="shared" si="82"/>
        <v>0</v>
      </c>
      <c r="H122" s="259">
        <f t="shared" si="82"/>
        <v>0</v>
      </c>
      <c r="I122" s="259">
        <f t="shared" si="82"/>
        <v>0</v>
      </c>
      <c r="J122" s="220"/>
      <c r="K122" s="220"/>
      <c r="L122" s="6"/>
      <c r="M122" s="6"/>
      <c r="N122" s="220"/>
    </row>
    <row r="123" spans="1:27" outlineLevel="2" x14ac:dyDescent="0.2">
      <c r="A123" s="220"/>
      <c r="B123" s="220"/>
      <c r="C123" s="258" t="s">
        <v>141</v>
      </c>
      <c r="D123" s="259">
        <f t="shared" ref="D123:I123" si="83">INDEX(RPBSScriptsNew,$B119,D120)</f>
        <v>0</v>
      </c>
      <c r="E123" s="259">
        <f t="shared" si="83"/>
        <v>0</v>
      </c>
      <c r="F123" s="259">
        <f t="shared" si="83"/>
        <v>0</v>
      </c>
      <c r="G123" s="259">
        <f t="shared" si="83"/>
        <v>0</v>
      </c>
      <c r="H123" s="259">
        <f t="shared" si="83"/>
        <v>0</v>
      </c>
      <c r="I123" s="259">
        <f t="shared" si="83"/>
        <v>0</v>
      </c>
      <c r="J123" s="220"/>
      <c r="K123" s="220"/>
      <c r="L123" s="6"/>
      <c r="M123" s="6"/>
      <c r="N123" s="220"/>
    </row>
    <row r="124" spans="1:27" outlineLevel="2" x14ac:dyDescent="0.2">
      <c r="A124" s="220"/>
      <c r="B124" s="220"/>
      <c r="C124" s="242" t="s">
        <v>142</v>
      </c>
      <c r="D124" s="259">
        <f t="shared" ref="D124:I124" si="84">IF(INDEX(SANew,$B119,7)&gt;0,ROUND(D122/INDEX(SANew,$B119,2),0),0)</f>
        <v>0</v>
      </c>
      <c r="E124" s="259">
        <f t="shared" si="84"/>
        <v>0</v>
      </c>
      <c r="F124" s="259">
        <f t="shared" si="84"/>
        <v>0</v>
      </c>
      <c r="G124" s="259">
        <f t="shared" si="84"/>
        <v>0</v>
      </c>
      <c r="H124" s="259">
        <f t="shared" si="84"/>
        <v>0</v>
      </c>
      <c r="I124" s="259">
        <f t="shared" si="84"/>
        <v>0</v>
      </c>
      <c r="J124" s="220"/>
      <c r="L124" s="205"/>
      <c r="M124" s="220"/>
    </row>
    <row r="125" spans="1:27" outlineLevel="2" x14ac:dyDescent="0.2">
      <c r="A125" s="220"/>
      <c r="B125" s="220"/>
      <c r="C125" s="242" t="s">
        <v>143</v>
      </c>
      <c r="D125" s="259">
        <f t="shared" ref="D125:I125" si="85">IF(INDEX(SANew,$B119,7)&gt;0,ROUND(D123/INDEX(SANew,$B119,2),0),0)</f>
        <v>0</v>
      </c>
      <c r="E125" s="259">
        <f t="shared" si="85"/>
        <v>0</v>
      </c>
      <c r="F125" s="259">
        <f t="shared" si="85"/>
        <v>0</v>
      </c>
      <c r="G125" s="259">
        <f t="shared" si="85"/>
        <v>0</v>
      </c>
      <c r="H125" s="259">
        <f t="shared" si="85"/>
        <v>0</v>
      </c>
      <c r="I125" s="259">
        <f t="shared" si="85"/>
        <v>0</v>
      </c>
      <c r="J125" s="220"/>
      <c r="L125" s="205"/>
      <c r="M125" s="220"/>
    </row>
    <row r="126" spans="1:27" outlineLevel="1" x14ac:dyDescent="0.2">
      <c r="A126" s="220"/>
      <c r="B126" s="220"/>
      <c r="C126" s="197"/>
      <c r="D126" s="248"/>
      <c r="E126" s="220"/>
      <c r="F126" s="220"/>
      <c r="G126" s="220"/>
      <c r="H126" s="220"/>
      <c r="I126" s="220"/>
      <c r="J126" s="220"/>
      <c r="K126" s="220"/>
      <c r="L126" s="220"/>
      <c r="M126" s="220"/>
      <c r="N126" s="220"/>
    </row>
    <row r="127" spans="1:27" ht="15" outlineLevel="1" x14ac:dyDescent="0.2">
      <c r="A127" s="220"/>
      <c r="B127" s="422">
        <v>9</v>
      </c>
      <c r="C127" s="221" t="str">
        <f>INDEX(PBSScriptsNew,B127,1)</f>
        <v>** NOT USED **</v>
      </c>
      <c r="D127" s="207"/>
      <c r="E127" s="207"/>
      <c r="F127" s="207"/>
      <c r="G127" s="207"/>
      <c r="H127" s="207"/>
      <c r="I127" s="207"/>
      <c r="J127" s="207"/>
      <c r="K127" s="207"/>
      <c r="L127" s="189"/>
      <c r="M127" s="189"/>
      <c r="N127" s="189"/>
      <c r="O127" s="178"/>
      <c r="P127" s="178"/>
      <c r="Q127" s="178"/>
      <c r="R127" s="178"/>
      <c r="S127" s="178"/>
      <c r="T127" s="178"/>
      <c r="U127" s="178"/>
      <c r="V127" s="178"/>
      <c r="W127" s="178"/>
      <c r="X127" s="178"/>
      <c r="Y127" s="178"/>
      <c r="Z127" s="178"/>
      <c r="AA127" s="178"/>
    </row>
    <row r="128" spans="1:27" outlineLevel="2" x14ac:dyDescent="0.2">
      <c r="A128" s="220"/>
      <c r="B128" s="220"/>
      <c r="C128" s="503"/>
      <c r="D128" s="545">
        <v>2</v>
      </c>
      <c r="E128" s="545">
        <v>3</v>
      </c>
      <c r="F128" s="545">
        <v>4</v>
      </c>
      <c r="G128" s="545">
        <v>5</v>
      </c>
      <c r="H128" s="545">
        <v>6</v>
      </c>
      <c r="I128" s="545">
        <v>7</v>
      </c>
      <c r="J128" s="545"/>
      <c r="K128" s="503"/>
      <c r="L128" s="503"/>
      <c r="M128" s="503"/>
      <c r="N128" s="503"/>
    </row>
    <row r="129" spans="1:27" outlineLevel="2" x14ac:dyDescent="0.2">
      <c r="A129" s="220"/>
      <c r="B129" s="220"/>
      <c r="C129" s="220"/>
      <c r="D129" s="112">
        <f>FirstYear</f>
        <v>0</v>
      </c>
      <c r="E129" s="112">
        <f>D129+1</f>
        <v>1</v>
      </c>
      <c r="F129" s="112">
        <f>E129+1</f>
        <v>2</v>
      </c>
      <c r="G129" s="112">
        <f>F129+1</f>
        <v>3</v>
      </c>
      <c r="H129" s="112">
        <f>G129+1</f>
        <v>4</v>
      </c>
      <c r="I129" s="112">
        <f>H129+1</f>
        <v>5</v>
      </c>
      <c r="J129" s="220"/>
      <c r="K129" s="220"/>
      <c r="L129" s="220"/>
      <c r="M129" s="220"/>
      <c r="N129" s="220"/>
    </row>
    <row r="130" spans="1:27" outlineLevel="2" x14ac:dyDescent="0.2">
      <c r="A130" s="220"/>
      <c r="B130" s="220"/>
      <c r="C130" s="258" t="s">
        <v>140</v>
      </c>
      <c r="D130" s="259">
        <f t="shared" ref="D130:I130" si="86">INDEX(PBSScriptsNew,$B127,D128)</f>
        <v>0</v>
      </c>
      <c r="E130" s="259">
        <f t="shared" si="86"/>
        <v>0</v>
      </c>
      <c r="F130" s="259">
        <f t="shared" si="86"/>
        <v>0</v>
      </c>
      <c r="G130" s="259">
        <f t="shared" si="86"/>
        <v>0</v>
      </c>
      <c r="H130" s="259">
        <f t="shared" si="86"/>
        <v>0</v>
      </c>
      <c r="I130" s="259">
        <f t="shared" si="86"/>
        <v>0</v>
      </c>
      <c r="J130" s="220"/>
      <c r="K130" s="220"/>
      <c r="L130" s="6"/>
      <c r="M130" s="6"/>
      <c r="N130" s="220"/>
    </row>
    <row r="131" spans="1:27" outlineLevel="2" x14ac:dyDescent="0.2">
      <c r="A131" s="220"/>
      <c r="B131" s="220"/>
      <c r="C131" s="258" t="s">
        <v>141</v>
      </c>
      <c r="D131" s="259">
        <f t="shared" ref="D131:I131" si="87">INDEX(RPBSScriptsNew,$B127,D128)</f>
        <v>0</v>
      </c>
      <c r="E131" s="259">
        <f t="shared" si="87"/>
        <v>0</v>
      </c>
      <c r="F131" s="259">
        <f t="shared" si="87"/>
        <v>0</v>
      </c>
      <c r="G131" s="259">
        <f t="shared" si="87"/>
        <v>0</v>
      </c>
      <c r="H131" s="259">
        <f t="shared" si="87"/>
        <v>0</v>
      </c>
      <c r="I131" s="259">
        <f t="shared" si="87"/>
        <v>0</v>
      </c>
      <c r="J131" s="220"/>
      <c r="K131" s="220"/>
      <c r="L131" s="6"/>
      <c r="M131" s="6"/>
      <c r="N131" s="220"/>
    </row>
    <row r="132" spans="1:27" outlineLevel="2" x14ac:dyDescent="0.2">
      <c r="A132" s="220"/>
      <c r="B132" s="220"/>
      <c r="C132" s="242" t="s">
        <v>142</v>
      </c>
      <c r="D132" s="259">
        <f t="shared" ref="D132:I132" si="88">IF(INDEX(SANew,$B127,7)&gt;0,ROUND(D130/INDEX(SANew,$B127,2),0),0)</f>
        <v>0</v>
      </c>
      <c r="E132" s="259">
        <f t="shared" si="88"/>
        <v>0</v>
      </c>
      <c r="F132" s="259">
        <f t="shared" si="88"/>
        <v>0</v>
      </c>
      <c r="G132" s="259">
        <f t="shared" si="88"/>
        <v>0</v>
      </c>
      <c r="H132" s="259">
        <f t="shared" si="88"/>
        <v>0</v>
      </c>
      <c r="I132" s="259">
        <f t="shared" si="88"/>
        <v>0</v>
      </c>
      <c r="J132" s="220"/>
      <c r="L132" s="205"/>
      <c r="M132" s="220"/>
    </row>
    <row r="133" spans="1:27" outlineLevel="2" x14ac:dyDescent="0.2">
      <c r="A133" s="220"/>
      <c r="B133" s="220"/>
      <c r="C133" s="242" t="s">
        <v>143</v>
      </c>
      <c r="D133" s="259">
        <f t="shared" ref="D133:I133" si="89">IF(INDEX(SANew,$B127,7)&gt;0,ROUND(D131/INDEX(SANew,$B127,2),0),0)</f>
        <v>0</v>
      </c>
      <c r="E133" s="259">
        <f t="shared" si="89"/>
        <v>0</v>
      </c>
      <c r="F133" s="259">
        <f t="shared" si="89"/>
        <v>0</v>
      </c>
      <c r="G133" s="259">
        <f t="shared" si="89"/>
        <v>0</v>
      </c>
      <c r="H133" s="259">
        <f t="shared" si="89"/>
        <v>0</v>
      </c>
      <c r="I133" s="259">
        <f t="shared" si="89"/>
        <v>0</v>
      </c>
      <c r="J133" s="220"/>
      <c r="L133" s="205"/>
      <c r="M133" s="220"/>
    </row>
    <row r="134" spans="1:27" outlineLevel="1" x14ac:dyDescent="0.2">
      <c r="A134" s="220"/>
      <c r="B134" s="220"/>
      <c r="C134" s="197"/>
      <c r="D134" s="248"/>
      <c r="E134" s="220"/>
      <c r="F134" s="220"/>
      <c r="G134" s="220"/>
      <c r="H134" s="220"/>
      <c r="I134" s="220"/>
      <c r="J134" s="220"/>
      <c r="K134" s="220"/>
      <c r="L134" s="220"/>
      <c r="M134" s="220"/>
      <c r="N134" s="220"/>
    </row>
    <row r="135" spans="1:27" ht="15" outlineLevel="1" x14ac:dyDescent="0.2">
      <c r="A135" s="220"/>
      <c r="B135" s="422">
        <v>10</v>
      </c>
      <c r="C135" s="221" t="str">
        <f>INDEX(PBSScriptsNew,B135,1)</f>
        <v>** NOT USED **</v>
      </c>
      <c r="D135" s="207"/>
      <c r="E135" s="207"/>
      <c r="F135" s="207"/>
      <c r="G135" s="207"/>
      <c r="H135" s="207"/>
      <c r="I135" s="207"/>
      <c r="J135" s="207"/>
      <c r="K135" s="207"/>
      <c r="L135" s="189"/>
      <c r="M135" s="189"/>
      <c r="N135" s="189"/>
      <c r="O135" s="178"/>
      <c r="P135" s="178"/>
      <c r="Q135" s="178"/>
      <c r="R135" s="178"/>
      <c r="S135" s="178"/>
      <c r="T135" s="178"/>
      <c r="U135" s="178"/>
      <c r="V135" s="178"/>
      <c r="W135" s="178"/>
      <c r="X135" s="178"/>
      <c r="Y135" s="178"/>
      <c r="Z135" s="178"/>
      <c r="AA135" s="178"/>
    </row>
    <row r="136" spans="1:27" outlineLevel="2" x14ac:dyDescent="0.2">
      <c r="A136" s="220"/>
      <c r="B136" s="220"/>
      <c r="C136" s="503"/>
      <c r="D136" s="545">
        <v>2</v>
      </c>
      <c r="E136" s="545">
        <v>3</v>
      </c>
      <c r="F136" s="545">
        <v>4</v>
      </c>
      <c r="G136" s="545">
        <v>5</v>
      </c>
      <c r="H136" s="545">
        <v>6</v>
      </c>
      <c r="I136" s="545">
        <v>7</v>
      </c>
      <c r="J136" s="545"/>
      <c r="K136" s="503"/>
      <c r="L136" s="503"/>
      <c r="M136" s="503"/>
      <c r="N136" s="503"/>
    </row>
    <row r="137" spans="1:27" outlineLevel="2" x14ac:dyDescent="0.2">
      <c r="A137" s="220"/>
      <c r="B137" s="220"/>
      <c r="C137" s="220"/>
      <c r="D137" s="112">
        <f>FirstYear</f>
        <v>0</v>
      </c>
      <c r="E137" s="112">
        <f>D137+1</f>
        <v>1</v>
      </c>
      <c r="F137" s="112">
        <f>E137+1</f>
        <v>2</v>
      </c>
      <c r="G137" s="112">
        <f>F137+1</f>
        <v>3</v>
      </c>
      <c r="H137" s="112">
        <f>G137+1</f>
        <v>4</v>
      </c>
      <c r="I137" s="112">
        <f>H137+1</f>
        <v>5</v>
      </c>
      <c r="J137" s="220"/>
      <c r="K137" s="220"/>
      <c r="L137" s="220"/>
      <c r="M137" s="220"/>
      <c r="N137" s="220"/>
    </row>
    <row r="138" spans="1:27" outlineLevel="2" x14ac:dyDescent="0.2">
      <c r="A138" s="220"/>
      <c r="B138" s="220"/>
      <c r="C138" s="258" t="s">
        <v>140</v>
      </c>
      <c r="D138" s="259">
        <f t="shared" ref="D138:I138" si="90">INDEX(PBSScriptsNew,$B135,D136)</f>
        <v>0</v>
      </c>
      <c r="E138" s="259">
        <f t="shared" si="90"/>
        <v>0</v>
      </c>
      <c r="F138" s="259">
        <f t="shared" si="90"/>
        <v>0</v>
      </c>
      <c r="G138" s="259">
        <f t="shared" si="90"/>
        <v>0</v>
      </c>
      <c r="H138" s="259">
        <f t="shared" si="90"/>
        <v>0</v>
      </c>
      <c r="I138" s="259">
        <f t="shared" si="90"/>
        <v>0</v>
      </c>
      <c r="J138" s="220"/>
      <c r="K138" s="220"/>
      <c r="L138" s="6"/>
      <c r="M138" s="6"/>
      <c r="N138" s="220"/>
    </row>
    <row r="139" spans="1:27" outlineLevel="2" x14ac:dyDescent="0.2">
      <c r="A139" s="220"/>
      <c r="B139" s="220"/>
      <c r="C139" s="258" t="s">
        <v>141</v>
      </c>
      <c r="D139" s="259">
        <f t="shared" ref="D139:I139" si="91">INDEX(RPBSScriptsNew,$B135,D136)</f>
        <v>0</v>
      </c>
      <c r="E139" s="259">
        <f t="shared" si="91"/>
        <v>0</v>
      </c>
      <c r="F139" s="259">
        <f t="shared" si="91"/>
        <v>0</v>
      </c>
      <c r="G139" s="259">
        <f t="shared" si="91"/>
        <v>0</v>
      </c>
      <c r="H139" s="259">
        <f t="shared" si="91"/>
        <v>0</v>
      </c>
      <c r="I139" s="259">
        <f t="shared" si="91"/>
        <v>0</v>
      </c>
      <c r="J139" s="220"/>
      <c r="K139" s="220"/>
      <c r="L139" s="6"/>
      <c r="M139" s="6"/>
      <c r="N139" s="220"/>
    </row>
    <row r="140" spans="1:27" outlineLevel="2" x14ac:dyDescent="0.2">
      <c r="A140" s="220"/>
      <c r="B140" s="220"/>
      <c r="C140" s="242" t="s">
        <v>142</v>
      </c>
      <c r="D140" s="259">
        <f t="shared" ref="D140:I140" si="92">IF(INDEX(SANew,$B135,7)&gt;0,ROUND(D138/INDEX(SANew,$B135,2),0),0)</f>
        <v>0</v>
      </c>
      <c r="E140" s="259">
        <f t="shared" si="92"/>
        <v>0</v>
      </c>
      <c r="F140" s="259">
        <f t="shared" si="92"/>
        <v>0</v>
      </c>
      <c r="G140" s="259">
        <f t="shared" si="92"/>
        <v>0</v>
      </c>
      <c r="H140" s="259">
        <f t="shared" si="92"/>
        <v>0</v>
      </c>
      <c r="I140" s="259">
        <f t="shared" si="92"/>
        <v>0</v>
      </c>
      <c r="J140" s="220"/>
      <c r="L140" s="205"/>
      <c r="M140" s="220"/>
    </row>
    <row r="141" spans="1:27" outlineLevel="2" x14ac:dyDescent="0.2">
      <c r="A141" s="220"/>
      <c r="B141" s="220"/>
      <c r="C141" s="242" t="s">
        <v>143</v>
      </c>
      <c r="D141" s="259">
        <f t="shared" ref="D141:I141" si="93">IF(INDEX(SANew,$B135,7)&gt;0,ROUND(D139/INDEX(SANew,$B135,2),0),0)</f>
        <v>0</v>
      </c>
      <c r="E141" s="259">
        <f t="shared" si="93"/>
        <v>0</v>
      </c>
      <c r="F141" s="259">
        <f t="shared" si="93"/>
        <v>0</v>
      </c>
      <c r="G141" s="259">
        <f t="shared" si="93"/>
        <v>0</v>
      </c>
      <c r="H141" s="259">
        <f t="shared" si="93"/>
        <v>0</v>
      </c>
      <c r="I141" s="259">
        <f t="shared" si="93"/>
        <v>0</v>
      </c>
      <c r="J141" s="220"/>
      <c r="L141" s="205"/>
      <c r="M141" s="220"/>
    </row>
    <row r="142" spans="1:27" outlineLevel="1" x14ac:dyDescent="0.2">
      <c r="A142" s="220"/>
      <c r="B142" s="220"/>
      <c r="C142" s="197"/>
      <c r="D142" s="248"/>
      <c r="E142" s="220"/>
      <c r="F142" s="220"/>
      <c r="G142" s="220"/>
      <c r="H142" s="220"/>
      <c r="I142" s="220"/>
      <c r="J142" s="220"/>
      <c r="K142" s="220"/>
      <c r="L142" s="220"/>
      <c r="M142" s="220"/>
      <c r="N142" s="220"/>
    </row>
    <row r="143" spans="1:27" ht="15" outlineLevel="1" x14ac:dyDescent="0.2">
      <c r="A143" s="220"/>
      <c r="B143" s="422">
        <v>11</v>
      </c>
      <c r="C143" s="221" t="str">
        <f>INDEX(PBSScriptsNew,B143,1)</f>
        <v>** NOT USED **</v>
      </c>
      <c r="D143" s="207"/>
      <c r="E143" s="207"/>
      <c r="F143" s="207"/>
      <c r="G143" s="207"/>
      <c r="H143" s="207"/>
      <c r="I143" s="207"/>
      <c r="J143" s="207"/>
      <c r="K143" s="207"/>
      <c r="L143" s="189"/>
      <c r="M143" s="189"/>
      <c r="N143" s="189"/>
      <c r="O143" s="178"/>
      <c r="P143" s="178"/>
      <c r="Q143" s="178"/>
      <c r="R143" s="178"/>
      <c r="S143" s="178"/>
      <c r="T143" s="178"/>
      <c r="U143" s="178"/>
      <c r="V143" s="178"/>
      <c r="W143" s="178"/>
      <c r="X143" s="178"/>
      <c r="Y143" s="178"/>
      <c r="Z143" s="178"/>
      <c r="AA143" s="178"/>
    </row>
    <row r="144" spans="1:27" outlineLevel="2" x14ac:dyDescent="0.2">
      <c r="A144" s="220"/>
      <c r="B144" s="220"/>
      <c r="C144" s="503"/>
      <c r="D144" s="545">
        <v>2</v>
      </c>
      <c r="E144" s="545">
        <v>3</v>
      </c>
      <c r="F144" s="545">
        <v>4</v>
      </c>
      <c r="G144" s="545">
        <v>5</v>
      </c>
      <c r="H144" s="545">
        <v>6</v>
      </c>
      <c r="I144" s="545">
        <v>7</v>
      </c>
      <c r="J144" s="545"/>
      <c r="K144" s="503"/>
      <c r="L144" s="503"/>
      <c r="M144" s="503"/>
      <c r="N144" s="503"/>
    </row>
    <row r="145" spans="1:27" outlineLevel="2" x14ac:dyDescent="0.2">
      <c r="A145" s="220"/>
      <c r="B145" s="220"/>
      <c r="C145" s="220"/>
      <c r="D145" s="414">
        <f>FirstYear</f>
        <v>0</v>
      </c>
      <c r="E145" s="414">
        <f>D145+1</f>
        <v>1</v>
      </c>
      <c r="F145" s="414">
        <f>E145+1</f>
        <v>2</v>
      </c>
      <c r="G145" s="414">
        <f>F145+1</f>
        <v>3</v>
      </c>
      <c r="H145" s="414">
        <f>G145+1</f>
        <v>4</v>
      </c>
      <c r="I145" s="414">
        <f>H145+1</f>
        <v>5</v>
      </c>
      <c r="J145" s="220"/>
      <c r="K145" s="220"/>
      <c r="L145" s="220"/>
      <c r="M145" s="220"/>
      <c r="N145" s="220"/>
    </row>
    <row r="146" spans="1:27" outlineLevel="2" x14ac:dyDescent="0.2">
      <c r="A146" s="220"/>
      <c r="B146" s="220"/>
      <c r="C146" s="258" t="s">
        <v>140</v>
      </c>
      <c r="D146" s="259">
        <f t="shared" ref="D146:I146" si="94">INDEX(PBSScriptsNew,$B143,D144)</f>
        <v>0</v>
      </c>
      <c r="E146" s="259">
        <f t="shared" si="94"/>
        <v>0</v>
      </c>
      <c r="F146" s="259">
        <f t="shared" si="94"/>
        <v>0</v>
      </c>
      <c r="G146" s="259">
        <f t="shared" si="94"/>
        <v>0</v>
      </c>
      <c r="H146" s="259">
        <f t="shared" si="94"/>
        <v>0</v>
      </c>
      <c r="I146" s="259">
        <f t="shared" si="94"/>
        <v>0</v>
      </c>
      <c r="J146" s="220"/>
      <c r="K146" s="220"/>
      <c r="L146" s="220"/>
      <c r="M146" s="220"/>
      <c r="N146" s="220"/>
    </row>
    <row r="147" spans="1:27" outlineLevel="2" x14ac:dyDescent="0.2">
      <c r="A147" s="220"/>
      <c r="B147" s="220"/>
      <c r="C147" s="258" t="s">
        <v>141</v>
      </c>
      <c r="D147" s="259">
        <f t="shared" ref="D147:I147" si="95">INDEX(RPBSScriptsNew,$B143,D144)</f>
        <v>0</v>
      </c>
      <c r="E147" s="259">
        <f t="shared" si="95"/>
        <v>0</v>
      </c>
      <c r="F147" s="259">
        <f t="shared" si="95"/>
        <v>0</v>
      </c>
      <c r="G147" s="259">
        <f t="shared" si="95"/>
        <v>0</v>
      </c>
      <c r="H147" s="259">
        <f t="shared" si="95"/>
        <v>0</v>
      </c>
      <c r="I147" s="259">
        <f t="shared" si="95"/>
        <v>0</v>
      </c>
      <c r="J147" s="220"/>
      <c r="K147" s="220"/>
      <c r="L147" s="220"/>
      <c r="M147" s="220"/>
      <c r="N147" s="220"/>
    </row>
    <row r="148" spans="1:27" outlineLevel="2" x14ac:dyDescent="0.2">
      <c r="A148" s="220"/>
      <c r="B148" s="220"/>
      <c r="C148" s="242" t="s">
        <v>142</v>
      </c>
      <c r="D148" s="259">
        <f t="shared" ref="D148:I148" si="96">IF(INDEX(SANew,$B143,7)&gt;0,ROUND(D146/INDEX(SANew,$B143,2),0),0)</f>
        <v>0</v>
      </c>
      <c r="E148" s="259">
        <f t="shared" si="96"/>
        <v>0</v>
      </c>
      <c r="F148" s="259">
        <f t="shared" si="96"/>
        <v>0</v>
      </c>
      <c r="G148" s="259">
        <f t="shared" si="96"/>
        <v>0</v>
      </c>
      <c r="H148" s="259">
        <f t="shared" si="96"/>
        <v>0</v>
      </c>
      <c r="I148" s="259">
        <f t="shared" si="96"/>
        <v>0</v>
      </c>
    </row>
    <row r="149" spans="1:27" outlineLevel="2" x14ac:dyDescent="0.2">
      <c r="A149" s="220"/>
      <c r="B149" s="220"/>
      <c r="C149" s="242" t="s">
        <v>143</v>
      </c>
      <c r="D149" s="259">
        <f t="shared" ref="D149:I149" si="97">IF(INDEX(SANew,$B143,7)&gt;0,ROUND(D147/INDEX(SANew,$B143,2),0),0)</f>
        <v>0</v>
      </c>
      <c r="E149" s="259">
        <f t="shared" si="97"/>
        <v>0</v>
      </c>
      <c r="F149" s="259">
        <f t="shared" si="97"/>
        <v>0</v>
      </c>
      <c r="G149" s="259">
        <f t="shared" si="97"/>
        <v>0</v>
      </c>
      <c r="H149" s="259">
        <f t="shared" si="97"/>
        <v>0</v>
      </c>
      <c r="I149" s="259">
        <f t="shared" si="97"/>
        <v>0</v>
      </c>
    </row>
    <row r="150" spans="1:27" outlineLevel="1" x14ac:dyDescent="0.2">
      <c r="A150" s="220"/>
      <c r="B150" s="220"/>
      <c r="C150" s="264"/>
      <c r="D150" s="248"/>
      <c r="E150" s="220"/>
      <c r="F150" s="220"/>
      <c r="G150" s="220"/>
      <c r="H150" s="220"/>
      <c r="I150" s="220"/>
      <c r="J150" s="220"/>
      <c r="K150" s="220"/>
      <c r="L150" s="220"/>
      <c r="M150" s="220"/>
      <c r="N150" s="220"/>
    </row>
    <row r="151" spans="1:27" ht="15" outlineLevel="1" x14ac:dyDescent="0.2">
      <c r="A151" s="220"/>
      <c r="B151" s="422">
        <v>12</v>
      </c>
      <c r="C151" s="221" t="str">
        <f>INDEX(PBSScriptsNew,B151,1)</f>
        <v>** NOT USED **</v>
      </c>
      <c r="D151" s="207"/>
      <c r="E151" s="207"/>
      <c r="F151" s="207"/>
      <c r="G151" s="207"/>
      <c r="H151" s="207"/>
      <c r="I151" s="207"/>
      <c r="J151" s="207"/>
      <c r="K151" s="207"/>
      <c r="L151" s="189"/>
      <c r="M151" s="189"/>
      <c r="N151" s="189"/>
      <c r="O151" s="178"/>
      <c r="P151" s="178"/>
      <c r="Q151" s="178"/>
      <c r="R151" s="178"/>
      <c r="S151" s="178"/>
      <c r="T151" s="178"/>
      <c r="U151" s="178"/>
      <c r="V151" s="178"/>
      <c r="W151" s="178"/>
      <c r="X151" s="178"/>
      <c r="Y151" s="178"/>
      <c r="Z151" s="178"/>
      <c r="AA151" s="178"/>
    </row>
    <row r="152" spans="1:27" outlineLevel="2" x14ac:dyDescent="0.2">
      <c r="A152" s="220"/>
      <c r="B152" s="220"/>
      <c r="C152" s="503"/>
      <c r="D152" s="545">
        <v>2</v>
      </c>
      <c r="E152" s="545">
        <v>3</v>
      </c>
      <c r="F152" s="545">
        <v>4</v>
      </c>
      <c r="G152" s="545">
        <v>5</v>
      </c>
      <c r="H152" s="545">
        <v>6</v>
      </c>
      <c r="I152" s="545">
        <v>7</v>
      </c>
      <c r="J152" s="545"/>
      <c r="K152" s="503"/>
      <c r="L152" s="503"/>
      <c r="M152" s="503"/>
      <c r="N152" s="503"/>
    </row>
    <row r="153" spans="1:27" outlineLevel="2" x14ac:dyDescent="0.2">
      <c r="A153" s="220"/>
      <c r="B153" s="220"/>
      <c r="C153" s="220"/>
      <c r="D153" s="414">
        <f>FirstYear</f>
        <v>0</v>
      </c>
      <c r="E153" s="414">
        <f>D153+1</f>
        <v>1</v>
      </c>
      <c r="F153" s="414">
        <f>E153+1</f>
        <v>2</v>
      </c>
      <c r="G153" s="414">
        <f>F153+1</f>
        <v>3</v>
      </c>
      <c r="H153" s="414">
        <f>G153+1</f>
        <v>4</v>
      </c>
      <c r="I153" s="414">
        <f>H153+1</f>
        <v>5</v>
      </c>
      <c r="J153" s="220"/>
      <c r="K153" s="220"/>
      <c r="L153" s="220"/>
      <c r="M153" s="220"/>
      <c r="N153" s="220"/>
    </row>
    <row r="154" spans="1:27" outlineLevel="2" x14ac:dyDescent="0.2">
      <c r="A154" s="220"/>
      <c r="B154" s="220"/>
      <c r="C154" s="258" t="s">
        <v>140</v>
      </c>
      <c r="D154" s="259">
        <f t="shared" ref="D154:I154" si="98">INDEX(PBSScriptsNew,$B151,D152)</f>
        <v>0</v>
      </c>
      <c r="E154" s="259">
        <f t="shared" si="98"/>
        <v>0</v>
      </c>
      <c r="F154" s="259">
        <f t="shared" si="98"/>
        <v>0</v>
      </c>
      <c r="G154" s="259">
        <f t="shared" si="98"/>
        <v>0</v>
      </c>
      <c r="H154" s="259">
        <f t="shared" si="98"/>
        <v>0</v>
      </c>
      <c r="I154" s="259">
        <f t="shared" si="98"/>
        <v>0</v>
      </c>
      <c r="J154" s="220"/>
      <c r="K154" s="220"/>
      <c r="L154" s="220"/>
      <c r="M154" s="220"/>
      <c r="N154" s="220"/>
    </row>
    <row r="155" spans="1:27" outlineLevel="2" x14ac:dyDescent="0.2">
      <c r="A155" s="220"/>
      <c r="B155" s="220"/>
      <c r="C155" s="258" t="s">
        <v>141</v>
      </c>
      <c r="D155" s="259">
        <f t="shared" ref="D155:I155" si="99">INDEX(RPBSScriptsNew,$B151,D152)</f>
        <v>0</v>
      </c>
      <c r="E155" s="259">
        <f t="shared" si="99"/>
        <v>0</v>
      </c>
      <c r="F155" s="259">
        <f t="shared" si="99"/>
        <v>0</v>
      </c>
      <c r="G155" s="259">
        <f t="shared" si="99"/>
        <v>0</v>
      </c>
      <c r="H155" s="259">
        <f t="shared" si="99"/>
        <v>0</v>
      </c>
      <c r="I155" s="259">
        <f t="shared" si="99"/>
        <v>0</v>
      </c>
      <c r="J155" s="220"/>
      <c r="K155" s="220"/>
      <c r="L155" s="220"/>
      <c r="M155" s="220"/>
      <c r="N155" s="220"/>
    </row>
    <row r="156" spans="1:27" outlineLevel="2" x14ac:dyDescent="0.2">
      <c r="A156" s="220"/>
      <c r="B156" s="220"/>
      <c r="C156" s="242" t="s">
        <v>142</v>
      </c>
      <c r="D156" s="259">
        <f t="shared" ref="D156:I156" si="100">IF(INDEX(SANew,$B151,7)&gt;0,ROUND(D154/INDEX(SANew,$B151,2),0),0)</f>
        <v>0</v>
      </c>
      <c r="E156" s="259">
        <f t="shared" si="100"/>
        <v>0</v>
      </c>
      <c r="F156" s="259">
        <f t="shared" si="100"/>
        <v>0</v>
      </c>
      <c r="G156" s="259">
        <f t="shared" si="100"/>
        <v>0</v>
      </c>
      <c r="H156" s="259">
        <f t="shared" si="100"/>
        <v>0</v>
      </c>
      <c r="I156" s="259">
        <f t="shared" si="100"/>
        <v>0</v>
      </c>
      <c r="J156" s="220"/>
      <c r="L156" s="205"/>
      <c r="M156" s="220"/>
    </row>
    <row r="157" spans="1:27" outlineLevel="2" x14ac:dyDescent="0.2">
      <c r="A157" s="220"/>
      <c r="B157" s="220"/>
      <c r="C157" s="242" t="s">
        <v>143</v>
      </c>
      <c r="D157" s="259">
        <f t="shared" ref="D157:I157" si="101">IF(INDEX(SANew,$B151,7)&gt;0,ROUND(D155/INDEX(SANew,$B151,2),0),0)</f>
        <v>0</v>
      </c>
      <c r="E157" s="259">
        <f t="shared" si="101"/>
        <v>0</v>
      </c>
      <c r="F157" s="259">
        <f t="shared" si="101"/>
        <v>0</v>
      </c>
      <c r="G157" s="259">
        <f t="shared" si="101"/>
        <v>0</v>
      </c>
      <c r="H157" s="259">
        <f t="shared" si="101"/>
        <v>0</v>
      </c>
      <c r="I157" s="259">
        <f t="shared" si="101"/>
        <v>0</v>
      </c>
      <c r="J157" s="220"/>
      <c r="L157" s="205"/>
      <c r="M157" s="220"/>
    </row>
    <row r="158" spans="1:27" outlineLevel="1" x14ac:dyDescent="0.2">
      <c r="A158" s="220"/>
      <c r="B158" s="220"/>
      <c r="C158" s="264"/>
      <c r="D158" s="248"/>
      <c r="E158" s="220"/>
      <c r="F158" s="220"/>
      <c r="G158" s="220"/>
      <c r="H158" s="220"/>
      <c r="I158" s="220"/>
      <c r="J158" s="220"/>
      <c r="K158" s="220"/>
      <c r="L158" s="220"/>
      <c r="M158" s="220"/>
      <c r="N158" s="220"/>
    </row>
    <row r="159" spans="1:27" ht="15" outlineLevel="1" x14ac:dyDescent="0.2">
      <c r="A159" s="220"/>
      <c r="B159" s="422">
        <v>13</v>
      </c>
      <c r="C159" s="221" t="str">
        <f>INDEX(PBSScriptsNew,B159,1)</f>
        <v>** NOT USED **</v>
      </c>
      <c r="D159" s="207"/>
      <c r="E159" s="207"/>
      <c r="F159" s="207"/>
      <c r="G159" s="207"/>
      <c r="H159" s="207"/>
      <c r="I159" s="207"/>
      <c r="J159" s="207"/>
      <c r="K159" s="207"/>
      <c r="L159" s="189"/>
      <c r="M159" s="189"/>
      <c r="N159" s="189"/>
      <c r="O159" s="178"/>
      <c r="P159" s="178"/>
      <c r="Q159" s="178"/>
      <c r="R159" s="178"/>
      <c r="S159" s="178"/>
      <c r="T159" s="178"/>
      <c r="U159" s="178"/>
      <c r="V159" s="178"/>
      <c r="W159" s="178"/>
      <c r="X159" s="178"/>
      <c r="Y159" s="178"/>
      <c r="Z159" s="178"/>
      <c r="AA159" s="178"/>
    </row>
    <row r="160" spans="1:27" outlineLevel="2" x14ac:dyDescent="0.2">
      <c r="A160" s="220"/>
      <c r="B160" s="220"/>
      <c r="C160" s="503"/>
      <c r="D160" s="545">
        <v>2</v>
      </c>
      <c r="E160" s="545">
        <v>3</v>
      </c>
      <c r="F160" s="545">
        <v>4</v>
      </c>
      <c r="G160" s="545">
        <v>5</v>
      </c>
      <c r="H160" s="545">
        <v>6</v>
      </c>
      <c r="I160" s="545">
        <v>7</v>
      </c>
      <c r="J160" s="545"/>
      <c r="K160" s="503"/>
      <c r="L160" s="503"/>
      <c r="M160" s="503"/>
      <c r="N160" s="503"/>
    </row>
    <row r="161" spans="1:27" outlineLevel="2" x14ac:dyDescent="0.2">
      <c r="A161" s="220"/>
      <c r="B161" s="220"/>
      <c r="C161" s="220"/>
      <c r="D161" s="414">
        <f>FirstYear</f>
        <v>0</v>
      </c>
      <c r="E161" s="414">
        <f>D161+1</f>
        <v>1</v>
      </c>
      <c r="F161" s="414">
        <f>E161+1</f>
        <v>2</v>
      </c>
      <c r="G161" s="414">
        <f>F161+1</f>
        <v>3</v>
      </c>
      <c r="H161" s="414">
        <f>G161+1</f>
        <v>4</v>
      </c>
      <c r="I161" s="414">
        <f>H161+1</f>
        <v>5</v>
      </c>
      <c r="J161" s="220"/>
      <c r="K161" s="220"/>
      <c r="L161" s="220"/>
      <c r="M161" s="220"/>
      <c r="N161" s="220"/>
    </row>
    <row r="162" spans="1:27" outlineLevel="2" x14ac:dyDescent="0.2">
      <c r="A162" s="220"/>
      <c r="B162" s="220"/>
      <c r="C162" s="258" t="s">
        <v>140</v>
      </c>
      <c r="D162" s="259">
        <f t="shared" ref="D162:I162" si="102">INDEX(PBSScriptsNew,$B159,D160)</f>
        <v>0</v>
      </c>
      <c r="E162" s="259">
        <f t="shared" si="102"/>
        <v>0</v>
      </c>
      <c r="F162" s="259">
        <f t="shared" si="102"/>
        <v>0</v>
      </c>
      <c r="G162" s="259">
        <f t="shared" si="102"/>
        <v>0</v>
      </c>
      <c r="H162" s="259">
        <f t="shared" si="102"/>
        <v>0</v>
      </c>
      <c r="I162" s="259">
        <f t="shared" si="102"/>
        <v>0</v>
      </c>
      <c r="J162" s="220"/>
      <c r="K162" s="220"/>
      <c r="L162" s="220"/>
      <c r="M162" s="220"/>
      <c r="N162" s="220"/>
    </row>
    <row r="163" spans="1:27" outlineLevel="2" x14ac:dyDescent="0.2">
      <c r="A163" s="220"/>
      <c r="B163" s="220"/>
      <c r="C163" s="258" t="s">
        <v>141</v>
      </c>
      <c r="D163" s="259">
        <f t="shared" ref="D163:I163" si="103">INDEX(RPBSScriptsNew,$B159,D160)</f>
        <v>0</v>
      </c>
      <c r="E163" s="259">
        <f t="shared" si="103"/>
        <v>0</v>
      </c>
      <c r="F163" s="259">
        <f t="shared" si="103"/>
        <v>0</v>
      </c>
      <c r="G163" s="259">
        <f t="shared" si="103"/>
        <v>0</v>
      </c>
      <c r="H163" s="259">
        <f t="shared" si="103"/>
        <v>0</v>
      </c>
      <c r="I163" s="259">
        <f t="shared" si="103"/>
        <v>0</v>
      </c>
      <c r="J163" s="220"/>
      <c r="K163" s="220"/>
      <c r="L163" s="220"/>
      <c r="M163" s="220"/>
      <c r="N163" s="220"/>
    </row>
    <row r="164" spans="1:27" outlineLevel="2" x14ac:dyDescent="0.2">
      <c r="A164" s="220"/>
      <c r="B164" s="220"/>
      <c r="C164" s="242" t="s">
        <v>142</v>
      </c>
      <c r="D164" s="259">
        <f t="shared" ref="D164:I164" si="104">IF(INDEX(SANew,$B159,7)&gt;0,ROUND(D162/INDEX(SANew,$B159,2),0),0)</f>
        <v>0</v>
      </c>
      <c r="E164" s="259">
        <f t="shared" si="104"/>
        <v>0</v>
      </c>
      <c r="F164" s="259">
        <f t="shared" si="104"/>
        <v>0</v>
      </c>
      <c r="G164" s="259">
        <f t="shared" si="104"/>
        <v>0</v>
      </c>
      <c r="H164" s="259">
        <f t="shared" si="104"/>
        <v>0</v>
      </c>
      <c r="I164" s="259">
        <f t="shared" si="104"/>
        <v>0</v>
      </c>
      <c r="J164" s="220"/>
      <c r="L164" s="205"/>
      <c r="M164" s="220"/>
    </row>
    <row r="165" spans="1:27" outlineLevel="2" x14ac:dyDescent="0.2">
      <c r="A165" s="220"/>
      <c r="B165" s="220"/>
      <c r="C165" s="242" t="s">
        <v>143</v>
      </c>
      <c r="D165" s="259">
        <f t="shared" ref="D165:I165" si="105">IF(INDEX(SANew,$B159,7)&gt;0,ROUND(D163/INDEX(SANew,$B159,2),0),0)</f>
        <v>0</v>
      </c>
      <c r="E165" s="259">
        <f t="shared" si="105"/>
        <v>0</v>
      </c>
      <c r="F165" s="259">
        <f t="shared" si="105"/>
        <v>0</v>
      </c>
      <c r="G165" s="259">
        <f t="shared" si="105"/>
        <v>0</v>
      </c>
      <c r="H165" s="259">
        <f t="shared" si="105"/>
        <v>0</v>
      </c>
      <c r="I165" s="259">
        <f t="shared" si="105"/>
        <v>0</v>
      </c>
      <c r="J165" s="220"/>
      <c r="L165" s="205"/>
      <c r="M165" s="220"/>
    </row>
    <row r="166" spans="1:27" outlineLevel="1" x14ac:dyDescent="0.2">
      <c r="A166" s="220"/>
      <c r="B166" s="220"/>
      <c r="C166" s="264"/>
      <c r="D166" s="248"/>
      <c r="E166" s="220"/>
      <c r="F166" s="220"/>
      <c r="G166" s="220"/>
      <c r="H166" s="220"/>
      <c r="I166" s="220"/>
      <c r="J166" s="220"/>
      <c r="K166" s="220"/>
      <c r="L166" s="220"/>
      <c r="M166" s="220"/>
      <c r="N166" s="220"/>
    </row>
    <row r="167" spans="1:27" ht="15" outlineLevel="1" x14ac:dyDescent="0.2">
      <c r="A167" s="220"/>
      <c r="B167" s="422">
        <v>14</v>
      </c>
      <c r="C167" s="221" t="str">
        <f>INDEX(PBSScriptsNew,B167,1)</f>
        <v>** NOT USED **</v>
      </c>
      <c r="D167" s="207"/>
      <c r="E167" s="207"/>
      <c r="F167" s="207"/>
      <c r="G167" s="207"/>
      <c r="H167" s="207"/>
      <c r="I167" s="207"/>
      <c r="J167" s="207"/>
      <c r="K167" s="207"/>
      <c r="L167" s="189"/>
      <c r="M167" s="189"/>
      <c r="N167" s="189"/>
      <c r="O167" s="178"/>
      <c r="P167" s="178"/>
      <c r="Q167" s="178"/>
      <c r="R167" s="178"/>
      <c r="S167" s="178"/>
      <c r="T167" s="178"/>
      <c r="U167" s="178"/>
      <c r="V167" s="178"/>
      <c r="W167" s="178"/>
      <c r="X167" s="178"/>
      <c r="Y167" s="178"/>
      <c r="Z167" s="178"/>
      <c r="AA167" s="178"/>
    </row>
    <row r="168" spans="1:27" outlineLevel="2" x14ac:dyDescent="0.2">
      <c r="A168" s="220"/>
      <c r="B168" s="220"/>
      <c r="C168" s="503"/>
      <c r="D168" s="545">
        <v>2</v>
      </c>
      <c r="E168" s="545">
        <v>3</v>
      </c>
      <c r="F168" s="545">
        <v>4</v>
      </c>
      <c r="G168" s="545">
        <v>5</v>
      </c>
      <c r="H168" s="545">
        <v>6</v>
      </c>
      <c r="I168" s="545">
        <v>7</v>
      </c>
      <c r="J168" s="545"/>
      <c r="K168" s="503"/>
      <c r="L168" s="503"/>
      <c r="M168" s="503"/>
      <c r="N168" s="503"/>
    </row>
    <row r="169" spans="1:27" outlineLevel="2" x14ac:dyDescent="0.2">
      <c r="A169" s="220"/>
      <c r="B169" s="220"/>
      <c r="C169" s="220"/>
      <c r="D169" s="414">
        <f>FirstYear</f>
        <v>0</v>
      </c>
      <c r="E169" s="414">
        <f>D169+1</f>
        <v>1</v>
      </c>
      <c r="F169" s="414">
        <f>E169+1</f>
        <v>2</v>
      </c>
      <c r="G169" s="414">
        <f>F169+1</f>
        <v>3</v>
      </c>
      <c r="H169" s="414">
        <f>G169+1</f>
        <v>4</v>
      </c>
      <c r="I169" s="414">
        <f>H169+1</f>
        <v>5</v>
      </c>
      <c r="J169" s="220"/>
      <c r="K169" s="220"/>
      <c r="L169" s="220"/>
      <c r="M169" s="220"/>
      <c r="N169" s="220"/>
    </row>
    <row r="170" spans="1:27" outlineLevel="2" x14ac:dyDescent="0.2">
      <c r="A170" s="220"/>
      <c r="B170" s="220"/>
      <c r="C170" s="258" t="s">
        <v>140</v>
      </c>
      <c r="D170" s="259">
        <f t="shared" ref="D170:I170" si="106">INDEX(PBSScriptsNew,$B167,D168)</f>
        <v>0</v>
      </c>
      <c r="E170" s="259">
        <f t="shared" si="106"/>
        <v>0</v>
      </c>
      <c r="F170" s="259">
        <f t="shared" si="106"/>
        <v>0</v>
      </c>
      <c r="G170" s="259">
        <f t="shared" si="106"/>
        <v>0</v>
      </c>
      <c r="H170" s="259">
        <f t="shared" si="106"/>
        <v>0</v>
      </c>
      <c r="I170" s="259">
        <f t="shared" si="106"/>
        <v>0</v>
      </c>
      <c r="J170" s="220"/>
      <c r="K170" s="220"/>
      <c r="L170" s="220"/>
      <c r="M170" s="220"/>
      <c r="N170" s="220"/>
    </row>
    <row r="171" spans="1:27" outlineLevel="2" x14ac:dyDescent="0.2">
      <c r="A171" s="220"/>
      <c r="B171" s="220"/>
      <c r="C171" s="258" t="s">
        <v>141</v>
      </c>
      <c r="D171" s="259">
        <f t="shared" ref="D171:I171" si="107">INDEX(RPBSScriptsNew,$B167,D168)</f>
        <v>0</v>
      </c>
      <c r="E171" s="259">
        <f t="shared" si="107"/>
        <v>0</v>
      </c>
      <c r="F171" s="259">
        <f t="shared" si="107"/>
        <v>0</v>
      </c>
      <c r="G171" s="259">
        <f t="shared" si="107"/>
        <v>0</v>
      </c>
      <c r="H171" s="259">
        <f t="shared" si="107"/>
        <v>0</v>
      </c>
      <c r="I171" s="259">
        <f t="shared" si="107"/>
        <v>0</v>
      </c>
      <c r="J171" s="220"/>
      <c r="K171" s="220"/>
      <c r="L171" s="220"/>
      <c r="M171" s="220"/>
      <c r="N171" s="220"/>
    </row>
    <row r="172" spans="1:27" outlineLevel="2" x14ac:dyDescent="0.2">
      <c r="A172" s="220"/>
      <c r="B172" s="220"/>
      <c r="C172" s="242" t="s">
        <v>142</v>
      </c>
      <c r="D172" s="259">
        <f t="shared" ref="D172:I172" si="108">IF(INDEX(SANew,$B167,7)&gt;0,ROUND(D170/INDEX(SANew,$B167,2),0),0)</f>
        <v>0</v>
      </c>
      <c r="E172" s="259">
        <f t="shared" si="108"/>
        <v>0</v>
      </c>
      <c r="F172" s="259">
        <f t="shared" si="108"/>
        <v>0</v>
      </c>
      <c r="G172" s="259">
        <f t="shared" si="108"/>
        <v>0</v>
      </c>
      <c r="H172" s="259">
        <f t="shared" si="108"/>
        <v>0</v>
      </c>
      <c r="I172" s="259">
        <f t="shared" si="108"/>
        <v>0</v>
      </c>
      <c r="J172" s="220"/>
      <c r="L172" s="205"/>
      <c r="M172" s="220"/>
    </row>
    <row r="173" spans="1:27" outlineLevel="2" x14ac:dyDescent="0.2">
      <c r="A173" s="220"/>
      <c r="B173" s="220"/>
      <c r="C173" s="242" t="s">
        <v>143</v>
      </c>
      <c r="D173" s="259">
        <f t="shared" ref="D173:I173" si="109">IF(INDEX(SANew,$B167,7)&gt;0,ROUND(D171/INDEX(SANew,$B167,2),0),0)</f>
        <v>0</v>
      </c>
      <c r="E173" s="259">
        <f t="shared" si="109"/>
        <v>0</v>
      </c>
      <c r="F173" s="259">
        <f t="shared" si="109"/>
        <v>0</v>
      </c>
      <c r="G173" s="259">
        <f t="shared" si="109"/>
        <v>0</v>
      </c>
      <c r="H173" s="259">
        <f t="shared" si="109"/>
        <v>0</v>
      </c>
      <c r="I173" s="259">
        <f t="shared" si="109"/>
        <v>0</v>
      </c>
      <c r="J173" s="220"/>
      <c r="L173" s="205"/>
      <c r="M173" s="220"/>
    </row>
    <row r="174" spans="1:27" outlineLevel="1" x14ac:dyDescent="0.2">
      <c r="A174" s="220"/>
      <c r="B174" s="220"/>
      <c r="C174" s="264"/>
      <c r="D174" s="248"/>
      <c r="E174" s="220"/>
      <c r="F174" s="220"/>
      <c r="G174" s="220"/>
      <c r="H174" s="220"/>
      <c r="I174" s="220"/>
      <c r="J174" s="220"/>
      <c r="K174" s="220"/>
      <c r="L174" s="220"/>
      <c r="M174" s="220"/>
      <c r="N174" s="220"/>
    </row>
    <row r="175" spans="1:27" ht="15" outlineLevel="1" x14ac:dyDescent="0.2">
      <c r="A175" s="220"/>
      <c r="B175" s="422">
        <v>15</v>
      </c>
      <c r="C175" s="221" t="str">
        <f>INDEX(PBSScriptsNew,B175,1)</f>
        <v>** NOT USED **</v>
      </c>
      <c r="D175" s="207"/>
      <c r="E175" s="207"/>
      <c r="F175" s="207"/>
      <c r="G175" s="207"/>
      <c r="H175" s="207"/>
      <c r="I175" s="207"/>
      <c r="J175" s="207"/>
      <c r="K175" s="207"/>
      <c r="L175" s="189"/>
      <c r="M175" s="189"/>
      <c r="N175" s="189"/>
      <c r="O175" s="178"/>
      <c r="P175" s="178"/>
      <c r="Q175" s="178"/>
      <c r="R175" s="178"/>
      <c r="S175" s="178"/>
      <c r="T175" s="178"/>
      <c r="U175" s="178"/>
      <c r="V175" s="178"/>
      <c r="W175" s="178"/>
      <c r="X175" s="178"/>
      <c r="Y175" s="178"/>
      <c r="Z175" s="178"/>
      <c r="AA175" s="178"/>
    </row>
    <row r="176" spans="1:27" outlineLevel="2" x14ac:dyDescent="0.2">
      <c r="A176" s="220"/>
      <c r="B176" s="220"/>
      <c r="C176" s="503"/>
      <c r="D176" s="545">
        <v>2</v>
      </c>
      <c r="E176" s="545">
        <v>3</v>
      </c>
      <c r="F176" s="545">
        <v>4</v>
      </c>
      <c r="G176" s="545">
        <v>5</v>
      </c>
      <c r="H176" s="545">
        <v>6</v>
      </c>
      <c r="I176" s="545">
        <v>7</v>
      </c>
      <c r="J176" s="545"/>
      <c r="K176" s="503"/>
      <c r="L176" s="503"/>
      <c r="M176" s="503"/>
      <c r="N176" s="503"/>
    </row>
    <row r="177" spans="1:27" outlineLevel="2" x14ac:dyDescent="0.2">
      <c r="A177" s="220"/>
      <c r="B177" s="220"/>
      <c r="C177" s="220"/>
      <c r="D177" s="414">
        <f>FirstYear</f>
        <v>0</v>
      </c>
      <c r="E177" s="414">
        <f>D177+1</f>
        <v>1</v>
      </c>
      <c r="F177" s="414">
        <f>E177+1</f>
        <v>2</v>
      </c>
      <c r="G177" s="414">
        <f>F177+1</f>
        <v>3</v>
      </c>
      <c r="H177" s="414">
        <f>G177+1</f>
        <v>4</v>
      </c>
      <c r="I177" s="414">
        <f>H177+1</f>
        <v>5</v>
      </c>
      <c r="J177" s="220"/>
      <c r="K177" s="220"/>
      <c r="L177" s="220"/>
      <c r="M177" s="220"/>
      <c r="N177" s="220"/>
    </row>
    <row r="178" spans="1:27" outlineLevel="2" x14ac:dyDescent="0.2">
      <c r="A178" s="220"/>
      <c r="B178" s="220"/>
      <c r="C178" s="258" t="s">
        <v>140</v>
      </c>
      <c r="D178" s="259">
        <f t="shared" ref="D178:I178" si="110">INDEX(PBSScriptsNew,$B175,D176)</f>
        <v>0</v>
      </c>
      <c r="E178" s="259">
        <f t="shared" si="110"/>
        <v>0</v>
      </c>
      <c r="F178" s="259">
        <f t="shared" si="110"/>
        <v>0</v>
      </c>
      <c r="G178" s="259">
        <f t="shared" si="110"/>
        <v>0</v>
      </c>
      <c r="H178" s="259">
        <f t="shared" si="110"/>
        <v>0</v>
      </c>
      <c r="I178" s="259">
        <f t="shared" si="110"/>
        <v>0</v>
      </c>
      <c r="J178" s="220"/>
      <c r="K178" s="220"/>
      <c r="L178" s="220"/>
      <c r="M178" s="220"/>
      <c r="N178" s="220"/>
    </row>
    <row r="179" spans="1:27" outlineLevel="2" x14ac:dyDescent="0.2">
      <c r="A179" s="220"/>
      <c r="B179" s="220"/>
      <c r="C179" s="258" t="s">
        <v>141</v>
      </c>
      <c r="D179" s="259">
        <f t="shared" ref="D179:I179" si="111">INDEX(RPBSScriptsNew,$B175,D176)</f>
        <v>0</v>
      </c>
      <c r="E179" s="259">
        <f t="shared" si="111"/>
        <v>0</v>
      </c>
      <c r="F179" s="259">
        <f t="shared" si="111"/>
        <v>0</v>
      </c>
      <c r="G179" s="259">
        <f t="shared" si="111"/>
        <v>0</v>
      </c>
      <c r="H179" s="259">
        <f t="shared" si="111"/>
        <v>0</v>
      </c>
      <c r="I179" s="259">
        <f t="shared" si="111"/>
        <v>0</v>
      </c>
      <c r="J179" s="220"/>
      <c r="K179" s="220"/>
      <c r="L179" s="220"/>
      <c r="M179" s="220"/>
      <c r="N179" s="220"/>
    </row>
    <row r="180" spans="1:27" outlineLevel="2" x14ac:dyDescent="0.2">
      <c r="A180" s="220"/>
      <c r="B180" s="220"/>
      <c r="C180" s="242" t="s">
        <v>142</v>
      </c>
      <c r="D180" s="259">
        <f t="shared" ref="D180:I180" si="112">IF(INDEX(SANew,$B175,7)&gt;0,ROUND(D178/INDEX(SANew,$B175,2),0),0)</f>
        <v>0</v>
      </c>
      <c r="E180" s="259">
        <f t="shared" si="112"/>
        <v>0</v>
      </c>
      <c r="F180" s="259">
        <f t="shared" si="112"/>
        <v>0</v>
      </c>
      <c r="G180" s="259">
        <f t="shared" si="112"/>
        <v>0</v>
      </c>
      <c r="H180" s="259">
        <f t="shared" si="112"/>
        <v>0</v>
      </c>
      <c r="I180" s="259">
        <f t="shared" si="112"/>
        <v>0</v>
      </c>
      <c r="J180" s="220"/>
      <c r="L180" s="205"/>
      <c r="M180" s="220"/>
    </row>
    <row r="181" spans="1:27" outlineLevel="2" x14ac:dyDescent="0.2">
      <c r="A181" s="220"/>
      <c r="B181" s="220"/>
      <c r="C181" s="242" t="s">
        <v>143</v>
      </c>
      <c r="D181" s="259">
        <f t="shared" ref="D181:I181" si="113">IF(INDEX(SANew,$B175,7)&gt;0,ROUND(D179/INDEX(SANew,$B175,2),0),0)</f>
        <v>0</v>
      </c>
      <c r="E181" s="259">
        <f t="shared" si="113"/>
        <v>0</v>
      </c>
      <c r="F181" s="259">
        <f t="shared" si="113"/>
        <v>0</v>
      </c>
      <c r="G181" s="259">
        <f t="shared" si="113"/>
        <v>0</v>
      </c>
      <c r="H181" s="259">
        <f t="shared" si="113"/>
        <v>0</v>
      </c>
      <c r="I181" s="259">
        <f t="shared" si="113"/>
        <v>0</v>
      </c>
      <c r="J181" s="220"/>
      <c r="L181" s="205"/>
      <c r="M181" s="220"/>
    </row>
    <row r="182" spans="1:27" outlineLevel="1" x14ac:dyDescent="0.2">
      <c r="A182" s="220"/>
      <c r="B182" s="220"/>
      <c r="C182" s="264"/>
      <c r="D182" s="248"/>
      <c r="E182" s="220"/>
      <c r="F182" s="220"/>
      <c r="G182" s="220"/>
      <c r="H182" s="220"/>
      <c r="I182" s="220"/>
      <c r="J182" s="220"/>
      <c r="K182" s="220"/>
      <c r="L182" s="220"/>
      <c r="M182" s="220"/>
      <c r="N182" s="220"/>
    </row>
    <row r="183" spans="1:27" ht="15" outlineLevel="1" x14ac:dyDescent="0.2">
      <c r="A183" s="220"/>
      <c r="B183" s="422">
        <v>16</v>
      </c>
      <c r="C183" s="221" t="str">
        <f>INDEX(PBSScriptsNew,B183,1)</f>
        <v>** NOT USED **</v>
      </c>
      <c r="D183" s="207"/>
      <c r="E183" s="207"/>
      <c r="F183" s="207"/>
      <c r="G183" s="207"/>
      <c r="H183" s="207"/>
      <c r="I183" s="207"/>
      <c r="J183" s="207"/>
      <c r="K183" s="207"/>
      <c r="L183" s="189"/>
      <c r="M183" s="189"/>
      <c r="N183" s="189"/>
      <c r="O183" s="178"/>
      <c r="P183" s="178"/>
      <c r="Q183" s="178"/>
      <c r="R183" s="178"/>
      <c r="S183" s="178"/>
      <c r="T183" s="178"/>
      <c r="U183" s="178"/>
      <c r="V183" s="178"/>
      <c r="W183" s="178"/>
      <c r="X183" s="178"/>
      <c r="Y183" s="178"/>
      <c r="Z183" s="178"/>
      <c r="AA183" s="178"/>
    </row>
    <row r="184" spans="1:27" outlineLevel="2" x14ac:dyDescent="0.2">
      <c r="A184" s="220"/>
      <c r="B184" s="220"/>
      <c r="C184" s="503"/>
      <c r="D184" s="545">
        <v>2</v>
      </c>
      <c r="E184" s="545">
        <v>3</v>
      </c>
      <c r="F184" s="545">
        <v>4</v>
      </c>
      <c r="G184" s="545">
        <v>5</v>
      </c>
      <c r="H184" s="545">
        <v>6</v>
      </c>
      <c r="I184" s="545">
        <v>7</v>
      </c>
      <c r="J184" s="545"/>
      <c r="K184" s="503"/>
      <c r="L184" s="503"/>
      <c r="M184" s="503"/>
      <c r="N184" s="503"/>
    </row>
    <row r="185" spans="1:27" outlineLevel="2" x14ac:dyDescent="0.2">
      <c r="A185" s="220"/>
      <c r="B185" s="220"/>
      <c r="C185" s="220"/>
      <c r="D185" s="414">
        <f>FirstYear</f>
        <v>0</v>
      </c>
      <c r="E185" s="414">
        <f>D185+1</f>
        <v>1</v>
      </c>
      <c r="F185" s="414">
        <f>E185+1</f>
        <v>2</v>
      </c>
      <c r="G185" s="414">
        <f>F185+1</f>
        <v>3</v>
      </c>
      <c r="H185" s="414">
        <f>G185+1</f>
        <v>4</v>
      </c>
      <c r="I185" s="414">
        <f>H185+1</f>
        <v>5</v>
      </c>
      <c r="J185" s="220"/>
      <c r="K185" s="220"/>
      <c r="L185" s="220"/>
      <c r="M185" s="220"/>
      <c r="N185" s="220"/>
    </row>
    <row r="186" spans="1:27" outlineLevel="2" x14ac:dyDescent="0.2">
      <c r="A186" s="220"/>
      <c r="B186" s="220"/>
      <c r="C186" s="258" t="s">
        <v>140</v>
      </c>
      <c r="D186" s="259">
        <f t="shared" ref="D186:I186" si="114">INDEX(PBSScriptsNew,$B183,D184)</f>
        <v>0</v>
      </c>
      <c r="E186" s="259">
        <f t="shared" si="114"/>
        <v>0</v>
      </c>
      <c r="F186" s="259">
        <f t="shared" si="114"/>
        <v>0</v>
      </c>
      <c r="G186" s="259">
        <f t="shared" si="114"/>
        <v>0</v>
      </c>
      <c r="H186" s="259">
        <f t="shared" si="114"/>
        <v>0</v>
      </c>
      <c r="I186" s="259">
        <f t="shared" si="114"/>
        <v>0</v>
      </c>
      <c r="J186" s="220"/>
      <c r="K186" s="220"/>
      <c r="L186" s="220"/>
      <c r="M186" s="220"/>
      <c r="N186" s="220"/>
    </row>
    <row r="187" spans="1:27" outlineLevel="2" x14ac:dyDescent="0.2">
      <c r="A187" s="220"/>
      <c r="B187" s="220"/>
      <c r="C187" s="258" t="s">
        <v>141</v>
      </c>
      <c r="D187" s="259">
        <f t="shared" ref="D187:I187" si="115">INDEX(RPBSScriptsNew,$B183,D184)</f>
        <v>0</v>
      </c>
      <c r="E187" s="259">
        <f t="shared" si="115"/>
        <v>0</v>
      </c>
      <c r="F187" s="259">
        <f t="shared" si="115"/>
        <v>0</v>
      </c>
      <c r="G187" s="259">
        <f t="shared" si="115"/>
        <v>0</v>
      </c>
      <c r="H187" s="259">
        <f t="shared" si="115"/>
        <v>0</v>
      </c>
      <c r="I187" s="259">
        <f t="shared" si="115"/>
        <v>0</v>
      </c>
      <c r="J187" s="220"/>
      <c r="K187" s="220"/>
      <c r="L187" s="220"/>
      <c r="M187" s="220"/>
      <c r="N187" s="220"/>
    </row>
    <row r="188" spans="1:27" outlineLevel="2" x14ac:dyDescent="0.2">
      <c r="A188" s="220"/>
      <c r="B188" s="220"/>
      <c r="C188" s="242" t="s">
        <v>142</v>
      </c>
      <c r="D188" s="259">
        <f t="shared" ref="D188:I188" si="116">IF(INDEX(SANew,$B183,7)&gt;0,ROUND(D186/INDEX(SANew,$B183,2),0),0)</f>
        <v>0</v>
      </c>
      <c r="E188" s="259">
        <f t="shared" si="116"/>
        <v>0</v>
      </c>
      <c r="F188" s="259">
        <f t="shared" si="116"/>
        <v>0</v>
      </c>
      <c r="G188" s="259">
        <f t="shared" si="116"/>
        <v>0</v>
      </c>
      <c r="H188" s="259">
        <f t="shared" si="116"/>
        <v>0</v>
      </c>
      <c r="I188" s="259">
        <f t="shared" si="116"/>
        <v>0</v>
      </c>
      <c r="J188" s="220"/>
      <c r="L188" s="205"/>
      <c r="M188" s="220"/>
    </row>
    <row r="189" spans="1:27" outlineLevel="2" x14ac:dyDescent="0.2">
      <c r="A189" s="220"/>
      <c r="B189" s="220"/>
      <c r="C189" s="242" t="s">
        <v>143</v>
      </c>
      <c r="D189" s="259">
        <f t="shared" ref="D189:I189" si="117">IF(INDEX(SANew,$B183,7)&gt;0,ROUND(D187/INDEX(SANew,$B183,2),0),0)</f>
        <v>0</v>
      </c>
      <c r="E189" s="259">
        <f t="shared" si="117"/>
        <v>0</v>
      </c>
      <c r="F189" s="259">
        <f t="shared" si="117"/>
        <v>0</v>
      </c>
      <c r="G189" s="259">
        <f t="shared" si="117"/>
        <v>0</v>
      </c>
      <c r="H189" s="259">
        <f t="shared" si="117"/>
        <v>0</v>
      </c>
      <c r="I189" s="259">
        <f t="shared" si="117"/>
        <v>0</v>
      </c>
      <c r="J189" s="220"/>
      <c r="L189" s="205"/>
      <c r="M189" s="220"/>
    </row>
    <row r="190" spans="1:27" outlineLevel="1" x14ac:dyDescent="0.2">
      <c r="A190" s="220"/>
      <c r="B190" s="220"/>
      <c r="C190" s="264"/>
      <c r="D190" s="248"/>
      <c r="E190" s="220"/>
      <c r="F190" s="220"/>
      <c r="G190" s="220"/>
      <c r="H190" s="220"/>
      <c r="I190" s="220"/>
      <c r="J190" s="220"/>
      <c r="K190" s="220"/>
      <c r="L190" s="220"/>
      <c r="M190" s="220"/>
      <c r="N190" s="220"/>
    </row>
    <row r="191" spans="1:27" ht="15" outlineLevel="1" x14ac:dyDescent="0.2">
      <c r="A191" s="220"/>
      <c r="B191" s="422">
        <v>17</v>
      </c>
      <c r="C191" s="221" t="str">
        <f>INDEX(PBSScriptsNew,B191,1)</f>
        <v>** NOT USED **</v>
      </c>
      <c r="D191" s="207"/>
      <c r="E191" s="207"/>
      <c r="F191" s="207"/>
      <c r="G191" s="207"/>
      <c r="H191" s="207"/>
      <c r="I191" s="207"/>
      <c r="J191" s="207"/>
      <c r="K191" s="207"/>
      <c r="L191" s="189"/>
      <c r="M191" s="189"/>
      <c r="N191" s="189"/>
      <c r="O191" s="178"/>
      <c r="P191" s="178"/>
      <c r="Q191" s="178"/>
      <c r="R191" s="178"/>
      <c r="S191" s="178"/>
      <c r="T191" s="178"/>
      <c r="U191" s="178"/>
      <c r="V191" s="178"/>
      <c r="W191" s="178"/>
      <c r="X191" s="178"/>
      <c r="Y191" s="178"/>
      <c r="Z191" s="178"/>
      <c r="AA191" s="178"/>
    </row>
    <row r="192" spans="1:27" outlineLevel="2" x14ac:dyDescent="0.2">
      <c r="A192" s="220"/>
      <c r="B192" s="220"/>
      <c r="C192" s="503"/>
      <c r="D192" s="545">
        <v>2</v>
      </c>
      <c r="E192" s="545">
        <v>3</v>
      </c>
      <c r="F192" s="545">
        <v>4</v>
      </c>
      <c r="G192" s="545">
        <v>5</v>
      </c>
      <c r="H192" s="545">
        <v>6</v>
      </c>
      <c r="I192" s="545">
        <v>7</v>
      </c>
      <c r="J192" s="545"/>
      <c r="K192" s="503"/>
      <c r="L192" s="503"/>
      <c r="M192" s="503"/>
      <c r="N192" s="503"/>
    </row>
    <row r="193" spans="1:27" outlineLevel="2" x14ac:dyDescent="0.2">
      <c r="A193" s="220"/>
      <c r="B193" s="220"/>
      <c r="C193" s="220"/>
      <c r="D193" s="414">
        <f>FirstYear</f>
        <v>0</v>
      </c>
      <c r="E193" s="414">
        <f>D193+1</f>
        <v>1</v>
      </c>
      <c r="F193" s="414">
        <f>E193+1</f>
        <v>2</v>
      </c>
      <c r="G193" s="414">
        <f>F193+1</f>
        <v>3</v>
      </c>
      <c r="H193" s="414">
        <f>G193+1</f>
        <v>4</v>
      </c>
      <c r="I193" s="414">
        <f>H193+1</f>
        <v>5</v>
      </c>
      <c r="J193" s="220"/>
      <c r="K193" s="220"/>
      <c r="L193" s="220"/>
      <c r="M193" s="220"/>
      <c r="N193" s="220"/>
    </row>
    <row r="194" spans="1:27" outlineLevel="2" x14ac:dyDescent="0.2">
      <c r="A194" s="220"/>
      <c r="B194" s="220"/>
      <c r="C194" s="258" t="s">
        <v>140</v>
      </c>
      <c r="D194" s="259">
        <f t="shared" ref="D194:I194" si="118">INDEX(PBSScriptsNew,$B191,D192)</f>
        <v>0</v>
      </c>
      <c r="E194" s="259">
        <f t="shared" si="118"/>
        <v>0</v>
      </c>
      <c r="F194" s="259">
        <f t="shared" si="118"/>
        <v>0</v>
      </c>
      <c r="G194" s="259">
        <f t="shared" si="118"/>
        <v>0</v>
      </c>
      <c r="H194" s="259">
        <f t="shared" si="118"/>
        <v>0</v>
      </c>
      <c r="I194" s="259">
        <f t="shared" si="118"/>
        <v>0</v>
      </c>
      <c r="J194" s="220"/>
      <c r="K194" s="220"/>
      <c r="L194" s="220"/>
      <c r="M194" s="220"/>
      <c r="N194" s="220"/>
    </row>
    <row r="195" spans="1:27" outlineLevel="2" x14ac:dyDescent="0.2">
      <c r="A195" s="220"/>
      <c r="B195" s="220"/>
      <c r="C195" s="258" t="s">
        <v>141</v>
      </c>
      <c r="D195" s="259">
        <f t="shared" ref="D195:I195" si="119">INDEX(RPBSScriptsNew,$B191,D192)</f>
        <v>0</v>
      </c>
      <c r="E195" s="259">
        <f t="shared" si="119"/>
        <v>0</v>
      </c>
      <c r="F195" s="259">
        <f t="shared" si="119"/>
        <v>0</v>
      </c>
      <c r="G195" s="259">
        <f t="shared" si="119"/>
        <v>0</v>
      </c>
      <c r="H195" s="259">
        <f t="shared" si="119"/>
        <v>0</v>
      </c>
      <c r="I195" s="259">
        <f t="shared" si="119"/>
        <v>0</v>
      </c>
      <c r="J195" s="220"/>
      <c r="K195" s="220"/>
      <c r="L195" s="220"/>
      <c r="M195" s="220"/>
      <c r="N195" s="220"/>
    </row>
    <row r="196" spans="1:27" outlineLevel="2" x14ac:dyDescent="0.2">
      <c r="A196" s="220"/>
      <c r="B196" s="220"/>
      <c r="C196" s="242" t="s">
        <v>142</v>
      </c>
      <c r="D196" s="259">
        <f t="shared" ref="D196:I196" si="120">IF(INDEX(SANew,$B191,7)&gt;0,ROUND(D194/INDEX(SANew,$B191,2),0),0)</f>
        <v>0</v>
      </c>
      <c r="E196" s="259">
        <f t="shared" si="120"/>
        <v>0</v>
      </c>
      <c r="F196" s="259">
        <f t="shared" si="120"/>
        <v>0</v>
      </c>
      <c r="G196" s="259">
        <f t="shared" si="120"/>
        <v>0</v>
      </c>
      <c r="H196" s="259">
        <f t="shared" si="120"/>
        <v>0</v>
      </c>
      <c r="I196" s="259">
        <f t="shared" si="120"/>
        <v>0</v>
      </c>
      <c r="J196" s="220"/>
      <c r="L196" s="205"/>
      <c r="M196" s="220"/>
    </row>
    <row r="197" spans="1:27" outlineLevel="2" x14ac:dyDescent="0.2">
      <c r="A197" s="220"/>
      <c r="B197" s="220"/>
      <c r="C197" s="242" t="s">
        <v>143</v>
      </c>
      <c r="D197" s="259">
        <f t="shared" ref="D197:I197" si="121">IF(INDEX(SANew,$B191,7)&gt;0,ROUND(D195/INDEX(SANew,$B191,2),0),0)</f>
        <v>0</v>
      </c>
      <c r="E197" s="259">
        <f t="shared" si="121"/>
        <v>0</v>
      </c>
      <c r="F197" s="259">
        <f t="shared" si="121"/>
        <v>0</v>
      </c>
      <c r="G197" s="259">
        <f t="shared" si="121"/>
        <v>0</v>
      </c>
      <c r="H197" s="259">
        <f t="shared" si="121"/>
        <v>0</v>
      </c>
      <c r="I197" s="259">
        <f t="shared" si="121"/>
        <v>0</v>
      </c>
      <c r="J197" s="220"/>
      <c r="L197" s="205"/>
      <c r="M197" s="220"/>
    </row>
    <row r="198" spans="1:27" outlineLevel="1" x14ac:dyDescent="0.2">
      <c r="A198" s="220"/>
      <c r="B198" s="220"/>
      <c r="C198" s="264"/>
      <c r="D198" s="248"/>
      <c r="E198" s="220"/>
      <c r="F198" s="220"/>
      <c r="G198" s="220"/>
      <c r="H198" s="220"/>
      <c r="I198" s="220"/>
      <c r="J198" s="220"/>
      <c r="K198" s="220"/>
      <c r="L198" s="220"/>
      <c r="M198" s="220"/>
      <c r="N198" s="220"/>
    </row>
    <row r="199" spans="1:27" ht="15" outlineLevel="1" x14ac:dyDescent="0.2">
      <c r="A199" s="220"/>
      <c r="B199" s="422">
        <v>18</v>
      </c>
      <c r="C199" s="221" t="str">
        <f>INDEX(PBSScriptsNew,B199,1)</f>
        <v>** NOT USED **</v>
      </c>
      <c r="D199" s="207"/>
      <c r="E199" s="207"/>
      <c r="F199" s="207"/>
      <c r="G199" s="207"/>
      <c r="H199" s="207"/>
      <c r="I199" s="207"/>
      <c r="J199" s="207"/>
      <c r="K199" s="207"/>
      <c r="L199" s="189"/>
      <c r="M199" s="189"/>
      <c r="N199" s="189"/>
      <c r="O199" s="178"/>
      <c r="P199" s="178"/>
      <c r="Q199" s="178"/>
      <c r="R199" s="178"/>
      <c r="S199" s="178"/>
      <c r="T199" s="178"/>
      <c r="U199" s="178"/>
      <c r="V199" s="178"/>
      <c r="W199" s="178"/>
      <c r="X199" s="178"/>
      <c r="Y199" s="178"/>
      <c r="Z199" s="178"/>
      <c r="AA199" s="178"/>
    </row>
    <row r="200" spans="1:27" outlineLevel="2" x14ac:dyDescent="0.2">
      <c r="A200" s="220"/>
      <c r="B200" s="220"/>
      <c r="C200" s="503"/>
      <c r="D200" s="545">
        <v>2</v>
      </c>
      <c r="E200" s="545">
        <v>3</v>
      </c>
      <c r="F200" s="545">
        <v>4</v>
      </c>
      <c r="G200" s="545">
        <v>5</v>
      </c>
      <c r="H200" s="545">
        <v>6</v>
      </c>
      <c r="I200" s="545">
        <v>7</v>
      </c>
      <c r="J200" s="545"/>
      <c r="K200" s="503"/>
      <c r="L200" s="503"/>
      <c r="M200" s="503"/>
      <c r="N200" s="503"/>
    </row>
    <row r="201" spans="1:27" outlineLevel="2" x14ac:dyDescent="0.2">
      <c r="A201" s="220"/>
      <c r="B201" s="220"/>
      <c r="C201" s="220"/>
      <c r="D201" s="414">
        <f>FirstYear</f>
        <v>0</v>
      </c>
      <c r="E201" s="414">
        <f>D201+1</f>
        <v>1</v>
      </c>
      <c r="F201" s="414">
        <f>E201+1</f>
        <v>2</v>
      </c>
      <c r="G201" s="414">
        <f>F201+1</f>
        <v>3</v>
      </c>
      <c r="H201" s="414">
        <f>G201+1</f>
        <v>4</v>
      </c>
      <c r="I201" s="414">
        <f>H201+1</f>
        <v>5</v>
      </c>
      <c r="J201" s="220"/>
      <c r="K201" s="220"/>
      <c r="L201" s="220"/>
      <c r="M201" s="220"/>
      <c r="N201" s="220"/>
    </row>
    <row r="202" spans="1:27" outlineLevel="2" x14ac:dyDescent="0.2">
      <c r="A202" s="220"/>
      <c r="B202" s="220"/>
      <c r="C202" s="258" t="s">
        <v>140</v>
      </c>
      <c r="D202" s="259">
        <f t="shared" ref="D202:I202" si="122">INDEX(PBSScriptsNew,$B199,D200)</f>
        <v>0</v>
      </c>
      <c r="E202" s="259">
        <f t="shared" si="122"/>
        <v>0</v>
      </c>
      <c r="F202" s="259">
        <f t="shared" si="122"/>
        <v>0</v>
      </c>
      <c r="G202" s="259">
        <f t="shared" si="122"/>
        <v>0</v>
      </c>
      <c r="H202" s="259">
        <f t="shared" si="122"/>
        <v>0</v>
      </c>
      <c r="I202" s="259">
        <f t="shared" si="122"/>
        <v>0</v>
      </c>
      <c r="J202" s="220"/>
      <c r="K202" s="220"/>
      <c r="L202" s="220"/>
      <c r="M202" s="220"/>
      <c r="N202" s="220"/>
    </row>
    <row r="203" spans="1:27" outlineLevel="2" x14ac:dyDescent="0.2">
      <c r="A203" s="220"/>
      <c r="B203" s="220"/>
      <c r="C203" s="258" t="s">
        <v>141</v>
      </c>
      <c r="D203" s="259">
        <f t="shared" ref="D203:I203" si="123">INDEX(RPBSScriptsNew,$B199,D200)</f>
        <v>0</v>
      </c>
      <c r="E203" s="259">
        <f t="shared" si="123"/>
        <v>0</v>
      </c>
      <c r="F203" s="259">
        <f t="shared" si="123"/>
        <v>0</v>
      </c>
      <c r="G203" s="259">
        <f t="shared" si="123"/>
        <v>0</v>
      </c>
      <c r="H203" s="259">
        <f t="shared" si="123"/>
        <v>0</v>
      </c>
      <c r="I203" s="259">
        <f t="shared" si="123"/>
        <v>0</v>
      </c>
      <c r="J203" s="220"/>
      <c r="K203" s="220"/>
      <c r="L203" s="220"/>
      <c r="M203" s="220"/>
      <c r="N203" s="220"/>
    </row>
    <row r="204" spans="1:27" outlineLevel="2" x14ac:dyDescent="0.2">
      <c r="A204" s="220"/>
      <c r="B204" s="220"/>
      <c r="C204" s="242" t="s">
        <v>142</v>
      </c>
      <c r="D204" s="259">
        <f t="shared" ref="D204:I204" si="124">IF(INDEX(SANew,$B199,7)&gt;0,ROUND(D202/INDEX(SANew,$B199,2),0),0)</f>
        <v>0</v>
      </c>
      <c r="E204" s="259">
        <f t="shared" si="124"/>
        <v>0</v>
      </c>
      <c r="F204" s="259">
        <f t="shared" si="124"/>
        <v>0</v>
      </c>
      <c r="G204" s="259">
        <f t="shared" si="124"/>
        <v>0</v>
      </c>
      <c r="H204" s="259">
        <f t="shared" si="124"/>
        <v>0</v>
      </c>
      <c r="I204" s="259">
        <f t="shared" si="124"/>
        <v>0</v>
      </c>
      <c r="J204" s="220"/>
      <c r="L204" s="205"/>
      <c r="M204" s="220"/>
    </row>
    <row r="205" spans="1:27" outlineLevel="2" x14ac:dyDescent="0.2">
      <c r="A205" s="220"/>
      <c r="B205" s="220"/>
      <c r="C205" s="242" t="s">
        <v>143</v>
      </c>
      <c r="D205" s="259">
        <f t="shared" ref="D205:I205" si="125">IF(INDEX(SANew,$B199,7)&gt;0,ROUND(D203/INDEX(SANew,$B199,2),0),0)</f>
        <v>0</v>
      </c>
      <c r="E205" s="259">
        <f t="shared" si="125"/>
        <v>0</v>
      </c>
      <c r="F205" s="259">
        <f t="shared" si="125"/>
        <v>0</v>
      </c>
      <c r="G205" s="259">
        <f t="shared" si="125"/>
        <v>0</v>
      </c>
      <c r="H205" s="259">
        <f t="shared" si="125"/>
        <v>0</v>
      </c>
      <c r="I205" s="259">
        <f t="shared" si="125"/>
        <v>0</v>
      </c>
      <c r="J205" s="220"/>
      <c r="L205" s="205"/>
      <c r="M205" s="220"/>
    </row>
    <row r="206" spans="1:27" outlineLevel="1" x14ac:dyDescent="0.2">
      <c r="A206" s="220"/>
      <c r="B206" s="220"/>
      <c r="C206" s="264"/>
      <c r="D206" s="248"/>
      <c r="E206" s="220"/>
      <c r="F206" s="220"/>
      <c r="G206" s="220"/>
      <c r="H206" s="220"/>
      <c r="I206" s="220"/>
      <c r="J206" s="220"/>
      <c r="K206" s="220"/>
      <c r="L206" s="220"/>
      <c r="M206" s="220"/>
    </row>
    <row r="207" spans="1:27" ht="15" outlineLevel="1" x14ac:dyDescent="0.2">
      <c r="A207" s="220"/>
      <c r="B207" s="422">
        <v>19</v>
      </c>
      <c r="C207" s="221" t="str">
        <f>INDEX(PBSScriptsNew,B207,1)</f>
        <v>** NOT USED **</v>
      </c>
      <c r="D207" s="207"/>
      <c r="E207" s="207"/>
      <c r="F207" s="207"/>
      <c r="G207" s="207"/>
      <c r="H207" s="207"/>
      <c r="I207" s="207"/>
      <c r="J207" s="207"/>
      <c r="K207" s="207"/>
      <c r="L207" s="189"/>
      <c r="M207" s="189"/>
      <c r="N207" s="189"/>
      <c r="O207" s="178"/>
      <c r="P207" s="178"/>
      <c r="Q207" s="178"/>
      <c r="R207" s="178"/>
      <c r="S207" s="178"/>
      <c r="T207" s="178"/>
      <c r="U207" s="178"/>
      <c r="V207" s="178"/>
      <c r="W207" s="178"/>
      <c r="X207" s="178"/>
      <c r="Y207" s="178"/>
      <c r="Z207" s="178"/>
      <c r="AA207" s="178"/>
    </row>
    <row r="208" spans="1:27" outlineLevel="2" x14ac:dyDescent="0.2">
      <c r="A208" s="220"/>
      <c r="B208" s="220"/>
      <c r="C208" s="503"/>
      <c r="D208" s="545">
        <v>2</v>
      </c>
      <c r="E208" s="545">
        <v>3</v>
      </c>
      <c r="F208" s="545">
        <v>4</v>
      </c>
      <c r="G208" s="545">
        <v>5</v>
      </c>
      <c r="H208" s="545">
        <v>6</v>
      </c>
      <c r="I208" s="545">
        <v>7</v>
      </c>
      <c r="J208" s="545"/>
      <c r="K208" s="503"/>
      <c r="L208" s="503"/>
      <c r="M208" s="503"/>
      <c r="N208" s="503"/>
    </row>
    <row r="209" spans="1:27" outlineLevel="2" x14ac:dyDescent="0.2">
      <c r="A209" s="220"/>
      <c r="B209" s="220"/>
      <c r="C209" s="220"/>
      <c r="D209" s="414">
        <f>FirstYear</f>
        <v>0</v>
      </c>
      <c r="E209" s="414">
        <f>D209+1</f>
        <v>1</v>
      </c>
      <c r="F209" s="414">
        <f>E209+1</f>
        <v>2</v>
      </c>
      <c r="G209" s="414">
        <f>F209+1</f>
        <v>3</v>
      </c>
      <c r="H209" s="414">
        <f>G209+1</f>
        <v>4</v>
      </c>
      <c r="I209" s="414">
        <f>H209+1</f>
        <v>5</v>
      </c>
      <c r="J209" s="220"/>
      <c r="K209" s="220"/>
      <c r="L209" s="220"/>
      <c r="M209" s="220"/>
      <c r="N209" s="220"/>
    </row>
    <row r="210" spans="1:27" outlineLevel="2" x14ac:dyDescent="0.2">
      <c r="A210" s="220"/>
      <c r="B210" s="220"/>
      <c r="C210" s="258" t="s">
        <v>140</v>
      </c>
      <c r="D210" s="259">
        <f t="shared" ref="D210:I210" si="126">INDEX(PBSScriptsNew,$B207,D208)</f>
        <v>0</v>
      </c>
      <c r="E210" s="259">
        <f t="shared" si="126"/>
        <v>0</v>
      </c>
      <c r="F210" s="259">
        <f t="shared" si="126"/>
        <v>0</v>
      </c>
      <c r="G210" s="259">
        <f t="shared" si="126"/>
        <v>0</v>
      </c>
      <c r="H210" s="259">
        <f t="shared" si="126"/>
        <v>0</v>
      </c>
      <c r="I210" s="259">
        <f t="shared" si="126"/>
        <v>0</v>
      </c>
      <c r="J210" s="220"/>
      <c r="K210" s="220"/>
      <c r="L210" s="220"/>
      <c r="M210" s="220"/>
      <c r="N210" s="220"/>
    </row>
    <row r="211" spans="1:27" outlineLevel="2" x14ac:dyDescent="0.2">
      <c r="A211" s="220"/>
      <c r="B211" s="220"/>
      <c r="C211" s="258" t="s">
        <v>141</v>
      </c>
      <c r="D211" s="259">
        <f t="shared" ref="D211:I211" si="127">INDEX(RPBSScriptsNew,$B207,D208)</f>
        <v>0</v>
      </c>
      <c r="E211" s="259">
        <f t="shared" si="127"/>
        <v>0</v>
      </c>
      <c r="F211" s="259">
        <f t="shared" si="127"/>
        <v>0</v>
      </c>
      <c r="G211" s="259">
        <f t="shared" si="127"/>
        <v>0</v>
      </c>
      <c r="H211" s="259">
        <f t="shared" si="127"/>
        <v>0</v>
      </c>
      <c r="I211" s="259">
        <f t="shared" si="127"/>
        <v>0</v>
      </c>
      <c r="J211" s="220"/>
      <c r="K211" s="220"/>
      <c r="L211" s="220"/>
      <c r="M211" s="220"/>
      <c r="N211" s="220"/>
    </row>
    <row r="212" spans="1:27" outlineLevel="2" x14ac:dyDescent="0.2">
      <c r="A212" s="220"/>
      <c r="B212" s="220"/>
      <c r="C212" s="242" t="s">
        <v>142</v>
      </c>
      <c r="D212" s="259">
        <f t="shared" ref="D212:I212" si="128">IF(INDEX(SANew,$B207,7)&gt;0,ROUND(D210/INDEX(SANew,$B207,2),0),0)</f>
        <v>0</v>
      </c>
      <c r="E212" s="259">
        <f t="shared" si="128"/>
        <v>0</v>
      </c>
      <c r="F212" s="259">
        <f t="shared" si="128"/>
        <v>0</v>
      </c>
      <c r="G212" s="259">
        <f t="shared" si="128"/>
        <v>0</v>
      </c>
      <c r="H212" s="259">
        <f t="shared" si="128"/>
        <v>0</v>
      </c>
      <c r="I212" s="259">
        <f t="shared" si="128"/>
        <v>0</v>
      </c>
      <c r="J212" s="220"/>
      <c r="L212" s="205"/>
      <c r="M212" s="220"/>
    </row>
    <row r="213" spans="1:27" outlineLevel="2" x14ac:dyDescent="0.2">
      <c r="A213" s="220"/>
      <c r="B213" s="220"/>
      <c r="C213" s="242" t="s">
        <v>143</v>
      </c>
      <c r="D213" s="259">
        <f t="shared" ref="D213:I213" si="129">IF(INDEX(SANew,$B207,7)&gt;0,ROUND(D211/INDEX(SANew,$B207,2),0),0)</f>
        <v>0</v>
      </c>
      <c r="E213" s="259">
        <f t="shared" si="129"/>
        <v>0</v>
      </c>
      <c r="F213" s="259">
        <f t="shared" si="129"/>
        <v>0</v>
      </c>
      <c r="G213" s="259">
        <f t="shared" si="129"/>
        <v>0</v>
      </c>
      <c r="H213" s="259">
        <f t="shared" si="129"/>
        <v>0</v>
      </c>
      <c r="I213" s="259">
        <f t="shared" si="129"/>
        <v>0</v>
      </c>
      <c r="J213" s="220"/>
      <c r="L213" s="205"/>
      <c r="M213" s="220"/>
    </row>
    <row r="214" spans="1:27" outlineLevel="1" x14ac:dyDescent="0.2">
      <c r="A214" s="220"/>
      <c r="B214" s="220"/>
      <c r="C214" s="264"/>
      <c r="D214" s="248"/>
      <c r="E214" s="220"/>
      <c r="F214" s="220"/>
      <c r="G214" s="220"/>
      <c r="H214" s="220"/>
      <c r="I214" s="220"/>
      <c r="J214" s="220"/>
      <c r="K214" s="220"/>
      <c r="L214" s="220"/>
      <c r="M214" s="220"/>
      <c r="N214" s="220"/>
    </row>
    <row r="215" spans="1:27" ht="15" outlineLevel="1" x14ac:dyDescent="0.2">
      <c r="A215" s="220"/>
      <c r="B215" s="422">
        <v>20</v>
      </c>
      <c r="C215" s="221" t="str">
        <f>INDEX(PBSScriptsNew,B215,1)</f>
        <v>** NOT USED **</v>
      </c>
      <c r="D215" s="207"/>
      <c r="E215" s="207"/>
      <c r="F215" s="207"/>
      <c r="G215" s="207"/>
      <c r="H215" s="207"/>
      <c r="I215" s="207"/>
      <c r="J215" s="207"/>
      <c r="K215" s="207"/>
      <c r="L215" s="189"/>
      <c r="M215" s="189"/>
      <c r="N215" s="189"/>
      <c r="O215" s="178"/>
      <c r="P215" s="178"/>
      <c r="Q215" s="178"/>
      <c r="R215" s="178"/>
      <c r="S215" s="178"/>
      <c r="T215" s="178"/>
      <c r="U215" s="178"/>
      <c r="V215" s="178"/>
      <c r="W215" s="178"/>
      <c r="X215" s="178"/>
      <c r="Y215" s="178"/>
      <c r="Z215" s="178"/>
      <c r="AA215" s="178"/>
    </row>
    <row r="216" spans="1:27" outlineLevel="2" x14ac:dyDescent="0.2">
      <c r="A216" s="220"/>
      <c r="B216" s="220"/>
      <c r="C216" s="503"/>
      <c r="D216" s="545">
        <v>2</v>
      </c>
      <c r="E216" s="545">
        <v>3</v>
      </c>
      <c r="F216" s="545">
        <v>4</v>
      </c>
      <c r="G216" s="545">
        <v>5</v>
      </c>
      <c r="H216" s="545">
        <v>6</v>
      </c>
      <c r="I216" s="545">
        <v>7</v>
      </c>
      <c r="J216" s="545"/>
      <c r="K216" s="503"/>
      <c r="L216" s="503"/>
      <c r="M216" s="503"/>
      <c r="N216" s="503"/>
    </row>
    <row r="217" spans="1:27" outlineLevel="2" x14ac:dyDescent="0.2">
      <c r="A217" s="220"/>
      <c r="B217" s="220"/>
      <c r="C217" s="220"/>
      <c r="D217" s="414">
        <f>FirstYear</f>
        <v>0</v>
      </c>
      <c r="E217" s="414">
        <f>D217+1</f>
        <v>1</v>
      </c>
      <c r="F217" s="414">
        <f>E217+1</f>
        <v>2</v>
      </c>
      <c r="G217" s="414">
        <f>F217+1</f>
        <v>3</v>
      </c>
      <c r="H217" s="414">
        <f>G217+1</f>
        <v>4</v>
      </c>
      <c r="I217" s="414">
        <f>H217+1</f>
        <v>5</v>
      </c>
      <c r="J217" s="220"/>
      <c r="K217" s="220"/>
      <c r="L217" s="220"/>
      <c r="M217" s="220"/>
      <c r="N217" s="220"/>
    </row>
    <row r="218" spans="1:27" outlineLevel="2" x14ac:dyDescent="0.2">
      <c r="A218" s="220"/>
      <c r="B218" s="220"/>
      <c r="C218" s="258" t="s">
        <v>140</v>
      </c>
      <c r="D218" s="259">
        <f t="shared" ref="D218:I218" si="130">INDEX(PBSScriptsNew,$B215,D216)</f>
        <v>0</v>
      </c>
      <c r="E218" s="259">
        <f t="shared" si="130"/>
        <v>0</v>
      </c>
      <c r="F218" s="259">
        <f t="shared" si="130"/>
        <v>0</v>
      </c>
      <c r="G218" s="259">
        <f t="shared" si="130"/>
        <v>0</v>
      </c>
      <c r="H218" s="259">
        <f t="shared" si="130"/>
        <v>0</v>
      </c>
      <c r="I218" s="259">
        <f t="shared" si="130"/>
        <v>0</v>
      </c>
      <c r="J218" s="220"/>
      <c r="K218" s="220"/>
      <c r="L218" s="220"/>
      <c r="M218" s="220"/>
      <c r="N218" s="220"/>
    </row>
    <row r="219" spans="1:27" outlineLevel="2" x14ac:dyDescent="0.2">
      <c r="A219" s="220"/>
      <c r="B219" s="220"/>
      <c r="C219" s="258" t="s">
        <v>141</v>
      </c>
      <c r="D219" s="259">
        <f t="shared" ref="D219:I219" si="131">INDEX(RPBSScriptsNew,$B215,D216)</f>
        <v>0</v>
      </c>
      <c r="E219" s="259">
        <f t="shared" si="131"/>
        <v>0</v>
      </c>
      <c r="F219" s="259">
        <f t="shared" si="131"/>
        <v>0</v>
      </c>
      <c r="G219" s="259">
        <f t="shared" si="131"/>
        <v>0</v>
      </c>
      <c r="H219" s="259">
        <f t="shared" si="131"/>
        <v>0</v>
      </c>
      <c r="I219" s="259">
        <f t="shared" si="131"/>
        <v>0</v>
      </c>
      <c r="J219" s="220"/>
      <c r="K219" s="220"/>
      <c r="L219" s="220"/>
      <c r="M219" s="220"/>
      <c r="N219" s="220"/>
    </row>
    <row r="220" spans="1:27" outlineLevel="2" x14ac:dyDescent="0.2">
      <c r="A220" s="220"/>
      <c r="B220" s="220"/>
      <c r="C220" s="242" t="s">
        <v>142</v>
      </c>
      <c r="D220" s="259">
        <f t="shared" ref="D220:I220" si="132">IF(INDEX(SANew,$B215,7)&gt;0,ROUND(D218/INDEX(SANew,$B215,2),0),0)</f>
        <v>0</v>
      </c>
      <c r="E220" s="259">
        <f t="shared" si="132"/>
        <v>0</v>
      </c>
      <c r="F220" s="259">
        <f t="shared" si="132"/>
        <v>0</v>
      </c>
      <c r="G220" s="259">
        <f t="shared" si="132"/>
        <v>0</v>
      </c>
      <c r="H220" s="259">
        <f t="shared" si="132"/>
        <v>0</v>
      </c>
      <c r="I220" s="259">
        <f t="shared" si="132"/>
        <v>0</v>
      </c>
      <c r="J220" s="220"/>
      <c r="L220" s="205"/>
      <c r="M220" s="220"/>
    </row>
    <row r="221" spans="1:27" outlineLevel="2" x14ac:dyDescent="0.2">
      <c r="A221" s="220"/>
      <c r="B221" s="220"/>
      <c r="C221" s="242" t="s">
        <v>143</v>
      </c>
      <c r="D221" s="259">
        <f t="shared" ref="D221:I221" si="133">IF(INDEX(SANew,$B215,7)&gt;0,ROUND(D219/INDEX(SANew,$B215,2),0),0)</f>
        <v>0</v>
      </c>
      <c r="E221" s="259">
        <f t="shared" si="133"/>
        <v>0</v>
      </c>
      <c r="F221" s="259">
        <f t="shared" si="133"/>
        <v>0</v>
      </c>
      <c r="G221" s="259">
        <f t="shared" si="133"/>
        <v>0</v>
      </c>
      <c r="H221" s="259">
        <f t="shared" si="133"/>
        <v>0</v>
      </c>
      <c r="I221" s="259">
        <f t="shared" si="133"/>
        <v>0</v>
      </c>
      <c r="J221" s="220"/>
      <c r="L221" s="205"/>
      <c r="M221" s="220"/>
    </row>
    <row r="222" spans="1:27" outlineLevel="2" x14ac:dyDescent="0.2">
      <c r="A222" s="220"/>
      <c r="B222" s="220"/>
      <c r="C222" s="264"/>
      <c r="D222" s="248"/>
      <c r="E222" s="220"/>
      <c r="F222" s="220"/>
      <c r="G222" s="220"/>
      <c r="H222" s="220"/>
      <c r="I222" s="220"/>
      <c r="J222" s="220"/>
      <c r="K222" s="220"/>
      <c r="L222" s="220"/>
      <c r="M222" s="220"/>
      <c r="N222" s="220"/>
    </row>
    <row r="223" spans="1:27" outlineLevel="1" x14ac:dyDescent="0.2">
      <c r="A223" s="220"/>
      <c r="B223" s="220"/>
      <c r="J223" s="503"/>
      <c r="K223" s="503"/>
      <c r="L223" s="503"/>
      <c r="M223" s="503"/>
      <c r="N223" s="503"/>
    </row>
    <row r="224" spans="1:27" x14ac:dyDescent="0.2">
      <c r="A224" s="220"/>
      <c r="B224" s="220"/>
      <c r="C224" s="264"/>
      <c r="D224" s="248"/>
      <c r="E224" s="220"/>
      <c r="F224" s="220"/>
      <c r="G224" s="220"/>
      <c r="H224" s="220"/>
      <c r="I224" s="220"/>
      <c r="J224" s="503"/>
      <c r="K224" s="220"/>
      <c r="L224" s="220"/>
      <c r="M224" s="220"/>
      <c r="N224" s="220"/>
    </row>
    <row r="225" spans="1:27" ht="15.75" x14ac:dyDescent="0.2">
      <c r="A225" s="247"/>
      <c r="B225" s="247"/>
      <c r="C225" s="174" t="s">
        <v>965</v>
      </c>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row>
    <row r="226" spans="1:27" outlineLevel="2" x14ac:dyDescent="0.2">
      <c r="A226" s="220"/>
      <c r="B226" s="220"/>
      <c r="J226" s="503"/>
      <c r="K226" s="503"/>
      <c r="L226" s="503"/>
      <c r="M226" s="503"/>
      <c r="N226" s="503"/>
    </row>
    <row r="227" spans="1:27" outlineLevel="2" x14ac:dyDescent="0.2">
      <c r="A227" s="220"/>
      <c r="B227" s="220"/>
      <c r="C227" s="6" t="s">
        <v>680</v>
      </c>
      <c r="D227" s="220"/>
      <c r="E227" s="220"/>
      <c r="F227" s="220"/>
      <c r="G227" s="220"/>
      <c r="H227" s="220"/>
      <c r="I227" s="220"/>
      <c r="J227" s="220"/>
      <c r="K227" s="220"/>
      <c r="L227" s="220"/>
      <c r="M227" s="220"/>
      <c r="N227" s="220"/>
    </row>
    <row r="228" spans="1:27" outlineLevel="2" x14ac:dyDescent="0.2">
      <c r="A228" s="220"/>
      <c r="B228" s="220"/>
      <c r="C228" s="195"/>
      <c r="D228" s="220"/>
      <c r="E228" s="220"/>
      <c r="F228" s="220"/>
      <c r="G228" s="220"/>
      <c r="H228" s="220"/>
      <c r="I228" s="502"/>
      <c r="J228" s="220"/>
      <c r="K228" s="220"/>
      <c r="L228" s="502"/>
      <c r="M228" s="220"/>
      <c r="N228" s="798" t="s">
        <v>0</v>
      </c>
      <c r="O228" s="798"/>
      <c r="P228" s="798"/>
      <c r="Q228" s="798"/>
      <c r="R228" s="798"/>
      <c r="S228" s="798"/>
      <c r="T228" s="846" t="s">
        <v>1</v>
      </c>
      <c r="U228" s="846"/>
      <c r="V228" s="846"/>
      <c r="W228" s="846"/>
      <c r="X228" s="846"/>
      <c r="Y228" s="846"/>
      <c r="Z228" s="13"/>
      <c r="AA228" s="13"/>
    </row>
    <row r="229" spans="1:27" ht="25.5" outlineLevel="2" x14ac:dyDescent="0.2">
      <c r="A229" s="220"/>
      <c r="B229" s="220"/>
      <c r="C229" s="847" t="s">
        <v>90</v>
      </c>
      <c r="D229" s="848" t="s">
        <v>128</v>
      </c>
      <c r="E229" s="849"/>
      <c r="F229" s="113" t="s">
        <v>476</v>
      </c>
      <c r="G229" s="113" t="s">
        <v>150</v>
      </c>
      <c r="H229" s="113" t="s">
        <v>139</v>
      </c>
      <c r="I229" s="551" t="s">
        <v>761</v>
      </c>
      <c r="J229" s="113" t="s">
        <v>284</v>
      </c>
      <c r="K229" s="113" t="s">
        <v>313</v>
      </c>
      <c r="L229" s="113" t="s">
        <v>312</v>
      </c>
      <c r="M229" s="551" t="s">
        <v>761</v>
      </c>
      <c r="N229" s="426">
        <f>FirstYear</f>
        <v>0</v>
      </c>
      <c r="O229" s="426">
        <f>N229+1</f>
        <v>1</v>
      </c>
      <c r="P229" s="426">
        <f>O229+1</f>
        <v>2</v>
      </c>
      <c r="Q229" s="426">
        <f>P229+1</f>
        <v>3</v>
      </c>
      <c r="R229" s="426">
        <f>Q229+1</f>
        <v>4</v>
      </c>
      <c r="S229" s="426">
        <f>R229+1</f>
        <v>5</v>
      </c>
      <c r="T229" s="426">
        <f>FirstYear</f>
        <v>0</v>
      </c>
      <c r="U229" s="426">
        <f>T229+1</f>
        <v>1</v>
      </c>
      <c r="V229" s="426">
        <f>U229+1</f>
        <v>2</v>
      </c>
      <c r="W229" s="426">
        <f>V229+1</f>
        <v>3</v>
      </c>
      <c r="X229" s="426">
        <f>W229+1</f>
        <v>4</v>
      </c>
      <c r="Y229" s="426">
        <f>X229+1</f>
        <v>5</v>
      </c>
    </row>
    <row r="230" spans="1:27" outlineLevel="2" x14ac:dyDescent="0.2">
      <c r="A230" s="171"/>
      <c r="B230" s="422">
        <v>1</v>
      </c>
      <c r="C230" s="850" t="str">
        <f t="shared" ref="C230:C249" si="134">INDEX(PBSScriptsChanged,B230,1)</f>
        <v>** NOT USED **</v>
      </c>
      <c r="D230" s="851" t="e">
        <f>IF(C230&lt;&gt;"",#REF!,"")</f>
        <v>#REF!</v>
      </c>
      <c r="E230" s="852"/>
      <c r="F230" s="232"/>
      <c r="G230" s="86" t="str">
        <f>IF(F230&lt;&gt;"",F230+1,"")</f>
        <v/>
      </c>
      <c r="H230" s="241"/>
      <c r="I230" s="241"/>
      <c r="J230" s="241"/>
      <c r="K230" s="346">
        <f t="shared" ref="K230:K249" si="135">IF(J230="Yes",G230,1)</f>
        <v>1</v>
      </c>
      <c r="L230" s="346">
        <f t="shared" ref="L230:L249" si="136">IF(AND(G230&lt;&gt;"",H230&lt;&gt;""),VLOOKUP(H230,AuthorityCode,2,FALSE),0)</f>
        <v>0</v>
      </c>
      <c r="M230" s="346">
        <f>IF(AND(OR(L230=2,L230=3),I230="Yes"),1,0)</f>
        <v>0</v>
      </c>
      <c r="N230" s="359">
        <f>D257</f>
        <v>0</v>
      </c>
      <c r="O230" s="359">
        <f>E257</f>
        <v>0</v>
      </c>
      <c r="P230" s="359">
        <f>F257</f>
        <v>0</v>
      </c>
      <c r="Q230" s="359">
        <f>G257</f>
        <v>0</v>
      </c>
      <c r="R230" s="359">
        <f>H257</f>
        <v>0</v>
      </c>
      <c r="S230" s="359">
        <f t="shared" ref="S230" si="137">I257</f>
        <v>0</v>
      </c>
      <c r="T230" s="443">
        <f>D258</f>
        <v>0</v>
      </c>
      <c r="U230" s="443">
        <f>E258</f>
        <v>0</v>
      </c>
      <c r="V230" s="443">
        <f>F258</f>
        <v>0</v>
      </c>
      <c r="W230" s="443">
        <f>G258</f>
        <v>0</v>
      </c>
      <c r="X230" s="443">
        <f>H258</f>
        <v>0</v>
      </c>
      <c r="Y230" s="443">
        <f t="shared" ref="Y230" si="138">I258</f>
        <v>0</v>
      </c>
    </row>
    <row r="231" spans="1:27" outlineLevel="2" x14ac:dyDescent="0.2">
      <c r="A231" s="171"/>
      <c r="B231" s="422">
        <v>2</v>
      </c>
      <c r="C231" s="850" t="str">
        <f t="shared" si="134"/>
        <v>** NOT USED **</v>
      </c>
      <c r="D231" s="851" t="e">
        <f>IF(C231&lt;&gt;"",#REF!,"")</f>
        <v>#REF!</v>
      </c>
      <c r="E231" s="852"/>
      <c r="F231" s="232"/>
      <c r="G231" s="86" t="str">
        <f t="shared" ref="G231:G239" si="139">IF(F231&lt;&gt;"",F231+1,"")</f>
        <v/>
      </c>
      <c r="H231" s="241"/>
      <c r="I231" s="241"/>
      <c r="J231" s="241"/>
      <c r="K231" s="346">
        <f t="shared" si="135"/>
        <v>1</v>
      </c>
      <c r="L231" s="346">
        <f t="shared" si="136"/>
        <v>0</v>
      </c>
      <c r="M231" s="346">
        <f t="shared" ref="M231:M249" si="140">IF(AND(OR(L231=2,L231=3),I231="Yes"),1,0)</f>
        <v>0</v>
      </c>
      <c r="N231" s="359">
        <f>D265</f>
        <v>0</v>
      </c>
      <c r="O231" s="359">
        <f>E265</f>
        <v>0</v>
      </c>
      <c r="P231" s="359">
        <f>F265</f>
        <v>0</v>
      </c>
      <c r="Q231" s="359">
        <f>G265</f>
        <v>0</v>
      </c>
      <c r="R231" s="359">
        <f>H265</f>
        <v>0</v>
      </c>
      <c r="S231" s="359">
        <f t="shared" ref="S231" si="141">I265</f>
        <v>0</v>
      </c>
      <c r="T231" s="443">
        <f>D266</f>
        <v>0</v>
      </c>
      <c r="U231" s="443">
        <f>E266</f>
        <v>0</v>
      </c>
      <c r="V231" s="443">
        <f>F266</f>
        <v>0</v>
      </c>
      <c r="W231" s="443">
        <f>G266</f>
        <v>0</v>
      </c>
      <c r="X231" s="443">
        <f>H266</f>
        <v>0</v>
      </c>
      <c r="Y231" s="443">
        <f t="shared" ref="Y231" si="142">I266</f>
        <v>0</v>
      </c>
    </row>
    <row r="232" spans="1:27" outlineLevel="2" x14ac:dyDescent="0.2">
      <c r="A232" s="171"/>
      <c r="B232" s="422">
        <v>3</v>
      </c>
      <c r="C232" s="850" t="str">
        <f t="shared" si="134"/>
        <v>** NOT USED **</v>
      </c>
      <c r="D232" s="851" t="e">
        <f>IF(C232&lt;&gt;"",#REF!,"")</f>
        <v>#REF!</v>
      </c>
      <c r="E232" s="852"/>
      <c r="F232" s="232"/>
      <c r="G232" s="86" t="str">
        <f t="shared" si="139"/>
        <v/>
      </c>
      <c r="H232" s="241"/>
      <c r="I232" s="241"/>
      <c r="J232" s="241"/>
      <c r="K232" s="346">
        <f t="shared" si="135"/>
        <v>1</v>
      </c>
      <c r="L232" s="346">
        <f t="shared" si="136"/>
        <v>0</v>
      </c>
      <c r="M232" s="346">
        <f t="shared" si="140"/>
        <v>0</v>
      </c>
      <c r="N232" s="359">
        <f>D273</f>
        <v>0</v>
      </c>
      <c r="O232" s="359">
        <f>E273</f>
        <v>0</v>
      </c>
      <c r="P232" s="359">
        <f>F273</f>
        <v>0</v>
      </c>
      <c r="Q232" s="359">
        <f>G273</f>
        <v>0</v>
      </c>
      <c r="R232" s="359">
        <f>H273</f>
        <v>0</v>
      </c>
      <c r="S232" s="359">
        <f t="shared" ref="S232" si="143">I273</f>
        <v>0</v>
      </c>
      <c r="T232" s="443">
        <f>D274</f>
        <v>0</v>
      </c>
      <c r="U232" s="443">
        <f>E274</f>
        <v>0</v>
      </c>
      <c r="V232" s="443">
        <f>F274</f>
        <v>0</v>
      </c>
      <c r="W232" s="443">
        <f>G274</f>
        <v>0</v>
      </c>
      <c r="X232" s="443">
        <f>H274</f>
        <v>0</v>
      </c>
      <c r="Y232" s="443">
        <f t="shared" ref="Y232" si="144">I274</f>
        <v>0</v>
      </c>
    </row>
    <row r="233" spans="1:27" outlineLevel="2" x14ac:dyDescent="0.2">
      <c r="A233" s="171"/>
      <c r="B233" s="422">
        <v>4</v>
      </c>
      <c r="C233" s="850" t="str">
        <f t="shared" si="134"/>
        <v>** NOT USED **</v>
      </c>
      <c r="D233" s="851" t="e">
        <f>IF(C233&lt;&gt;"",#REF!,"")</f>
        <v>#REF!</v>
      </c>
      <c r="E233" s="852"/>
      <c r="F233" s="232"/>
      <c r="G233" s="86" t="str">
        <f t="shared" si="139"/>
        <v/>
      </c>
      <c r="H233" s="241"/>
      <c r="I233" s="241"/>
      <c r="J233" s="241"/>
      <c r="K233" s="346">
        <f t="shared" si="135"/>
        <v>1</v>
      </c>
      <c r="L233" s="346">
        <f t="shared" si="136"/>
        <v>0</v>
      </c>
      <c r="M233" s="346">
        <f t="shared" si="140"/>
        <v>0</v>
      </c>
      <c r="N233" s="359">
        <f>D281</f>
        <v>0</v>
      </c>
      <c r="O233" s="359">
        <f>E281</f>
        <v>0</v>
      </c>
      <c r="P233" s="359">
        <f>F281</f>
        <v>0</v>
      </c>
      <c r="Q233" s="359">
        <f>G281</f>
        <v>0</v>
      </c>
      <c r="R233" s="359">
        <f>H281</f>
        <v>0</v>
      </c>
      <c r="S233" s="359">
        <f t="shared" ref="S233" si="145">I281</f>
        <v>0</v>
      </c>
      <c r="T233" s="443">
        <f>D282</f>
        <v>0</v>
      </c>
      <c r="U233" s="443">
        <f>E282</f>
        <v>0</v>
      </c>
      <c r="V233" s="443">
        <f>F282</f>
        <v>0</v>
      </c>
      <c r="W233" s="443">
        <f>G282</f>
        <v>0</v>
      </c>
      <c r="X233" s="443">
        <f>H282</f>
        <v>0</v>
      </c>
      <c r="Y233" s="443">
        <f t="shared" ref="Y233" si="146">I282</f>
        <v>0</v>
      </c>
    </row>
    <row r="234" spans="1:27" outlineLevel="2" x14ac:dyDescent="0.2">
      <c r="A234" s="171"/>
      <c r="B234" s="422">
        <v>5</v>
      </c>
      <c r="C234" s="850" t="str">
        <f t="shared" si="134"/>
        <v>** NOT USED **</v>
      </c>
      <c r="D234" s="851" t="e">
        <f>IF(C234&lt;&gt;"",#REF!,"")</f>
        <v>#REF!</v>
      </c>
      <c r="E234" s="852"/>
      <c r="F234" s="232"/>
      <c r="G234" s="86" t="str">
        <f t="shared" si="139"/>
        <v/>
      </c>
      <c r="H234" s="241"/>
      <c r="I234" s="241"/>
      <c r="J234" s="241"/>
      <c r="K234" s="346">
        <f t="shared" si="135"/>
        <v>1</v>
      </c>
      <c r="L234" s="346">
        <f t="shared" si="136"/>
        <v>0</v>
      </c>
      <c r="M234" s="346">
        <f t="shared" si="140"/>
        <v>0</v>
      </c>
      <c r="N234" s="359">
        <f>D289</f>
        <v>0</v>
      </c>
      <c r="O234" s="359">
        <f>E289</f>
        <v>0</v>
      </c>
      <c r="P234" s="359">
        <f>F289</f>
        <v>0</v>
      </c>
      <c r="Q234" s="359">
        <f>G289</f>
        <v>0</v>
      </c>
      <c r="R234" s="359">
        <f>H289</f>
        <v>0</v>
      </c>
      <c r="S234" s="359">
        <f t="shared" ref="S234" si="147">I289</f>
        <v>0</v>
      </c>
      <c r="T234" s="443">
        <f>D290</f>
        <v>0</v>
      </c>
      <c r="U234" s="443">
        <f>E290</f>
        <v>0</v>
      </c>
      <c r="V234" s="443">
        <f>F290</f>
        <v>0</v>
      </c>
      <c r="W234" s="443">
        <f>G290</f>
        <v>0</v>
      </c>
      <c r="X234" s="443">
        <f>H290</f>
        <v>0</v>
      </c>
      <c r="Y234" s="443">
        <f t="shared" ref="Y234" si="148">I290</f>
        <v>0</v>
      </c>
    </row>
    <row r="235" spans="1:27" outlineLevel="2" x14ac:dyDescent="0.2">
      <c r="A235" s="171"/>
      <c r="B235" s="422">
        <v>6</v>
      </c>
      <c r="C235" s="850" t="str">
        <f t="shared" si="134"/>
        <v>** NOT USED **</v>
      </c>
      <c r="D235" s="851" t="e">
        <f>IF(C235&lt;&gt;"",#REF!,"")</f>
        <v>#REF!</v>
      </c>
      <c r="E235" s="852"/>
      <c r="F235" s="232"/>
      <c r="G235" s="86" t="str">
        <f t="shared" si="139"/>
        <v/>
      </c>
      <c r="H235" s="241"/>
      <c r="I235" s="241"/>
      <c r="J235" s="241"/>
      <c r="K235" s="346">
        <f t="shared" si="135"/>
        <v>1</v>
      </c>
      <c r="L235" s="346">
        <f t="shared" si="136"/>
        <v>0</v>
      </c>
      <c r="M235" s="346">
        <f t="shared" si="140"/>
        <v>0</v>
      </c>
      <c r="N235" s="359">
        <f>D297</f>
        <v>0</v>
      </c>
      <c r="O235" s="359">
        <f>E297</f>
        <v>0</v>
      </c>
      <c r="P235" s="359">
        <f>F297</f>
        <v>0</v>
      </c>
      <c r="Q235" s="359">
        <f>G297</f>
        <v>0</v>
      </c>
      <c r="R235" s="359">
        <f>H297</f>
        <v>0</v>
      </c>
      <c r="S235" s="359">
        <f t="shared" ref="S235" si="149">I297</f>
        <v>0</v>
      </c>
      <c r="T235" s="443">
        <f>D298</f>
        <v>0</v>
      </c>
      <c r="U235" s="443">
        <f>E298</f>
        <v>0</v>
      </c>
      <c r="V235" s="443">
        <f>F298</f>
        <v>0</v>
      </c>
      <c r="W235" s="443">
        <f>G298</f>
        <v>0</v>
      </c>
      <c r="X235" s="443">
        <f>H298</f>
        <v>0</v>
      </c>
      <c r="Y235" s="443">
        <f t="shared" ref="Y235" si="150">I298</f>
        <v>0</v>
      </c>
    </row>
    <row r="236" spans="1:27" outlineLevel="2" x14ac:dyDescent="0.2">
      <c r="A236" s="171"/>
      <c r="B236" s="422">
        <v>7</v>
      </c>
      <c r="C236" s="850" t="str">
        <f t="shared" si="134"/>
        <v>** NOT USED **</v>
      </c>
      <c r="D236" s="851" t="e">
        <f>IF(C236&lt;&gt;"",#REF!,"")</f>
        <v>#REF!</v>
      </c>
      <c r="E236" s="852"/>
      <c r="F236" s="232"/>
      <c r="G236" s="86" t="str">
        <f t="shared" si="139"/>
        <v/>
      </c>
      <c r="H236" s="241"/>
      <c r="I236" s="241"/>
      <c r="J236" s="241"/>
      <c r="K236" s="346">
        <f t="shared" si="135"/>
        <v>1</v>
      </c>
      <c r="L236" s="346">
        <f t="shared" si="136"/>
        <v>0</v>
      </c>
      <c r="M236" s="346">
        <f t="shared" si="140"/>
        <v>0</v>
      </c>
      <c r="N236" s="359">
        <f>D305</f>
        <v>0</v>
      </c>
      <c r="O236" s="359">
        <f>E305</f>
        <v>0</v>
      </c>
      <c r="P236" s="359">
        <f>F305</f>
        <v>0</v>
      </c>
      <c r="Q236" s="359">
        <f>G305</f>
        <v>0</v>
      </c>
      <c r="R236" s="359">
        <f>H305</f>
        <v>0</v>
      </c>
      <c r="S236" s="359">
        <f t="shared" ref="S236" si="151">I305</f>
        <v>0</v>
      </c>
      <c r="T236" s="443">
        <f>D306</f>
        <v>0</v>
      </c>
      <c r="U236" s="443">
        <f>E306</f>
        <v>0</v>
      </c>
      <c r="V236" s="443">
        <f>F306</f>
        <v>0</v>
      </c>
      <c r="W236" s="443">
        <f>G306</f>
        <v>0</v>
      </c>
      <c r="X236" s="443">
        <f>H306</f>
        <v>0</v>
      </c>
      <c r="Y236" s="443">
        <f t="shared" ref="Y236" si="152">I306</f>
        <v>0</v>
      </c>
    </row>
    <row r="237" spans="1:27" outlineLevel="2" x14ac:dyDescent="0.2">
      <c r="A237" s="171"/>
      <c r="B237" s="422">
        <v>8</v>
      </c>
      <c r="C237" s="850" t="str">
        <f t="shared" si="134"/>
        <v>** NOT USED **</v>
      </c>
      <c r="D237" s="851" t="e">
        <f>IF(C237&lt;&gt;"",#REF!,"")</f>
        <v>#REF!</v>
      </c>
      <c r="E237" s="852"/>
      <c r="F237" s="232"/>
      <c r="G237" s="86" t="str">
        <f t="shared" si="139"/>
        <v/>
      </c>
      <c r="H237" s="241"/>
      <c r="I237" s="241"/>
      <c r="J237" s="241"/>
      <c r="K237" s="346">
        <f t="shared" si="135"/>
        <v>1</v>
      </c>
      <c r="L237" s="346">
        <f t="shared" si="136"/>
        <v>0</v>
      </c>
      <c r="M237" s="346">
        <f t="shared" si="140"/>
        <v>0</v>
      </c>
      <c r="N237" s="359">
        <f>D313</f>
        <v>0</v>
      </c>
      <c r="O237" s="359">
        <f>E313</f>
        <v>0</v>
      </c>
      <c r="P237" s="359">
        <f>F313</f>
        <v>0</v>
      </c>
      <c r="Q237" s="359">
        <f>G313</f>
        <v>0</v>
      </c>
      <c r="R237" s="359">
        <f>H313</f>
        <v>0</v>
      </c>
      <c r="S237" s="359">
        <f t="shared" ref="S237" si="153">I313</f>
        <v>0</v>
      </c>
      <c r="T237" s="443">
        <f>D314</f>
        <v>0</v>
      </c>
      <c r="U237" s="443">
        <f>E314</f>
        <v>0</v>
      </c>
      <c r="V237" s="443">
        <f>F314</f>
        <v>0</v>
      </c>
      <c r="W237" s="443">
        <f>G314</f>
        <v>0</v>
      </c>
      <c r="X237" s="443">
        <f>H314</f>
        <v>0</v>
      </c>
      <c r="Y237" s="443">
        <f t="shared" ref="Y237" si="154">I314</f>
        <v>0</v>
      </c>
    </row>
    <row r="238" spans="1:27" outlineLevel="2" x14ac:dyDescent="0.2">
      <c r="A238" s="171"/>
      <c r="B238" s="422">
        <v>9</v>
      </c>
      <c r="C238" s="850" t="str">
        <f t="shared" si="134"/>
        <v>** NOT USED **</v>
      </c>
      <c r="D238" s="851" t="e">
        <f>IF(C238&lt;&gt;"",#REF!,"")</f>
        <v>#REF!</v>
      </c>
      <c r="E238" s="852"/>
      <c r="F238" s="232"/>
      <c r="G238" s="86" t="str">
        <f t="shared" si="139"/>
        <v/>
      </c>
      <c r="H238" s="241"/>
      <c r="I238" s="241"/>
      <c r="J238" s="241"/>
      <c r="K238" s="346">
        <f t="shared" si="135"/>
        <v>1</v>
      </c>
      <c r="L238" s="346">
        <f t="shared" si="136"/>
        <v>0</v>
      </c>
      <c r="M238" s="346">
        <f t="shared" si="140"/>
        <v>0</v>
      </c>
      <c r="N238" s="359">
        <f>D321</f>
        <v>0</v>
      </c>
      <c r="O238" s="359">
        <f>E321</f>
        <v>0</v>
      </c>
      <c r="P238" s="359">
        <f>F321</f>
        <v>0</v>
      </c>
      <c r="Q238" s="359">
        <f>G321</f>
        <v>0</v>
      </c>
      <c r="R238" s="359">
        <f>H321</f>
        <v>0</v>
      </c>
      <c r="S238" s="359">
        <f t="shared" ref="S238" si="155">I321</f>
        <v>0</v>
      </c>
      <c r="T238" s="443">
        <f>D322</f>
        <v>0</v>
      </c>
      <c r="U238" s="443">
        <f>E322</f>
        <v>0</v>
      </c>
      <c r="V238" s="443">
        <f>F322</f>
        <v>0</v>
      </c>
      <c r="W238" s="443">
        <f>G322</f>
        <v>0</v>
      </c>
      <c r="X238" s="443">
        <f>H322</f>
        <v>0</v>
      </c>
      <c r="Y238" s="443">
        <f t="shared" ref="Y238" si="156">I322</f>
        <v>0</v>
      </c>
    </row>
    <row r="239" spans="1:27" outlineLevel="2" x14ac:dyDescent="0.2">
      <c r="A239" s="171"/>
      <c r="B239" s="422">
        <v>10</v>
      </c>
      <c r="C239" s="850" t="str">
        <f t="shared" si="134"/>
        <v>** NOT USED **</v>
      </c>
      <c r="D239" s="851" t="e">
        <f>IF(C239&lt;&gt;"",#REF!,"")</f>
        <v>#REF!</v>
      </c>
      <c r="E239" s="852"/>
      <c r="F239" s="232"/>
      <c r="G239" s="86" t="str">
        <f t="shared" si="139"/>
        <v/>
      </c>
      <c r="H239" s="241"/>
      <c r="I239" s="241"/>
      <c r="J239" s="241"/>
      <c r="K239" s="346">
        <f t="shared" si="135"/>
        <v>1</v>
      </c>
      <c r="L239" s="346">
        <f t="shared" si="136"/>
        <v>0</v>
      </c>
      <c r="M239" s="346">
        <f t="shared" si="140"/>
        <v>0</v>
      </c>
      <c r="N239" s="359">
        <f>D329</f>
        <v>0</v>
      </c>
      <c r="O239" s="359">
        <f>E329</f>
        <v>0</v>
      </c>
      <c r="P239" s="359">
        <f>F329</f>
        <v>0</v>
      </c>
      <c r="Q239" s="359">
        <f>G329</f>
        <v>0</v>
      </c>
      <c r="R239" s="359">
        <f>H329</f>
        <v>0</v>
      </c>
      <c r="S239" s="359">
        <f t="shared" ref="S239" si="157">I329</f>
        <v>0</v>
      </c>
      <c r="T239" s="443">
        <f>D330</f>
        <v>0</v>
      </c>
      <c r="U239" s="443">
        <f>E330</f>
        <v>0</v>
      </c>
      <c r="V239" s="443">
        <f>F330</f>
        <v>0</v>
      </c>
      <c r="W239" s="443">
        <f>G330</f>
        <v>0</v>
      </c>
      <c r="X239" s="443">
        <f>H330</f>
        <v>0</v>
      </c>
      <c r="Y239" s="443">
        <f t="shared" ref="Y239" si="158">I330</f>
        <v>0</v>
      </c>
    </row>
    <row r="240" spans="1:27" outlineLevel="2" x14ac:dyDescent="0.2">
      <c r="A240" s="171"/>
      <c r="B240" s="422">
        <v>11</v>
      </c>
      <c r="C240" s="850" t="str">
        <f t="shared" si="134"/>
        <v>** NOT USED **</v>
      </c>
      <c r="D240" s="851" t="e">
        <f>IF(C240&lt;&gt;"",#REF!,"")</f>
        <v>#REF!</v>
      </c>
      <c r="E240" s="852"/>
      <c r="F240" s="232"/>
      <c r="G240" s="86" t="str">
        <f t="shared" ref="G240:G249" si="159">IF(F240&lt;&gt;"",F240+1,"")</f>
        <v/>
      </c>
      <c r="H240" s="241"/>
      <c r="I240" s="241"/>
      <c r="J240" s="241"/>
      <c r="K240" s="346">
        <f t="shared" si="135"/>
        <v>1</v>
      </c>
      <c r="L240" s="346">
        <f t="shared" si="136"/>
        <v>0</v>
      </c>
      <c r="M240" s="346">
        <f t="shared" si="140"/>
        <v>0</v>
      </c>
      <c r="N240" s="359">
        <f>D337</f>
        <v>0</v>
      </c>
      <c r="O240" s="359">
        <f>E337</f>
        <v>0</v>
      </c>
      <c r="P240" s="359">
        <f>F337</f>
        <v>0</v>
      </c>
      <c r="Q240" s="359">
        <f>G337</f>
        <v>0</v>
      </c>
      <c r="R240" s="359">
        <f>H337</f>
        <v>0</v>
      </c>
      <c r="S240" s="359">
        <f t="shared" ref="S240" si="160">I337</f>
        <v>0</v>
      </c>
      <c r="T240" s="443">
        <f>D338</f>
        <v>0</v>
      </c>
      <c r="U240" s="443">
        <f>E338</f>
        <v>0</v>
      </c>
      <c r="V240" s="443">
        <f>F338</f>
        <v>0</v>
      </c>
      <c r="W240" s="443">
        <f>G338</f>
        <v>0</v>
      </c>
      <c r="X240" s="443">
        <f>H338</f>
        <v>0</v>
      </c>
      <c r="Y240" s="443">
        <f t="shared" ref="Y240" si="161">I338</f>
        <v>0</v>
      </c>
    </row>
    <row r="241" spans="1:27" outlineLevel="2" x14ac:dyDescent="0.2">
      <c r="A241" s="171"/>
      <c r="B241" s="422">
        <v>12</v>
      </c>
      <c r="C241" s="850" t="str">
        <f t="shared" si="134"/>
        <v>** NOT USED **</v>
      </c>
      <c r="D241" s="851" t="e">
        <f>IF(C241&lt;&gt;"",#REF!,"")</f>
        <v>#REF!</v>
      </c>
      <c r="E241" s="852"/>
      <c r="F241" s="232"/>
      <c r="G241" s="86" t="str">
        <f t="shared" si="159"/>
        <v/>
      </c>
      <c r="H241" s="241"/>
      <c r="I241" s="241"/>
      <c r="J241" s="241"/>
      <c r="K241" s="346">
        <f t="shared" si="135"/>
        <v>1</v>
      </c>
      <c r="L241" s="346">
        <f t="shared" si="136"/>
        <v>0</v>
      </c>
      <c r="M241" s="346">
        <f t="shared" si="140"/>
        <v>0</v>
      </c>
      <c r="N241" s="359">
        <f>D345</f>
        <v>0</v>
      </c>
      <c r="O241" s="359">
        <f>E345</f>
        <v>0</v>
      </c>
      <c r="P241" s="359">
        <f>F345</f>
        <v>0</v>
      </c>
      <c r="Q241" s="359">
        <f>G345</f>
        <v>0</v>
      </c>
      <c r="R241" s="359">
        <f>H345</f>
        <v>0</v>
      </c>
      <c r="S241" s="359">
        <f t="shared" ref="S241" si="162">I345</f>
        <v>0</v>
      </c>
      <c r="T241" s="443">
        <f>D346</f>
        <v>0</v>
      </c>
      <c r="U241" s="443">
        <f>E346</f>
        <v>0</v>
      </c>
      <c r="V241" s="443">
        <f>F346</f>
        <v>0</v>
      </c>
      <c r="W241" s="443">
        <f>G346</f>
        <v>0</v>
      </c>
      <c r="X241" s="443">
        <f>H346</f>
        <v>0</v>
      </c>
      <c r="Y241" s="443">
        <f t="shared" ref="Y241" si="163">I346</f>
        <v>0</v>
      </c>
    </row>
    <row r="242" spans="1:27" outlineLevel="2" x14ac:dyDescent="0.2">
      <c r="A242" s="171"/>
      <c r="B242" s="422">
        <v>13</v>
      </c>
      <c r="C242" s="850" t="str">
        <f t="shared" si="134"/>
        <v>** NOT USED **</v>
      </c>
      <c r="D242" s="851" t="e">
        <f>IF(C242&lt;&gt;"",#REF!,"")</f>
        <v>#REF!</v>
      </c>
      <c r="E242" s="852"/>
      <c r="F242" s="232"/>
      <c r="G242" s="86" t="str">
        <f t="shared" si="159"/>
        <v/>
      </c>
      <c r="H242" s="241"/>
      <c r="I242" s="241"/>
      <c r="J242" s="241"/>
      <c r="K242" s="346">
        <f t="shared" si="135"/>
        <v>1</v>
      </c>
      <c r="L242" s="346">
        <f t="shared" si="136"/>
        <v>0</v>
      </c>
      <c r="M242" s="346">
        <f t="shared" si="140"/>
        <v>0</v>
      </c>
      <c r="N242" s="359">
        <f>D353</f>
        <v>0</v>
      </c>
      <c r="O242" s="359">
        <f>E353</f>
        <v>0</v>
      </c>
      <c r="P242" s="359">
        <f>F353</f>
        <v>0</v>
      </c>
      <c r="Q242" s="359">
        <f>G353</f>
        <v>0</v>
      </c>
      <c r="R242" s="359">
        <f>H353</f>
        <v>0</v>
      </c>
      <c r="S242" s="359">
        <f t="shared" ref="S242" si="164">I353</f>
        <v>0</v>
      </c>
      <c r="T242" s="443">
        <f>D354</f>
        <v>0</v>
      </c>
      <c r="U242" s="443">
        <f>E354</f>
        <v>0</v>
      </c>
      <c r="V242" s="443">
        <f>F354</f>
        <v>0</v>
      </c>
      <c r="W242" s="443">
        <f>G354</f>
        <v>0</v>
      </c>
      <c r="X242" s="443">
        <f>H354</f>
        <v>0</v>
      </c>
      <c r="Y242" s="443">
        <f t="shared" ref="Y242" si="165">I354</f>
        <v>0</v>
      </c>
    </row>
    <row r="243" spans="1:27" outlineLevel="2" x14ac:dyDescent="0.2">
      <c r="A243" s="171"/>
      <c r="B243" s="422">
        <v>14</v>
      </c>
      <c r="C243" s="850" t="str">
        <f t="shared" si="134"/>
        <v>** NOT USED **</v>
      </c>
      <c r="D243" s="851" t="e">
        <f>IF(C243&lt;&gt;"",#REF!,"")</f>
        <v>#REF!</v>
      </c>
      <c r="E243" s="852"/>
      <c r="F243" s="232"/>
      <c r="G243" s="86" t="str">
        <f t="shared" si="159"/>
        <v/>
      </c>
      <c r="H243" s="241"/>
      <c r="I243" s="241"/>
      <c r="J243" s="241"/>
      <c r="K243" s="346">
        <f t="shared" si="135"/>
        <v>1</v>
      </c>
      <c r="L243" s="346">
        <f t="shared" si="136"/>
        <v>0</v>
      </c>
      <c r="M243" s="346">
        <f t="shared" si="140"/>
        <v>0</v>
      </c>
      <c r="N243" s="359">
        <f>D361</f>
        <v>0</v>
      </c>
      <c r="O243" s="359">
        <f>E361</f>
        <v>0</v>
      </c>
      <c r="P243" s="359">
        <f>F361</f>
        <v>0</v>
      </c>
      <c r="Q243" s="359">
        <f>G361</f>
        <v>0</v>
      </c>
      <c r="R243" s="359">
        <f>H361</f>
        <v>0</v>
      </c>
      <c r="S243" s="359">
        <f t="shared" ref="S243" si="166">I361</f>
        <v>0</v>
      </c>
      <c r="T243" s="443">
        <f>D362</f>
        <v>0</v>
      </c>
      <c r="U243" s="443">
        <f>E362</f>
        <v>0</v>
      </c>
      <c r="V243" s="443">
        <f>F362</f>
        <v>0</v>
      </c>
      <c r="W243" s="443">
        <f>G362</f>
        <v>0</v>
      </c>
      <c r="X243" s="443">
        <f>H362</f>
        <v>0</v>
      </c>
      <c r="Y243" s="443">
        <f t="shared" ref="Y243" si="167">I362</f>
        <v>0</v>
      </c>
    </row>
    <row r="244" spans="1:27" outlineLevel="2" x14ac:dyDescent="0.2">
      <c r="A244" s="171"/>
      <c r="B244" s="422">
        <v>15</v>
      </c>
      <c r="C244" s="850" t="str">
        <f t="shared" si="134"/>
        <v>** NOT USED **</v>
      </c>
      <c r="D244" s="851" t="e">
        <f>IF(C244&lt;&gt;"",#REF!,"")</f>
        <v>#REF!</v>
      </c>
      <c r="E244" s="852"/>
      <c r="F244" s="232"/>
      <c r="G244" s="86" t="str">
        <f t="shared" si="159"/>
        <v/>
      </c>
      <c r="H244" s="241"/>
      <c r="I244" s="241"/>
      <c r="J244" s="241"/>
      <c r="K244" s="346">
        <f t="shared" si="135"/>
        <v>1</v>
      </c>
      <c r="L244" s="346">
        <f t="shared" si="136"/>
        <v>0</v>
      </c>
      <c r="M244" s="346">
        <f t="shared" si="140"/>
        <v>0</v>
      </c>
      <c r="N244" s="359">
        <f>D369</f>
        <v>0</v>
      </c>
      <c r="O244" s="359">
        <f>E369</f>
        <v>0</v>
      </c>
      <c r="P244" s="359">
        <f>F369</f>
        <v>0</v>
      </c>
      <c r="Q244" s="359">
        <f>G369</f>
        <v>0</v>
      </c>
      <c r="R244" s="359">
        <f>H369</f>
        <v>0</v>
      </c>
      <c r="S244" s="359">
        <f t="shared" ref="S244" si="168">I369</f>
        <v>0</v>
      </c>
      <c r="T244" s="443">
        <f>D370</f>
        <v>0</v>
      </c>
      <c r="U244" s="443">
        <f>E370</f>
        <v>0</v>
      </c>
      <c r="V244" s="443">
        <f>F370</f>
        <v>0</v>
      </c>
      <c r="W244" s="443">
        <f>G370</f>
        <v>0</v>
      </c>
      <c r="X244" s="443">
        <f>H370</f>
        <v>0</v>
      </c>
      <c r="Y244" s="443">
        <f t="shared" ref="Y244" si="169">I370</f>
        <v>0</v>
      </c>
    </row>
    <row r="245" spans="1:27" outlineLevel="2" x14ac:dyDescent="0.2">
      <c r="A245" s="171"/>
      <c r="B245" s="422">
        <v>16</v>
      </c>
      <c r="C245" s="850" t="str">
        <f t="shared" si="134"/>
        <v>** NOT USED **</v>
      </c>
      <c r="D245" s="851" t="e">
        <f>IF(C245&lt;&gt;"",#REF!,"")</f>
        <v>#REF!</v>
      </c>
      <c r="E245" s="852"/>
      <c r="F245" s="232"/>
      <c r="G245" s="86" t="str">
        <f t="shared" si="159"/>
        <v/>
      </c>
      <c r="H245" s="241"/>
      <c r="I245" s="241"/>
      <c r="J245" s="241"/>
      <c r="K245" s="346">
        <f t="shared" si="135"/>
        <v>1</v>
      </c>
      <c r="L245" s="346">
        <f t="shared" si="136"/>
        <v>0</v>
      </c>
      <c r="M245" s="346">
        <f t="shared" si="140"/>
        <v>0</v>
      </c>
      <c r="N245" s="359">
        <f>D377</f>
        <v>0</v>
      </c>
      <c r="O245" s="359">
        <f>E377</f>
        <v>0</v>
      </c>
      <c r="P245" s="359">
        <f>F377</f>
        <v>0</v>
      </c>
      <c r="Q245" s="359">
        <f>G377</f>
        <v>0</v>
      </c>
      <c r="R245" s="359">
        <f>H377</f>
        <v>0</v>
      </c>
      <c r="S245" s="359">
        <f t="shared" ref="S245" si="170">I377</f>
        <v>0</v>
      </c>
      <c r="T245" s="443">
        <f>D378</f>
        <v>0</v>
      </c>
      <c r="U245" s="443">
        <f>E378</f>
        <v>0</v>
      </c>
      <c r="V245" s="443">
        <f>F378</f>
        <v>0</v>
      </c>
      <c r="W245" s="443">
        <f>G378</f>
        <v>0</v>
      </c>
      <c r="X245" s="443">
        <f>H378</f>
        <v>0</v>
      </c>
      <c r="Y245" s="443">
        <f t="shared" ref="Y245" si="171">I378</f>
        <v>0</v>
      </c>
    </row>
    <row r="246" spans="1:27" outlineLevel="2" x14ac:dyDescent="0.2">
      <c r="A246" s="171"/>
      <c r="B246" s="422">
        <v>17</v>
      </c>
      <c r="C246" s="850" t="str">
        <f t="shared" si="134"/>
        <v>** NOT USED **</v>
      </c>
      <c r="D246" s="851" t="e">
        <f>IF(C246&lt;&gt;"",#REF!,"")</f>
        <v>#REF!</v>
      </c>
      <c r="E246" s="852"/>
      <c r="F246" s="232"/>
      <c r="G246" s="86" t="str">
        <f t="shared" si="159"/>
        <v/>
      </c>
      <c r="H246" s="241"/>
      <c r="I246" s="241"/>
      <c r="J246" s="241"/>
      <c r="K246" s="346">
        <f t="shared" si="135"/>
        <v>1</v>
      </c>
      <c r="L246" s="346">
        <f t="shared" si="136"/>
        <v>0</v>
      </c>
      <c r="M246" s="346">
        <f t="shared" si="140"/>
        <v>0</v>
      </c>
      <c r="N246" s="359">
        <f>D385</f>
        <v>0</v>
      </c>
      <c r="O246" s="359">
        <f>E385</f>
        <v>0</v>
      </c>
      <c r="P246" s="359">
        <f>F385</f>
        <v>0</v>
      </c>
      <c r="Q246" s="359">
        <f>G385</f>
        <v>0</v>
      </c>
      <c r="R246" s="359">
        <f>H385</f>
        <v>0</v>
      </c>
      <c r="S246" s="359">
        <f t="shared" ref="S246" si="172">I385</f>
        <v>0</v>
      </c>
      <c r="T246" s="443">
        <f>D386</f>
        <v>0</v>
      </c>
      <c r="U246" s="443">
        <f>E386</f>
        <v>0</v>
      </c>
      <c r="V246" s="443">
        <f>F386</f>
        <v>0</v>
      </c>
      <c r="W246" s="443">
        <f>G386</f>
        <v>0</v>
      </c>
      <c r="X246" s="443">
        <f>H386</f>
        <v>0</v>
      </c>
      <c r="Y246" s="443">
        <f t="shared" ref="Y246" si="173">I386</f>
        <v>0</v>
      </c>
    </row>
    <row r="247" spans="1:27" outlineLevel="2" x14ac:dyDescent="0.2">
      <c r="A247" s="171"/>
      <c r="B247" s="422">
        <v>18</v>
      </c>
      <c r="C247" s="850" t="str">
        <f t="shared" si="134"/>
        <v>** NOT USED **</v>
      </c>
      <c r="D247" s="851" t="e">
        <f>IF(C247&lt;&gt;"",#REF!,"")</f>
        <v>#REF!</v>
      </c>
      <c r="E247" s="852"/>
      <c r="F247" s="232"/>
      <c r="G247" s="86" t="str">
        <f t="shared" si="159"/>
        <v/>
      </c>
      <c r="H247" s="241"/>
      <c r="I247" s="241"/>
      <c r="J247" s="241"/>
      <c r="K247" s="346">
        <f t="shared" si="135"/>
        <v>1</v>
      </c>
      <c r="L247" s="346">
        <f t="shared" si="136"/>
        <v>0</v>
      </c>
      <c r="M247" s="346">
        <f t="shared" si="140"/>
        <v>0</v>
      </c>
      <c r="N247" s="359">
        <f>D393</f>
        <v>0</v>
      </c>
      <c r="O247" s="359">
        <f>E393</f>
        <v>0</v>
      </c>
      <c r="P247" s="359">
        <f>F393</f>
        <v>0</v>
      </c>
      <c r="Q247" s="359">
        <f>G393</f>
        <v>0</v>
      </c>
      <c r="R247" s="359">
        <f>H393</f>
        <v>0</v>
      </c>
      <c r="S247" s="359">
        <f t="shared" ref="S247" si="174">I393</f>
        <v>0</v>
      </c>
      <c r="T247" s="443">
        <f>D394</f>
        <v>0</v>
      </c>
      <c r="U247" s="443">
        <f>E394</f>
        <v>0</v>
      </c>
      <c r="V247" s="443">
        <f>F394</f>
        <v>0</v>
      </c>
      <c r="W247" s="443">
        <f>G394</f>
        <v>0</v>
      </c>
      <c r="X247" s="443">
        <f>H394</f>
        <v>0</v>
      </c>
      <c r="Y247" s="443">
        <f t="shared" ref="Y247" si="175">I394</f>
        <v>0</v>
      </c>
    </row>
    <row r="248" spans="1:27" outlineLevel="2" x14ac:dyDescent="0.2">
      <c r="A248" s="171"/>
      <c r="B248" s="422">
        <v>19</v>
      </c>
      <c r="C248" s="850" t="str">
        <f t="shared" si="134"/>
        <v>** NOT USED **</v>
      </c>
      <c r="D248" s="851" t="e">
        <f>IF(C248&lt;&gt;"",#REF!,"")</f>
        <v>#REF!</v>
      </c>
      <c r="E248" s="852"/>
      <c r="F248" s="232"/>
      <c r="G248" s="86" t="str">
        <f t="shared" si="159"/>
        <v/>
      </c>
      <c r="H248" s="241"/>
      <c r="I248" s="241"/>
      <c r="J248" s="241"/>
      <c r="K248" s="346">
        <f t="shared" si="135"/>
        <v>1</v>
      </c>
      <c r="L248" s="346">
        <f t="shared" si="136"/>
        <v>0</v>
      </c>
      <c r="M248" s="346">
        <f t="shared" si="140"/>
        <v>0</v>
      </c>
      <c r="N248" s="359">
        <f>D401</f>
        <v>0</v>
      </c>
      <c r="O248" s="359">
        <f>E401</f>
        <v>0</v>
      </c>
      <c r="P248" s="359">
        <f>F401</f>
        <v>0</v>
      </c>
      <c r="Q248" s="359">
        <f>G401</f>
        <v>0</v>
      </c>
      <c r="R248" s="359">
        <f>H401</f>
        <v>0</v>
      </c>
      <c r="S248" s="359">
        <f t="shared" ref="S248" si="176">I401</f>
        <v>0</v>
      </c>
      <c r="T248" s="443">
        <f>D402</f>
        <v>0</v>
      </c>
      <c r="U248" s="443">
        <f>E402</f>
        <v>0</v>
      </c>
      <c r="V248" s="443">
        <f>F402</f>
        <v>0</v>
      </c>
      <c r="W248" s="443">
        <f>G402</f>
        <v>0</v>
      </c>
      <c r="X248" s="443">
        <f>H402</f>
        <v>0</v>
      </c>
      <c r="Y248" s="443">
        <f t="shared" ref="Y248" si="177">I402</f>
        <v>0</v>
      </c>
    </row>
    <row r="249" spans="1:27" outlineLevel="2" x14ac:dyDescent="0.2">
      <c r="A249" s="171"/>
      <c r="B249" s="422">
        <v>20</v>
      </c>
      <c r="C249" s="850" t="str">
        <f t="shared" si="134"/>
        <v>** NOT USED **</v>
      </c>
      <c r="D249" s="851" t="e">
        <f>IF(C249&lt;&gt;"",#REF!,"")</f>
        <v>#REF!</v>
      </c>
      <c r="E249" s="852"/>
      <c r="F249" s="232"/>
      <c r="G249" s="86" t="str">
        <f t="shared" si="159"/>
        <v/>
      </c>
      <c r="H249" s="241"/>
      <c r="I249" s="241"/>
      <c r="J249" s="241"/>
      <c r="K249" s="346">
        <f t="shared" si="135"/>
        <v>1</v>
      </c>
      <c r="L249" s="346">
        <f t="shared" si="136"/>
        <v>0</v>
      </c>
      <c r="M249" s="346">
        <f t="shared" si="140"/>
        <v>0</v>
      </c>
      <c r="N249" s="359">
        <f>D409</f>
        <v>0</v>
      </c>
      <c r="O249" s="359">
        <f>E409</f>
        <v>0</v>
      </c>
      <c r="P249" s="359">
        <f>F409</f>
        <v>0</v>
      </c>
      <c r="Q249" s="359">
        <f>G409</f>
        <v>0</v>
      </c>
      <c r="R249" s="359">
        <f>H409</f>
        <v>0</v>
      </c>
      <c r="S249" s="359">
        <f t="shared" ref="S249" si="178">I409</f>
        <v>0</v>
      </c>
      <c r="T249" s="443">
        <f>D410</f>
        <v>0</v>
      </c>
      <c r="U249" s="443">
        <f>E410</f>
        <v>0</v>
      </c>
      <c r="V249" s="443">
        <f>F410</f>
        <v>0</v>
      </c>
      <c r="W249" s="443">
        <f>G410</f>
        <v>0</v>
      </c>
      <c r="X249" s="443">
        <f>H410</f>
        <v>0</v>
      </c>
      <c r="Y249" s="443">
        <f t="shared" ref="Y249" si="179">I410</f>
        <v>0</v>
      </c>
    </row>
    <row r="250" spans="1:27" ht="14.25" outlineLevel="2" x14ac:dyDescent="0.2">
      <c r="A250" s="220"/>
      <c r="B250" s="220"/>
      <c r="C250" s="220"/>
      <c r="D250" s="220"/>
      <c r="E250" s="220"/>
      <c r="F250" s="220"/>
      <c r="G250" s="220"/>
      <c r="H250" s="210"/>
      <c r="I250" s="502"/>
      <c r="J250" s="220"/>
      <c r="K250" s="220"/>
      <c r="L250" s="502"/>
      <c r="M250" s="220"/>
      <c r="N250" s="220"/>
      <c r="O250" s="220"/>
      <c r="P250" s="220"/>
    </row>
    <row r="251" spans="1:27" outlineLevel="1" x14ac:dyDescent="0.2">
      <c r="A251" s="220"/>
      <c r="B251" s="220"/>
      <c r="C251" s="220"/>
      <c r="D251" s="6"/>
      <c r="E251" s="220"/>
      <c r="F251" s="220"/>
      <c r="G251" s="220"/>
      <c r="H251" s="220"/>
      <c r="I251" s="220"/>
      <c r="J251" s="220"/>
      <c r="K251" s="220"/>
      <c r="L251" s="220"/>
      <c r="M251" s="220"/>
      <c r="N251" s="220"/>
    </row>
    <row r="252" spans="1:27" ht="15" outlineLevel="1" x14ac:dyDescent="0.2">
      <c r="A252" s="220"/>
      <c r="B252" s="422">
        <v>1</v>
      </c>
      <c r="C252" s="221" t="str">
        <f>INDEX(PBSScriptsChanged,B252,1)</f>
        <v>** NOT USED **</v>
      </c>
      <c r="D252" s="207"/>
      <c r="E252" s="207"/>
      <c r="F252" s="207"/>
      <c r="G252" s="207"/>
      <c r="H252" s="207"/>
      <c r="I252" s="207"/>
      <c r="J252" s="207"/>
      <c r="K252" s="207"/>
      <c r="L252" s="189"/>
      <c r="M252" s="189"/>
      <c r="N252" s="189"/>
      <c r="O252" s="178"/>
      <c r="P252" s="178"/>
      <c r="Q252" s="178"/>
      <c r="R252" s="178"/>
      <c r="S252" s="178"/>
      <c r="T252" s="178"/>
      <c r="U252" s="178"/>
      <c r="V252" s="178"/>
      <c r="W252" s="178"/>
      <c r="X252" s="178"/>
      <c r="Y252" s="178"/>
      <c r="Z252" s="178"/>
      <c r="AA252" s="178"/>
    </row>
    <row r="253" spans="1:27" outlineLevel="2" x14ac:dyDescent="0.2">
      <c r="A253" s="220"/>
      <c r="B253" s="220"/>
      <c r="C253" s="503"/>
      <c r="D253" s="545">
        <v>2</v>
      </c>
      <c r="E253" s="545">
        <v>3</v>
      </c>
      <c r="F253" s="545">
        <v>4</v>
      </c>
      <c r="G253" s="545">
        <v>5</v>
      </c>
      <c r="H253" s="545">
        <v>6</v>
      </c>
      <c r="I253" s="545">
        <v>7</v>
      </c>
      <c r="J253" s="545"/>
      <c r="K253" s="503"/>
      <c r="L253" s="503"/>
      <c r="M253" s="503"/>
      <c r="N253" s="503"/>
    </row>
    <row r="254" spans="1:27" outlineLevel="2" x14ac:dyDescent="0.2">
      <c r="A254" s="220"/>
      <c r="B254" s="220"/>
      <c r="C254" s="220"/>
      <c r="D254" s="112">
        <f>FirstYear</f>
        <v>0</v>
      </c>
      <c r="E254" s="112">
        <f>D254+1</f>
        <v>1</v>
      </c>
      <c r="F254" s="112">
        <f>E254+1</f>
        <v>2</v>
      </c>
      <c r="G254" s="112">
        <f>F254+1</f>
        <v>3</v>
      </c>
      <c r="H254" s="112">
        <f>G254+1</f>
        <v>4</v>
      </c>
      <c r="I254" s="112">
        <f>H254+1</f>
        <v>5</v>
      </c>
      <c r="J254" s="220"/>
      <c r="K254" s="220"/>
      <c r="L254" s="220"/>
      <c r="M254" s="220"/>
      <c r="N254" s="220"/>
    </row>
    <row r="255" spans="1:27" outlineLevel="2" x14ac:dyDescent="0.2">
      <c r="A255" s="220"/>
      <c r="B255" s="220"/>
      <c r="C255" s="258" t="s">
        <v>140</v>
      </c>
      <c r="D255" s="259">
        <f t="shared" ref="D255:I255" si="180">INDEX(PBSScriptsChanged,$B252,D253)</f>
        <v>0</v>
      </c>
      <c r="E255" s="259">
        <f t="shared" si="180"/>
        <v>0</v>
      </c>
      <c r="F255" s="259">
        <f t="shared" si="180"/>
        <v>0</v>
      </c>
      <c r="G255" s="259">
        <f t="shared" si="180"/>
        <v>0</v>
      </c>
      <c r="H255" s="259">
        <f t="shared" si="180"/>
        <v>0</v>
      </c>
      <c r="I255" s="259">
        <f t="shared" si="180"/>
        <v>0</v>
      </c>
      <c r="J255" s="220"/>
      <c r="K255" s="220"/>
      <c r="L255" s="6"/>
      <c r="M255" s="6"/>
      <c r="N255" s="260"/>
    </row>
    <row r="256" spans="1:27" outlineLevel="2" x14ac:dyDescent="0.2">
      <c r="A256" s="220"/>
      <c r="B256" s="220"/>
      <c r="C256" s="258" t="s">
        <v>141</v>
      </c>
      <c r="D256" s="259">
        <f t="shared" ref="D256:I256" si="181">INDEX(RPBSScriptsChanged,$B252,D253)</f>
        <v>0</v>
      </c>
      <c r="E256" s="259">
        <f t="shared" si="181"/>
        <v>0</v>
      </c>
      <c r="F256" s="259">
        <f t="shared" si="181"/>
        <v>0</v>
      </c>
      <c r="G256" s="259">
        <f t="shared" si="181"/>
        <v>0</v>
      </c>
      <c r="H256" s="259">
        <f t="shared" si="181"/>
        <v>0</v>
      </c>
      <c r="I256" s="259">
        <f t="shared" si="181"/>
        <v>0</v>
      </c>
      <c r="J256" s="220"/>
      <c r="K256" s="220"/>
      <c r="L256" s="6"/>
      <c r="M256" s="6"/>
      <c r="N256" s="6"/>
    </row>
    <row r="257" spans="1:27" outlineLevel="2" x14ac:dyDescent="0.2">
      <c r="A257" s="220"/>
      <c r="B257" s="220"/>
      <c r="C257" s="242" t="s">
        <v>142</v>
      </c>
      <c r="D257" s="259">
        <f t="shared" ref="D257:I257" si="182">IF(INDEX(SAChanged,$B252,7)&gt;0,ROUND(D255/INDEX(SAChanged,$B252,2),0),0)</f>
        <v>0</v>
      </c>
      <c r="E257" s="259">
        <f t="shared" si="182"/>
        <v>0</v>
      </c>
      <c r="F257" s="259">
        <f t="shared" si="182"/>
        <v>0</v>
      </c>
      <c r="G257" s="259">
        <f t="shared" si="182"/>
        <v>0</v>
      </c>
      <c r="H257" s="259">
        <f t="shared" si="182"/>
        <v>0</v>
      </c>
      <c r="I257" s="259">
        <f t="shared" si="182"/>
        <v>0</v>
      </c>
      <c r="J257" s="220"/>
      <c r="L257" s="205"/>
      <c r="M257" s="6"/>
    </row>
    <row r="258" spans="1:27" outlineLevel="2" x14ac:dyDescent="0.2">
      <c r="A258" s="220"/>
      <c r="B258" s="220"/>
      <c r="C258" s="242" t="s">
        <v>143</v>
      </c>
      <c r="D258" s="259">
        <f t="shared" ref="D258:I258" si="183">IF(INDEX(SAChanged,$B252,7)&gt;0,ROUND(D256/INDEX(SAChanged,$B252,2),0),0)</f>
        <v>0</v>
      </c>
      <c r="E258" s="259">
        <f t="shared" si="183"/>
        <v>0</v>
      </c>
      <c r="F258" s="259">
        <f t="shared" si="183"/>
        <v>0</v>
      </c>
      <c r="G258" s="259">
        <f t="shared" si="183"/>
        <v>0</v>
      </c>
      <c r="H258" s="259">
        <f t="shared" si="183"/>
        <v>0</v>
      </c>
      <c r="I258" s="259">
        <f t="shared" si="183"/>
        <v>0</v>
      </c>
      <c r="J258" s="220"/>
      <c r="L258" s="205"/>
      <c r="M258" s="6"/>
    </row>
    <row r="259" spans="1:27" outlineLevel="1" x14ac:dyDescent="0.2">
      <c r="A259" s="220"/>
      <c r="B259" s="220"/>
      <c r="C259" s="248"/>
      <c r="D259" s="63"/>
      <c r="E259" s="261"/>
      <c r="F259" s="261"/>
      <c r="G259" s="261"/>
      <c r="H259" s="261"/>
      <c r="I259" s="261"/>
      <c r="J259" s="261"/>
      <c r="K259" s="261"/>
      <c r="L259" s="6"/>
      <c r="M259" s="6"/>
      <c r="N259" s="6"/>
    </row>
    <row r="260" spans="1:27" ht="15" outlineLevel="1" x14ac:dyDescent="0.2">
      <c r="A260" s="220"/>
      <c r="B260" s="422">
        <v>2</v>
      </c>
      <c r="C260" s="221" t="str">
        <f>INDEX(PBSScriptsChanged,B260,1)</f>
        <v>** NOT USED **</v>
      </c>
      <c r="D260" s="207"/>
      <c r="E260" s="207"/>
      <c r="F260" s="207"/>
      <c r="G260" s="207"/>
      <c r="H260" s="207"/>
      <c r="I260" s="207"/>
      <c r="J260" s="207"/>
      <c r="K260" s="207"/>
      <c r="L260" s="189"/>
      <c r="M260" s="189"/>
      <c r="N260" s="189"/>
      <c r="O260" s="178"/>
      <c r="P260" s="178"/>
      <c r="Q260" s="178"/>
      <c r="R260" s="178"/>
      <c r="S260" s="178"/>
      <c r="T260" s="178"/>
      <c r="U260" s="178"/>
      <c r="V260" s="178"/>
      <c r="W260" s="178"/>
      <c r="X260" s="178"/>
      <c r="Y260" s="178"/>
      <c r="Z260" s="178"/>
      <c r="AA260" s="178"/>
    </row>
    <row r="261" spans="1:27" outlineLevel="2" x14ac:dyDescent="0.2">
      <c r="A261" s="220"/>
      <c r="B261" s="220"/>
      <c r="C261" s="503"/>
      <c r="D261" s="545">
        <v>2</v>
      </c>
      <c r="E261" s="545">
        <v>3</v>
      </c>
      <c r="F261" s="545">
        <v>4</v>
      </c>
      <c r="G261" s="545">
        <v>5</v>
      </c>
      <c r="H261" s="545">
        <v>6</v>
      </c>
      <c r="I261" s="545">
        <v>7</v>
      </c>
      <c r="J261" s="545"/>
      <c r="K261" s="503"/>
      <c r="L261" s="503"/>
      <c r="M261" s="503"/>
      <c r="N261" s="503"/>
    </row>
    <row r="262" spans="1:27" outlineLevel="2" x14ac:dyDescent="0.2">
      <c r="A262" s="220"/>
      <c r="B262" s="220"/>
      <c r="C262" s="220"/>
      <c r="D262" s="112">
        <f>FirstYear</f>
        <v>0</v>
      </c>
      <c r="E262" s="112">
        <f>D262+1</f>
        <v>1</v>
      </c>
      <c r="F262" s="112">
        <f>E262+1</f>
        <v>2</v>
      </c>
      <c r="G262" s="112">
        <f>F262+1</f>
        <v>3</v>
      </c>
      <c r="H262" s="112">
        <f>G262+1</f>
        <v>4</v>
      </c>
      <c r="I262" s="112">
        <f>H262+1</f>
        <v>5</v>
      </c>
      <c r="J262" s="220"/>
      <c r="K262" s="220"/>
      <c r="L262" s="220"/>
      <c r="M262" s="220"/>
      <c r="N262" s="220"/>
    </row>
    <row r="263" spans="1:27" outlineLevel="2" x14ac:dyDescent="0.2">
      <c r="A263" s="220"/>
      <c r="B263" s="220"/>
      <c r="C263" s="258" t="s">
        <v>140</v>
      </c>
      <c r="D263" s="259">
        <f t="shared" ref="D263:I263" si="184">INDEX(PBSScriptsChanged,$B260,D261)</f>
        <v>0</v>
      </c>
      <c r="E263" s="259">
        <f t="shared" si="184"/>
        <v>0</v>
      </c>
      <c r="F263" s="259">
        <f t="shared" si="184"/>
        <v>0</v>
      </c>
      <c r="G263" s="259">
        <f t="shared" si="184"/>
        <v>0</v>
      </c>
      <c r="H263" s="259">
        <f t="shared" si="184"/>
        <v>0</v>
      </c>
      <c r="I263" s="259">
        <f t="shared" si="184"/>
        <v>0</v>
      </c>
      <c r="J263" s="220"/>
      <c r="K263" s="220"/>
      <c r="L263" s="6"/>
      <c r="M263" s="6"/>
      <c r="N263" s="6"/>
    </row>
    <row r="264" spans="1:27" outlineLevel="2" x14ac:dyDescent="0.2">
      <c r="A264" s="220"/>
      <c r="B264" s="220"/>
      <c r="C264" s="258" t="s">
        <v>141</v>
      </c>
      <c r="D264" s="259">
        <f t="shared" ref="D264:I264" si="185">INDEX(RPBSScriptsChanged,$B260,D261)</f>
        <v>0</v>
      </c>
      <c r="E264" s="259">
        <f t="shared" si="185"/>
        <v>0</v>
      </c>
      <c r="F264" s="259">
        <f t="shared" si="185"/>
        <v>0</v>
      </c>
      <c r="G264" s="259">
        <f t="shared" si="185"/>
        <v>0</v>
      </c>
      <c r="H264" s="259">
        <f t="shared" si="185"/>
        <v>0</v>
      </c>
      <c r="I264" s="259">
        <f t="shared" si="185"/>
        <v>0</v>
      </c>
      <c r="J264" s="220"/>
      <c r="K264" s="220"/>
      <c r="L264" s="6"/>
      <c r="M264" s="6"/>
      <c r="N264" s="6"/>
    </row>
    <row r="265" spans="1:27" outlineLevel="2" x14ac:dyDescent="0.2">
      <c r="A265" s="220"/>
      <c r="B265" s="220"/>
      <c r="C265" s="242" t="s">
        <v>142</v>
      </c>
      <c r="D265" s="259">
        <f t="shared" ref="D265:I265" si="186">IF(INDEX(SAChanged,$B260,7)&gt;0,ROUND(D263/INDEX(SAChanged,$B260,2),0),0)</f>
        <v>0</v>
      </c>
      <c r="E265" s="259">
        <f t="shared" si="186"/>
        <v>0</v>
      </c>
      <c r="F265" s="259">
        <f t="shared" si="186"/>
        <v>0</v>
      </c>
      <c r="G265" s="259">
        <f t="shared" si="186"/>
        <v>0</v>
      </c>
      <c r="H265" s="259">
        <f t="shared" si="186"/>
        <v>0</v>
      </c>
      <c r="I265" s="259">
        <f t="shared" si="186"/>
        <v>0</v>
      </c>
      <c r="J265" s="220"/>
      <c r="L265" s="205"/>
      <c r="M265" s="6"/>
    </row>
    <row r="266" spans="1:27" outlineLevel="2" x14ac:dyDescent="0.2">
      <c r="A266" s="220"/>
      <c r="B266" s="220"/>
      <c r="C266" s="242" t="s">
        <v>143</v>
      </c>
      <c r="D266" s="259">
        <f t="shared" ref="D266:I266" si="187">IF(INDEX(SAChanged,$B260,7)&gt;0,ROUND(D264/INDEX(SAChanged,$B260,2),0),0)</f>
        <v>0</v>
      </c>
      <c r="E266" s="259">
        <f t="shared" si="187"/>
        <v>0</v>
      </c>
      <c r="F266" s="259">
        <f t="shared" si="187"/>
        <v>0</v>
      </c>
      <c r="G266" s="259">
        <f t="shared" si="187"/>
        <v>0</v>
      </c>
      <c r="H266" s="259">
        <f t="shared" si="187"/>
        <v>0</v>
      </c>
      <c r="I266" s="259">
        <f t="shared" si="187"/>
        <v>0</v>
      </c>
      <c r="J266" s="220"/>
      <c r="L266" s="205"/>
      <c r="M266" s="6"/>
    </row>
    <row r="267" spans="1:27" outlineLevel="1" x14ac:dyDescent="0.2">
      <c r="A267" s="220"/>
      <c r="B267" s="220"/>
      <c r="C267" s="248"/>
      <c r="D267" s="63"/>
      <c r="E267" s="261"/>
      <c r="F267" s="261"/>
      <c r="G267" s="261"/>
      <c r="H267" s="261"/>
      <c r="I267" s="261"/>
      <c r="J267" s="261"/>
      <c r="K267" s="261"/>
      <c r="L267" s="6"/>
      <c r="M267" s="6"/>
      <c r="N267" s="6"/>
    </row>
    <row r="268" spans="1:27" ht="15" outlineLevel="1" x14ac:dyDescent="0.2">
      <c r="A268" s="220"/>
      <c r="B268" s="422">
        <v>3</v>
      </c>
      <c r="C268" s="221" t="str">
        <f>INDEX(PBSScriptsChanged,B268,1)</f>
        <v>** NOT USED **</v>
      </c>
      <c r="D268" s="207"/>
      <c r="E268" s="207"/>
      <c r="F268" s="207"/>
      <c r="G268" s="207"/>
      <c r="H268" s="207"/>
      <c r="I268" s="207"/>
      <c r="J268" s="207"/>
      <c r="K268" s="207"/>
      <c r="L268" s="189"/>
      <c r="M268" s="189"/>
      <c r="N268" s="189"/>
      <c r="O268" s="178"/>
      <c r="P268" s="178"/>
      <c r="Q268" s="178"/>
      <c r="R268" s="178"/>
      <c r="S268" s="178"/>
      <c r="T268" s="178"/>
      <c r="U268" s="178"/>
      <c r="V268" s="178"/>
      <c r="W268" s="178"/>
      <c r="X268" s="178"/>
      <c r="Y268" s="178"/>
      <c r="Z268" s="178"/>
      <c r="AA268" s="178"/>
    </row>
    <row r="269" spans="1:27" outlineLevel="2" x14ac:dyDescent="0.2">
      <c r="A269" s="220"/>
      <c r="B269" s="220"/>
      <c r="C269" s="503"/>
      <c r="D269" s="545">
        <v>2</v>
      </c>
      <c r="E269" s="545">
        <v>3</v>
      </c>
      <c r="F269" s="545">
        <v>4</v>
      </c>
      <c r="G269" s="545">
        <v>5</v>
      </c>
      <c r="H269" s="545">
        <v>6</v>
      </c>
      <c r="I269" s="545">
        <v>7</v>
      </c>
      <c r="J269" s="545"/>
      <c r="K269" s="503"/>
      <c r="L269" s="503"/>
      <c r="M269" s="503"/>
      <c r="N269" s="503"/>
    </row>
    <row r="270" spans="1:27" outlineLevel="2" x14ac:dyDescent="0.2">
      <c r="A270" s="220"/>
      <c r="B270" s="220"/>
      <c r="C270" s="220"/>
      <c r="D270" s="112">
        <f>FirstYear</f>
        <v>0</v>
      </c>
      <c r="E270" s="112">
        <f>D270+1</f>
        <v>1</v>
      </c>
      <c r="F270" s="112">
        <f>E270+1</f>
        <v>2</v>
      </c>
      <c r="G270" s="112">
        <f>F270+1</f>
        <v>3</v>
      </c>
      <c r="H270" s="112">
        <f>G270+1</f>
        <v>4</v>
      </c>
      <c r="I270" s="112">
        <f>H270+1</f>
        <v>5</v>
      </c>
      <c r="J270" s="220"/>
      <c r="K270" s="220"/>
      <c r="L270" s="220"/>
      <c r="M270" s="220"/>
      <c r="N270" s="220"/>
    </row>
    <row r="271" spans="1:27" outlineLevel="2" x14ac:dyDescent="0.2">
      <c r="A271" s="220"/>
      <c r="B271" s="220"/>
      <c r="C271" s="258" t="s">
        <v>140</v>
      </c>
      <c r="D271" s="259">
        <f t="shared" ref="D271:I271" si="188">INDEX(PBSScriptsChanged,$B268,D269)</f>
        <v>0</v>
      </c>
      <c r="E271" s="259">
        <f t="shared" si="188"/>
        <v>0</v>
      </c>
      <c r="F271" s="259">
        <f t="shared" si="188"/>
        <v>0</v>
      </c>
      <c r="G271" s="259">
        <f t="shared" si="188"/>
        <v>0</v>
      </c>
      <c r="H271" s="259">
        <f t="shared" si="188"/>
        <v>0</v>
      </c>
      <c r="I271" s="259">
        <f t="shared" si="188"/>
        <v>0</v>
      </c>
      <c r="J271" s="220"/>
      <c r="K271" s="220"/>
      <c r="L271" s="6"/>
      <c r="M271" s="6"/>
      <c r="N271" s="6"/>
    </row>
    <row r="272" spans="1:27" outlineLevel="2" x14ac:dyDescent="0.2">
      <c r="A272" s="220"/>
      <c r="B272" s="220"/>
      <c r="C272" s="258" t="s">
        <v>141</v>
      </c>
      <c r="D272" s="259">
        <f t="shared" ref="D272:I272" si="189">INDEX(RPBSScriptsChanged,$B268,D269)</f>
        <v>0</v>
      </c>
      <c r="E272" s="259">
        <f t="shared" si="189"/>
        <v>0</v>
      </c>
      <c r="F272" s="259">
        <f t="shared" si="189"/>
        <v>0</v>
      </c>
      <c r="G272" s="259">
        <f t="shared" si="189"/>
        <v>0</v>
      </c>
      <c r="H272" s="259">
        <f t="shared" si="189"/>
        <v>0</v>
      </c>
      <c r="I272" s="259">
        <f t="shared" si="189"/>
        <v>0</v>
      </c>
      <c r="J272" s="220"/>
      <c r="K272" s="220"/>
      <c r="L272" s="6"/>
      <c r="M272" s="6"/>
      <c r="N272" s="6"/>
    </row>
    <row r="273" spans="1:27" outlineLevel="2" x14ac:dyDescent="0.2">
      <c r="A273" s="220"/>
      <c r="B273" s="220"/>
      <c r="C273" s="242" t="s">
        <v>142</v>
      </c>
      <c r="D273" s="259">
        <f t="shared" ref="D273:I273" si="190">IF(INDEX(SAChanged,$B268,7)&gt;0,ROUND(D271/INDEX(SAChanged,$B268,2),0),0)</f>
        <v>0</v>
      </c>
      <c r="E273" s="259">
        <f t="shared" si="190"/>
        <v>0</v>
      </c>
      <c r="F273" s="259">
        <f t="shared" si="190"/>
        <v>0</v>
      </c>
      <c r="G273" s="259">
        <f t="shared" si="190"/>
        <v>0</v>
      </c>
      <c r="H273" s="259">
        <f t="shared" si="190"/>
        <v>0</v>
      </c>
      <c r="I273" s="259">
        <f t="shared" si="190"/>
        <v>0</v>
      </c>
      <c r="J273" s="220"/>
      <c r="L273" s="205"/>
      <c r="M273" s="6"/>
    </row>
    <row r="274" spans="1:27" outlineLevel="2" x14ac:dyDescent="0.2">
      <c r="A274" s="220"/>
      <c r="B274" s="220"/>
      <c r="C274" s="242" t="s">
        <v>143</v>
      </c>
      <c r="D274" s="259">
        <f t="shared" ref="D274:I274" si="191">IF(INDEX(SAChanged,$B268,7)&gt;0,ROUND(D272/INDEX(SAChanged,$B268,2),0),0)</f>
        <v>0</v>
      </c>
      <c r="E274" s="259">
        <f t="shared" si="191"/>
        <v>0</v>
      </c>
      <c r="F274" s="259">
        <f t="shared" si="191"/>
        <v>0</v>
      </c>
      <c r="G274" s="259">
        <f t="shared" si="191"/>
        <v>0</v>
      </c>
      <c r="H274" s="259">
        <f t="shared" si="191"/>
        <v>0</v>
      </c>
      <c r="I274" s="259">
        <f t="shared" si="191"/>
        <v>0</v>
      </c>
      <c r="J274" s="220"/>
      <c r="L274" s="205"/>
      <c r="M274" s="6"/>
    </row>
    <row r="275" spans="1:27" outlineLevel="1" x14ac:dyDescent="0.2">
      <c r="A275" s="220"/>
      <c r="B275" s="220"/>
      <c r="C275" s="197"/>
      <c r="D275" s="248"/>
      <c r="E275" s="220"/>
      <c r="F275" s="220"/>
      <c r="G275" s="220"/>
      <c r="H275" s="220"/>
      <c r="I275" s="220"/>
      <c r="J275" s="220"/>
      <c r="K275" s="220"/>
      <c r="L275" s="220"/>
      <c r="M275" s="220"/>
      <c r="N275" s="220"/>
    </row>
    <row r="276" spans="1:27" ht="15" outlineLevel="1" x14ac:dyDescent="0.2">
      <c r="A276" s="220"/>
      <c r="B276" s="422">
        <v>4</v>
      </c>
      <c r="C276" s="221" t="str">
        <f>INDEX(PBSScriptsChanged,B276,1)</f>
        <v>** NOT USED **</v>
      </c>
      <c r="D276" s="207"/>
      <c r="E276" s="207"/>
      <c r="F276" s="207"/>
      <c r="G276" s="207"/>
      <c r="H276" s="207"/>
      <c r="I276" s="207"/>
      <c r="J276" s="207"/>
      <c r="K276" s="207"/>
      <c r="L276" s="189"/>
      <c r="M276" s="189"/>
      <c r="N276" s="189"/>
      <c r="O276" s="178"/>
      <c r="P276" s="178"/>
      <c r="Q276" s="178"/>
      <c r="R276" s="178"/>
      <c r="S276" s="178"/>
      <c r="T276" s="178"/>
      <c r="U276" s="178"/>
      <c r="V276" s="178"/>
      <c r="W276" s="178"/>
      <c r="X276" s="178"/>
      <c r="Y276" s="178"/>
      <c r="Z276" s="178"/>
      <c r="AA276" s="178"/>
    </row>
    <row r="277" spans="1:27" outlineLevel="2" x14ac:dyDescent="0.2">
      <c r="A277" s="220"/>
      <c r="B277" s="220"/>
      <c r="C277" s="503"/>
      <c r="D277" s="545">
        <v>2</v>
      </c>
      <c r="E277" s="545">
        <v>3</v>
      </c>
      <c r="F277" s="545">
        <v>4</v>
      </c>
      <c r="G277" s="545">
        <v>5</v>
      </c>
      <c r="H277" s="545">
        <v>6</v>
      </c>
      <c r="I277" s="545">
        <v>7</v>
      </c>
      <c r="J277" s="545"/>
      <c r="K277" s="503"/>
      <c r="L277" s="503"/>
      <c r="M277" s="503"/>
      <c r="N277" s="503"/>
    </row>
    <row r="278" spans="1:27" outlineLevel="2" x14ac:dyDescent="0.2">
      <c r="A278" s="220"/>
      <c r="B278" s="220"/>
      <c r="C278" s="220"/>
      <c r="D278" s="112">
        <f>FirstYear</f>
        <v>0</v>
      </c>
      <c r="E278" s="112">
        <f>D278+1</f>
        <v>1</v>
      </c>
      <c r="F278" s="112">
        <f>E278+1</f>
        <v>2</v>
      </c>
      <c r="G278" s="112">
        <f>F278+1</f>
        <v>3</v>
      </c>
      <c r="H278" s="112">
        <f>G278+1</f>
        <v>4</v>
      </c>
      <c r="I278" s="112">
        <f>H278+1</f>
        <v>5</v>
      </c>
      <c r="J278" s="220"/>
      <c r="K278" s="220"/>
      <c r="L278" s="220"/>
      <c r="M278" s="220"/>
      <c r="N278" s="220"/>
    </row>
    <row r="279" spans="1:27" outlineLevel="2" x14ac:dyDescent="0.2">
      <c r="A279" s="220"/>
      <c r="B279" s="220"/>
      <c r="C279" s="258" t="s">
        <v>140</v>
      </c>
      <c r="D279" s="259">
        <f t="shared" ref="D279:I279" si="192">INDEX(PBSScriptsChanged,$B276,D277)</f>
        <v>0</v>
      </c>
      <c r="E279" s="259">
        <f t="shared" si="192"/>
        <v>0</v>
      </c>
      <c r="F279" s="259">
        <f t="shared" si="192"/>
        <v>0</v>
      </c>
      <c r="G279" s="259">
        <f t="shared" si="192"/>
        <v>0</v>
      </c>
      <c r="H279" s="259">
        <f t="shared" si="192"/>
        <v>0</v>
      </c>
      <c r="I279" s="259">
        <f t="shared" si="192"/>
        <v>0</v>
      </c>
      <c r="J279" s="220"/>
      <c r="K279" s="220"/>
      <c r="L279" s="6"/>
      <c r="M279" s="6"/>
      <c r="N279" s="6"/>
    </row>
    <row r="280" spans="1:27" outlineLevel="2" x14ac:dyDescent="0.2">
      <c r="A280" s="220"/>
      <c r="B280" s="220"/>
      <c r="C280" s="258" t="s">
        <v>141</v>
      </c>
      <c r="D280" s="259">
        <f t="shared" ref="D280:I280" si="193">INDEX(RPBSScriptsChanged,$B276,D277)</f>
        <v>0</v>
      </c>
      <c r="E280" s="259">
        <f t="shared" si="193"/>
        <v>0</v>
      </c>
      <c r="F280" s="259">
        <f t="shared" si="193"/>
        <v>0</v>
      </c>
      <c r="G280" s="259">
        <f t="shared" si="193"/>
        <v>0</v>
      </c>
      <c r="H280" s="259">
        <f t="shared" si="193"/>
        <v>0</v>
      </c>
      <c r="I280" s="259">
        <f t="shared" si="193"/>
        <v>0</v>
      </c>
      <c r="J280" s="220"/>
      <c r="K280" s="220"/>
      <c r="L280" s="6"/>
      <c r="M280" s="6"/>
      <c r="N280" s="6"/>
    </row>
    <row r="281" spans="1:27" outlineLevel="2" x14ac:dyDescent="0.2">
      <c r="A281" s="220"/>
      <c r="B281" s="220"/>
      <c r="C281" s="242" t="s">
        <v>142</v>
      </c>
      <c r="D281" s="259">
        <f t="shared" ref="D281:I281" si="194">IF(INDEX(SAChanged,$B276,7)&gt;0,ROUND(D279/INDEX(SAChanged,$B276,2),0),0)</f>
        <v>0</v>
      </c>
      <c r="E281" s="259">
        <f t="shared" si="194"/>
        <v>0</v>
      </c>
      <c r="F281" s="259">
        <f t="shared" si="194"/>
        <v>0</v>
      </c>
      <c r="G281" s="259">
        <f t="shared" si="194"/>
        <v>0</v>
      </c>
      <c r="H281" s="259">
        <f t="shared" si="194"/>
        <v>0</v>
      </c>
      <c r="I281" s="259">
        <f t="shared" si="194"/>
        <v>0</v>
      </c>
      <c r="J281" s="220"/>
      <c r="L281" s="205"/>
      <c r="M281" s="6"/>
    </row>
    <row r="282" spans="1:27" outlineLevel="2" x14ac:dyDescent="0.2">
      <c r="A282" s="220"/>
      <c r="B282" s="220"/>
      <c r="C282" s="242" t="s">
        <v>143</v>
      </c>
      <c r="D282" s="259">
        <f t="shared" ref="D282:I282" si="195">IF(INDEX(SAChanged,$B276,7)&gt;0,ROUND(D280/INDEX(SAChanged,$B276,2),0),0)</f>
        <v>0</v>
      </c>
      <c r="E282" s="259">
        <f t="shared" si="195"/>
        <v>0</v>
      </c>
      <c r="F282" s="259">
        <f t="shared" si="195"/>
        <v>0</v>
      </c>
      <c r="G282" s="259">
        <f t="shared" si="195"/>
        <v>0</v>
      </c>
      <c r="H282" s="259">
        <f t="shared" si="195"/>
        <v>0</v>
      </c>
      <c r="I282" s="259">
        <f t="shared" si="195"/>
        <v>0</v>
      </c>
      <c r="J282" s="220"/>
      <c r="L282" s="205"/>
      <c r="M282" s="6"/>
    </row>
    <row r="283" spans="1:27" outlineLevel="1" x14ac:dyDescent="0.2">
      <c r="A283" s="220"/>
      <c r="B283" s="220"/>
      <c r="C283" s="197"/>
      <c r="D283" s="248"/>
      <c r="E283" s="220"/>
      <c r="F283" s="220"/>
      <c r="G283" s="220"/>
      <c r="H283" s="220"/>
      <c r="I283" s="220"/>
      <c r="J283" s="220"/>
      <c r="K283" s="220"/>
      <c r="L283" s="220"/>
      <c r="M283" s="220"/>
      <c r="N283" s="220"/>
    </row>
    <row r="284" spans="1:27" ht="15" outlineLevel="1" x14ac:dyDescent="0.2">
      <c r="A284" s="220"/>
      <c r="B284" s="422">
        <v>5</v>
      </c>
      <c r="C284" s="221" t="str">
        <f>INDEX(PBSScriptsChanged,B284,1)</f>
        <v>** NOT USED **</v>
      </c>
      <c r="D284" s="207"/>
      <c r="E284" s="207"/>
      <c r="F284" s="207"/>
      <c r="G284" s="207"/>
      <c r="H284" s="207"/>
      <c r="I284" s="207"/>
      <c r="J284" s="207"/>
      <c r="K284" s="207"/>
      <c r="L284" s="189"/>
      <c r="M284" s="189"/>
      <c r="N284" s="189"/>
      <c r="O284" s="178"/>
      <c r="P284" s="178"/>
      <c r="Q284" s="178"/>
      <c r="R284" s="178"/>
      <c r="S284" s="178"/>
      <c r="T284" s="178"/>
      <c r="U284" s="178"/>
      <c r="V284" s="178"/>
      <c r="W284" s="178"/>
      <c r="X284" s="178"/>
      <c r="Y284" s="178"/>
      <c r="Z284" s="178"/>
      <c r="AA284" s="178"/>
    </row>
    <row r="285" spans="1:27" outlineLevel="2" x14ac:dyDescent="0.2">
      <c r="A285" s="220"/>
      <c r="B285" s="220"/>
      <c r="C285" s="503"/>
      <c r="D285" s="545">
        <v>2</v>
      </c>
      <c r="E285" s="545">
        <v>3</v>
      </c>
      <c r="F285" s="545">
        <v>4</v>
      </c>
      <c r="G285" s="545">
        <v>5</v>
      </c>
      <c r="H285" s="545">
        <v>6</v>
      </c>
      <c r="I285" s="545">
        <v>7</v>
      </c>
      <c r="J285" s="545"/>
      <c r="K285" s="503"/>
      <c r="L285" s="503"/>
      <c r="M285" s="503"/>
      <c r="N285" s="503"/>
    </row>
    <row r="286" spans="1:27" outlineLevel="2" x14ac:dyDescent="0.2">
      <c r="A286" s="220"/>
      <c r="B286" s="220"/>
      <c r="C286" s="220"/>
      <c r="D286" s="112">
        <f>FirstYear</f>
        <v>0</v>
      </c>
      <c r="E286" s="112">
        <f>D286+1</f>
        <v>1</v>
      </c>
      <c r="F286" s="112">
        <f>E286+1</f>
        <v>2</v>
      </c>
      <c r="G286" s="112">
        <f>F286+1</f>
        <v>3</v>
      </c>
      <c r="H286" s="112">
        <f>G286+1</f>
        <v>4</v>
      </c>
      <c r="I286" s="112">
        <f>H286+1</f>
        <v>5</v>
      </c>
      <c r="J286" s="220"/>
      <c r="K286" s="220"/>
      <c r="L286" s="220"/>
      <c r="M286" s="220"/>
      <c r="N286" s="220"/>
    </row>
    <row r="287" spans="1:27" outlineLevel="2" x14ac:dyDescent="0.2">
      <c r="A287" s="220"/>
      <c r="B287" s="220"/>
      <c r="C287" s="258" t="s">
        <v>140</v>
      </c>
      <c r="D287" s="259">
        <f t="shared" ref="D287:I287" si="196">INDEX(PBSScriptsChanged,$B284,D285)</f>
        <v>0</v>
      </c>
      <c r="E287" s="259">
        <f t="shared" si="196"/>
        <v>0</v>
      </c>
      <c r="F287" s="259">
        <f t="shared" si="196"/>
        <v>0</v>
      </c>
      <c r="G287" s="259">
        <f t="shared" si="196"/>
        <v>0</v>
      </c>
      <c r="H287" s="259">
        <f t="shared" si="196"/>
        <v>0</v>
      </c>
      <c r="I287" s="259">
        <f t="shared" si="196"/>
        <v>0</v>
      </c>
      <c r="J287" s="220"/>
      <c r="K287" s="220"/>
      <c r="L287" s="6"/>
      <c r="M287" s="6"/>
      <c r="N287" s="6"/>
    </row>
    <row r="288" spans="1:27" outlineLevel="2" x14ac:dyDescent="0.2">
      <c r="A288" s="220"/>
      <c r="B288" s="220"/>
      <c r="C288" s="258" t="s">
        <v>141</v>
      </c>
      <c r="D288" s="259">
        <f t="shared" ref="D288:I288" si="197">INDEX(RPBSScriptsChanged,$B284,D285)</f>
        <v>0</v>
      </c>
      <c r="E288" s="259">
        <f t="shared" si="197"/>
        <v>0</v>
      </c>
      <c r="F288" s="259">
        <f t="shared" si="197"/>
        <v>0</v>
      </c>
      <c r="G288" s="259">
        <f t="shared" si="197"/>
        <v>0</v>
      </c>
      <c r="H288" s="259">
        <f t="shared" si="197"/>
        <v>0</v>
      </c>
      <c r="I288" s="259">
        <f t="shared" si="197"/>
        <v>0</v>
      </c>
      <c r="J288" s="220"/>
      <c r="K288" s="220"/>
      <c r="L288" s="6"/>
      <c r="M288" s="6"/>
      <c r="N288" s="6"/>
    </row>
    <row r="289" spans="1:27" outlineLevel="2" x14ac:dyDescent="0.2">
      <c r="A289" s="220"/>
      <c r="B289" s="220"/>
      <c r="C289" s="242" t="s">
        <v>142</v>
      </c>
      <c r="D289" s="259">
        <f t="shared" ref="D289:I289" si="198">IF(INDEX(SAChanged,$B284,7)&gt;0,ROUND(D287/INDEX(SAChanged,$B284,2),0),0)</f>
        <v>0</v>
      </c>
      <c r="E289" s="259">
        <f t="shared" si="198"/>
        <v>0</v>
      </c>
      <c r="F289" s="259">
        <f t="shared" si="198"/>
        <v>0</v>
      </c>
      <c r="G289" s="259">
        <f t="shared" si="198"/>
        <v>0</v>
      </c>
      <c r="H289" s="259">
        <f t="shared" si="198"/>
        <v>0</v>
      </c>
      <c r="I289" s="259">
        <f t="shared" si="198"/>
        <v>0</v>
      </c>
      <c r="J289" s="220"/>
      <c r="L289" s="205"/>
      <c r="M289" s="6"/>
    </row>
    <row r="290" spans="1:27" outlineLevel="2" x14ac:dyDescent="0.2">
      <c r="A290" s="220"/>
      <c r="B290" s="220"/>
      <c r="C290" s="242" t="s">
        <v>143</v>
      </c>
      <c r="D290" s="259">
        <f t="shared" ref="D290:I290" si="199">IF(INDEX(SAChanged,$B284,7)&gt;0,ROUND(D288/INDEX(SAChanged,$B284,2),0),0)</f>
        <v>0</v>
      </c>
      <c r="E290" s="259">
        <f t="shared" si="199"/>
        <v>0</v>
      </c>
      <c r="F290" s="259">
        <f t="shared" si="199"/>
        <v>0</v>
      </c>
      <c r="G290" s="259">
        <f t="shared" si="199"/>
        <v>0</v>
      </c>
      <c r="H290" s="259">
        <f t="shared" si="199"/>
        <v>0</v>
      </c>
      <c r="I290" s="259">
        <f t="shared" si="199"/>
        <v>0</v>
      </c>
      <c r="J290" s="220"/>
      <c r="L290" s="205"/>
      <c r="M290" s="6"/>
    </row>
    <row r="291" spans="1:27" outlineLevel="1" x14ac:dyDescent="0.2">
      <c r="A291" s="220"/>
      <c r="B291" s="220"/>
      <c r="C291" s="197"/>
      <c r="D291" s="248"/>
      <c r="E291" s="220"/>
      <c r="F291" s="220"/>
      <c r="G291" s="220"/>
      <c r="H291" s="220"/>
      <c r="I291" s="220"/>
      <c r="J291" s="220"/>
      <c r="K291" s="220"/>
      <c r="L291" s="220"/>
      <c r="M291" s="220"/>
      <c r="N291" s="220"/>
    </row>
    <row r="292" spans="1:27" ht="15" outlineLevel="1" x14ac:dyDescent="0.2">
      <c r="A292" s="220"/>
      <c r="B292" s="422">
        <v>6</v>
      </c>
      <c r="C292" s="221" t="str">
        <f>INDEX(PBSScriptsChanged,B292,1)</f>
        <v>** NOT USED **</v>
      </c>
      <c r="D292" s="207"/>
      <c r="E292" s="207"/>
      <c r="F292" s="207"/>
      <c r="G292" s="207"/>
      <c r="H292" s="207"/>
      <c r="I292" s="207"/>
      <c r="J292" s="207"/>
      <c r="K292" s="207"/>
      <c r="L292" s="189"/>
      <c r="M292" s="189"/>
      <c r="N292" s="189"/>
      <c r="O292" s="178"/>
      <c r="P292" s="178"/>
      <c r="Q292" s="178"/>
      <c r="R292" s="178"/>
      <c r="S292" s="178"/>
      <c r="T292" s="178"/>
      <c r="U292" s="178"/>
      <c r="V292" s="178"/>
      <c r="W292" s="178"/>
      <c r="X292" s="178"/>
      <c r="Y292" s="178"/>
      <c r="Z292" s="178"/>
      <c r="AA292" s="178"/>
    </row>
    <row r="293" spans="1:27" outlineLevel="2" x14ac:dyDescent="0.2">
      <c r="A293" s="220"/>
      <c r="B293" s="220"/>
      <c r="C293" s="503"/>
      <c r="D293" s="545">
        <v>2</v>
      </c>
      <c r="E293" s="545">
        <v>3</v>
      </c>
      <c r="F293" s="545">
        <v>4</v>
      </c>
      <c r="G293" s="545">
        <v>5</v>
      </c>
      <c r="H293" s="545">
        <v>6</v>
      </c>
      <c r="I293" s="545">
        <v>7</v>
      </c>
      <c r="J293" s="545"/>
      <c r="K293" s="503"/>
      <c r="L293" s="503"/>
      <c r="M293" s="503"/>
      <c r="N293" s="503"/>
    </row>
    <row r="294" spans="1:27" outlineLevel="2" x14ac:dyDescent="0.2">
      <c r="A294" s="220"/>
      <c r="B294" s="220"/>
      <c r="C294" s="220"/>
      <c r="D294" s="112">
        <f>FirstYear</f>
        <v>0</v>
      </c>
      <c r="E294" s="112">
        <f>D294+1</f>
        <v>1</v>
      </c>
      <c r="F294" s="112">
        <f>E294+1</f>
        <v>2</v>
      </c>
      <c r="G294" s="112">
        <f>F294+1</f>
        <v>3</v>
      </c>
      <c r="H294" s="112">
        <f>G294+1</f>
        <v>4</v>
      </c>
      <c r="I294" s="112">
        <f>H294+1</f>
        <v>5</v>
      </c>
      <c r="J294" s="220"/>
      <c r="K294" s="220"/>
      <c r="L294" s="220"/>
      <c r="M294" s="220"/>
      <c r="N294" s="220"/>
    </row>
    <row r="295" spans="1:27" outlineLevel="2" x14ac:dyDescent="0.2">
      <c r="A295" s="220"/>
      <c r="B295" s="220"/>
      <c r="C295" s="258" t="s">
        <v>140</v>
      </c>
      <c r="D295" s="259">
        <f t="shared" ref="D295:I295" si="200">INDEX(PBSScriptsChanged,$B292,D293)</f>
        <v>0</v>
      </c>
      <c r="E295" s="259">
        <f t="shared" si="200"/>
        <v>0</v>
      </c>
      <c r="F295" s="259">
        <f t="shared" si="200"/>
        <v>0</v>
      </c>
      <c r="G295" s="259">
        <f t="shared" si="200"/>
        <v>0</v>
      </c>
      <c r="H295" s="259">
        <f t="shared" si="200"/>
        <v>0</v>
      </c>
      <c r="I295" s="259">
        <f t="shared" si="200"/>
        <v>0</v>
      </c>
      <c r="J295" s="220"/>
      <c r="K295" s="220"/>
      <c r="L295" s="6"/>
      <c r="M295" s="6"/>
      <c r="N295" s="6"/>
    </row>
    <row r="296" spans="1:27" outlineLevel="2" x14ac:dyDescent="0.2">
      <c r="A296" s="220"/>
      <c r="B296" s="220"/>
      <c r="C296" s="258" t="s">
        <v>141</v>
      </c>
      <c r="D296" s="259">
        <f t="shared" ref="D296:I296" si="201">INDEX(RPBSScriptsChanged,$B292,D293)</f>
        <v>0</v>
      </c>
      <c r="E296" s="259">
        <f t="shared" si="201"/>
        <v>0</v>
      </c>
      <c r="F296" s="259">
        <f t="shared" si="201"/>
        <v>0</v>
      </c>
      <c r="G296" s="259">
        <f t="shared" si="201"/>
        <v>0</v>
      </c>
      <c r="H296" s="259">
        <f t="shared" si="201"/>
        <v>0</v>
      </c>
      <c r="I296" s="259">
        <f t="shared" si="201"/>
        <v>0</v>
      </c>
      <c r="J296" s="220"/>
      <c r="K296" s="220"/>
      <c r="L296" s="6"/>
      <c r="M296" s="6"/>
      <c r="N296" s="6"/>
    </row>
    <row r="297" spans="1:27" outlineLevel="2" x14ac:dyDescent="0.2">
      <c r="A297" s="220"/>
      <c r="B297" s="220"/>
      <c r="C297" s="242" t="s">
        <v>142</v>
      </c>
      <c r="D297" s="259">
        <f t="shared" ref="D297:I297" si="202">IF(INDEX(SAChanged,$B292,7)&gt;0,ROUND(D295/INDEX(SAChanged,$B292,2),0),0)</f>
        <v>0</v>
      </c>
      <c r="E297" s="259">
        <f t="shared" si="202"/>
        <v>0</v>
      </c>
      <c r="F297" s="259">
        <f t="shared" si="202"/>
        <v>0</v>
      </c>
      <c r="G297" s="259">
        <f t="shared" si="202"/>
        <v>0</v>
      </c>
      <c r="H297" s="259">
        <f t="shared" si="202"/>
        <v>0</v>
      </c>
      <c r="I297" s="259">
        <f t="shared" si="202"/>
        <v>0</v>
      </c>
      <c r="J297" s="220"/>
      <c r="L297" s="205"/>
      <c r="M297" s="6"/>
    </row>
    <row r="298" spans="1:27" outlineLevel="2" x14ac:dyDescent="0.2">
      <c r="A298" s="220"/>
      <c r="B298" s="220"/>
      <c r="C298" s="242" t="s">
        <v>143</v>
      </c>
      <c r="D298" s="259">
        <f t="shared" ref="D298:I298" si="203">IF(INDEX(SAChanged,$B292,7)&gt;0,ROUND(D296/INDEX(SAChanged,$B292,2),0),0)</f>
        <v>0</v>
      </c>
      <c r="E298" s="259">
        <f t="shared" si="203"/>
        <v>0</v>
      </c>
      <c r="F298" s="259">
        <f t="shared" si="203"/>
        <v>0</v>
      </c>
      <c r="G298" s="259">
        <f t="shared" si="203"/>
        <v>0</v>
      </c>
      <c r="H298" s="259">
        <f t="shared" si="203"/>
        <v>0</v>
      </c>
      <c r="I298" s="259">
        <f t="shared" si="203"/>
        <v>0</v>
      </c>
      <c r="J298" s="220"/>
      <c r="L298" s="205"/>
      <c r="M298" s="6"/>
    </row>
    <row r="299" spans="1:27" outlineLevel="1" x14ac:dyDescent="0.2">
      <c r="A299" s="220"/>
      <c r="B299" s="220"/>
      <c r="C299" s="197"/>
      <c r="D299" s="248"/>
      <c r="E299" s="220"/>
      <c r="F299" s="220"/>
      <c r="G299" s="220"/>
      <c r="H299" s="220"/>
      <c r="I299" s="220"/>
      <c r="J299" s="220"/>
      <c r="K299" s="220"/>
      <c r="L299" s="220"/>
      <c r="M299" s="220"/>
    </row>
    <row r="300" spans="1:27" ht="15" outlineLevel="1" x14ac:dyDescent="0.2">
      <c r="A300" s="220"/>
      <c r="B300" s="422">
        <v>7</v>
      </c>
      <c r="C300" s="221" t="str">
        <f>INDEX(PBSScriptsChanged,B300,1)</f>
        <v>** NOT USED **</v>
      </c>
      <c r="D300" s="207"/>
      <c r="E300" s="207"/>
      <c r="F300" s="207"/>
      <c r="G300" s="207"/>
      <c r="H300" s="207"/>
      <c r="I300" s="207"/>
      <c r="J300" s="207"/>
      <c r="K300" s="207"/>
      <c r="L300" s="189"/>
      <c r="M300" s="189"/>
      <c r="N300" s="189"/>
      <c r="O300" s="178"/>
      <c r="P300" s="178"/>
      <c r="Q300" s="178"/>
      <c r="R300" s="178"/>
      <c r="S300" s="178"/>
      <c r="T300" s="178"/>
      <c r="U300" s="178"/>
      <c r="V300" s="178"/>
      <c r="W300" s="178"/>
      <c r="X300" s="178"/>
      <c r="Y300" s="178"/>
      <c r="Z300" s="178"/>
      <c r="AA300" s="178"/>
    </row>
    <row r="301" spans="1:27" outlineLevel="2" x14ac:dyDescent="0.2">
      <c r="A301" s="220"/>
      <c r="B301" s="220"/>
      <c r="C301" s="503"/>
      <c r="D301" s="545">
        <v>2</v>
      </c>
      <c r="E301" s="545">
        <v>3</v>
      </c>
      <c r="F301" s="545">
        <v>4</v>
      </c>
      <c r="G301" s="545">
        <v>5</v>
      </c>
      <c r="H301" s="545">
        <v>6</v>
      </c>
      <c r="I301" s="545">
        <v>7</v>
      </c>
      <c r="J301" s="545"/>
      <c r="K301" s="503"/>
      <c r="L301" s="503"/>
      <c r="M301" s="503"/>
      <c r="N301" s="503"/>
    </row>
    <row r="302" spans="1:27" outlineLevel="2" x14ac:dyDescent="0.2">
      <c r="A302" s="220"/>
      <c r="B302" s="220"/>
      <c r="C302" s="220"/>
      <c r="D302" s="112">
        <f>FirstYear</f>
        <v>0</v>
      </c>
      <c r="E302" s="112">
        <f>D302+1</f>
        <v>1</v>
      </c>
      <c r="F302" s="112">
        <f>E302+1</f>
        <v>2</v>
      </c>
      <c r="G302" s="112">
        <f>F302+1</f>
        <v>3</v>
      </c>
      <c r="H302" s="112">
        <f>G302+1</f>
        <v>4</v>
      </c>
      <c r="I302" s="112">
        <f>H302+1</f>
        <v>5</v>
      </c>
      <c r="J302" s="220"/>
      <c r="K302" s="220"/>
      <c r="L302" s="220"/>
      <c r="M302" s="220"/>
      <c r="N302" s="220"/>
    </row>
    <row r="303" spans="1:27" outlineLevel="2" x14ac:dyDescent="0.2">
      <c r="A303" s="220"/>
      <c r="B303" s="220"/>
      <c r="C303" s="258" t="s">
        <v>140</v>
      </c>
      <c r="D303" s="259">
        <f t="shared" ref="D303:I303" si="204">INDEX(PBSScriptsChanged,$B300,D301)</f>
        <v>0</v>
      </c>
      <c r="E303" s="259">
        <f t="shared" si="204"/>
        <v>0</v>
      </c>
      <c r="F303" s="259">
        <f t="shared" si="204"/>
        <v>0</v>
      </c>
      <c r="G303" s="259">
        <f t="shared" si="204"/>
        <v>0</v>
      </c>
      <c r="H303" s="259">
        <f t="shared" si="204"/>
        <v>0</v>
      </c>
      <c r="I303" s="259">
        <f t="shared" si="204"/>
        <v>0</v>
      </c>
      <c r="J303" s="220"/>
      <c r="K303" s="220"/>
      <c r="L303" s="6"/>
      <c r="M303" s="6"/>
      <c r="N303" s="6"/>
    </row>
    <row r="304" spans="1:27" outlineLevel="2" x14ac:dyDescent="0.2">
      <c r="A304" s="220"/>
      <c r="B304" s="220"/>
      <c r="C304" s="258" t="s">
        <v>141</v>
      </c>
      <c r="D304" s="259">
        <f t="shared" ref="D304:I304" si="205">INDEX(RPBSScriptsChanged,$B300,D301)</f>
        <v>0</v>
      </c>
      <c r="E304" s="259">
        <f t="shared" si="205"/>
        <v>0</v>
      </c>
      <c r="F304" s="259">
        <f t="shared" si="205"/>
        <v>0</v>
      </c>
      <c r="G304" s="259">
        <f t="shared" si="205"/>
        <v>0</v>
      </c>
      <c r="H304" s="259">
        <f t="shared" si="205"/>
        <v>0</v>
      </c>
      <c r="I304" s="259">
        <f t="shared" si="205"/>
        <v>0</v>
      </c>
      <c r="J304" s="220"/>
      <c r="K304" s="220"/>
      <c r="L304" s="6"/>
      <c r="M304" s="6"/>
      <c r="N304" s="6"/>
    </row>
    <row r="305" spans="1:27" outlineLevel="2" x14ac:dyDescent="0.2">
      <c r="A305" s="220"/>
      <c r="B305" s="220"/>
      <c r="C305" s="242" t="s">
        <v>142</v>
      </c>
      <c r="D305" s="259">
        <f t="shared" ref="D305:I305" si="206">IF(INDEX(SAChanged,$B300,7)&gt;0,ROUND(D303/INDEX(SAChanged,$B300,2),0),0)</f>
        <v>0</v>
      </c>
      <c r="E305" s="259">
        <f t="shared" si="206"/>
        <v>0</v>
      </c>
      <c r="F305" s="259">
        <f t="shared" si="206"/>
        <v>0</v>
      </c>
      <c r="G305" s="259">
        <f t="shared" si="206"/>
        <v>0</v>
      </c>
      <c r="H305" s="259">
        <f t="shared" si="206"/>
        <v>0</v>
      </c>
      <c r="I305" s="259">
        <f t="shared" si="206"/>
        <v>0</v>
      </c>
      <c r="J305" s="220"/>
      <c r="L305" s="205"/>
      <c r="M305" s="6"/>
    </row>
    <row r="306" spans="1:27" outlineLevel="2" x14ac:dyDescent="0.2">
      <c r="A306" s="220"/>
      <c r="B306" s="220"/>
      <c r="C306" s="242" t="s">
        <v>143</v>
      </c>
      <c r="D306" s="259">
        <f t="shared" ref="D306:I306" si="207">IF(INDEX(SAChanged,$B300,7)&gt;0,ROUND(D304/INDEX(SAChanged,$B300,2),0),0)</f>
        <v>0</v>
      </c>
      <c r="E306" s="259">
        <f t="shared" si="207"/>
        <v>0</v>
      </c>
      <c r="F306" s="259">
        <f t="shared" si="207"/>
        <v>0</v>
      </c>
      <c r="G306" s="259">
        <f t="shared" si="207"/>
        <v>0</v>
      </c>
      <c r="H306" s="259">
        <f t="shared" si="207"/>
        <v>0</v>
      </c>
      <c r="I306" s="259">
        <f t="shared" si="207"/>
        <v>0</v>
      </c>
      <c r="J306" s="220"/>
      <c r="L306" s="205"/>
      <c r="M306" s="6"/>
    </row>
    <row r="307" spans="1:27" outlineLevel="1" x14ac:dyDescent="0.2">
      <c r="A307" s="220"/>
      <c r="B307" s="220"/>
      <c r="C307" s="197"/>
      <c r="D307" s="248"/>
      <c r="E307" s="220"/>
      <c r="F307" s="220"/>
      <c r="G307" s="220"/>
      <c r="H307" s="220"/>
      <c r="I307" s="220"/>
      <c r="J307" s="220"/>
      <c r="K307" s="220"/>
      <c r="L307" s="220"/>
      <c r="M307" s="220"/>
      <c r="N307" s="220"/>
    </row>
    <row r="308" spans="1:27" ht="15" outlineLevel="1" x14ac:dyDescent="0.2">
      <c r="A308" s="220"/>
      <c r="B308" s="422">
        <v>8</v>
      </c>
      <c r="C308" s="221" t="str">
        <f>INDEX(PBSScriptsChanged,B308,1)</f>
        <v>** NOT USED **</v>
      </c>
      <c r="D308" s="207"/>
      <c r="E308" s="207"/>
      <c r="F308" s="207"/>
      <c r="G308" s="207"/>
      <c r="H308" s="207"/>
      <c r="I308" s="207"/>
      <c r="J308" s="207"/>
      <c r="K308" s="207"/>
      <c r="L308" s="189"/>
      <c r="M308" s="189"/>
      <c r="N308" s="189"/>
      <c r="O308" s="178"/>
      <c r="P308" s="178"/>
      <c r="Q308" s="178"/>
      <c r="R308" s="178"/>
      <c r="S308" s="178"/>
      <c r="T308" s="178"/>
      <c r="U308" s="178"/>
      <c r="V308" s="178"/>
      <c r="W308" s="178"/>
      <c r="X308" s="178"/>
      <c r="Y308" s="178"/>
      <c r="Z308" s="178"/>
      <c r="AA308" s="178"/>
    </row>
    <row r="309" spans="1:27" outlineLevel="2" x14ac:dyDescent="0.2">
      <c r="A309" s="220"/>
      <c r="B309" s="220"/>
      <c r="C309" s="503"/>
      <c r="D309" s="545">
        <v>2</v>
      </c>
      <c r="E309" s="545">
        <v>3</v>
      </c>
      <c r="F309" s="545">
        <v>4</v>
      </c>
      <c r="G309" s="545">
        <v>5</v>
      </c>
      <c r="H309" s="545">
        <v>6</v>
      </c>
      <c r="I309" s="545">
        <v>7</v>
      </c>
      <c r="J309" s="545"/>
      <c r="K309" s="503"/>
      <c r="L309" s="503"/>
      <c r="M309" s="503"/>
      <c r="N309" s="503"/>
    </row>
    <row r="310" spans="1:27" outlineLevel="2" x14ac:dyDescent="0.2">
      <c r="A310" s="220"/>
      <c r="B310" s="220"/>
      <c r="C310" s="220"/>
      <c r="D310" s="112">
        <f>FirstYear</f>
        <v>0</v>
      </c>
      <c r="E310" s="112">
        <f>D310+1</f>
        <v>1</v>
      </c>
      <c r="F310" s="112">
        <f>E310+1</f>
        <v>2</v>
      </c>
      <c r="G310" s="112">
        <f>F310+1</f>
        <v>3</v>
      </c>
      <c r="H310" s="112">
        <f>G310+1</f>
        <v>4</v>
      </c>
      <c r="I310" s="112">
        <f>H310+1</f>
        <v>5</v>
      </c>
      <c r="J310" s="220"/>
      <c r="K310" s="220"/>
      <c r="L310" s="220"/>
      <c r="M310" s="220"/>
      <c r="N310" s="220"/>
    </row>
    <row r="311" spans="1:27" outlineLevel="2" x14ac:dyDescent="0.2">
      <c r="A311" s="220"/>
      <c r="B311" s="220"/>
      <c r="C311" s="258" t="s">
        <v>140</v>
      </c>
      <c r="D311" s="259">
        <f t="shared" ref="D311:I311" si="208">INDEX(PBSScriptsChanged,$B308,D309)</f>
        <v>0</v>
      </c>
      <c r="E311" s="259">
        <f t="shared" si="208"/>
        <v>0</v>
      </c>
      <c r="F311" s="259">
        <f t="shared" si="208"/>
        <v>0</v>
      </c>
      <c r="G311" s="259">
        <f t="shared" si="208"/>
        <v>0</v>
      </c>
      <c r="H311" s="259">
        <f t="shared" si="208"/>
        <v>0</v>
      </c>
      <c r="I311" s="259">
        <f t="shared" si="208"/>
        <v>0</v>
      </c>
      <c r="J311" s="220"/>
      <c r="K311" s="220"/>
      <c r="L311" s="6"/>
      <c r="M311" s="6"/>
      <c r="N311" s="6"/>
    </row>
    <row r="312" spans="1:27" outlineLevel="2" x14ac:dyDescent="0.2">
      <c r="A312" s="220"/>
      <c r="B312" s="220"/>
      <c r="C312" s="258" t="s">
        <v>141</v>
      </c>
      <c r="D312" s="259">
        <f t="shared" ref="D312:I312" si="209">INDEX(RPBSScriptsChanged,$B308,D309)</f>
        <v>0</v>
      </c>
      <c r="E312" s="259">
        <f t="shared" si="209"/>
        <v>0</v>
      </c>
      <c r="F312" s="259">
        <f t="shared" si="209"/>
        <v>0</v>
      </c>
      <c r="G312" s="259">
        <f t="shared" si="209"/>
        <v>0</v>
      </c>
      <c r="H312" s="259">
        <f t="shared" si="209"/>
        <v>0</v>
      </c>
      <c r="I312" s="259">
        <f t="shared" si="209"/>
        <v>0</v>
      </c>
      <c r="J312" s="220"/>
      <c r="K312" s="220"/>
      <c r="L312" s="6"/>
      <c r="M312" s="6"/>
      <c r="N312" s="6"/>
    </row>
    <row r="313" spans="1:27" outlineLevel="2" x14ac:dyDescent="0.2">
      <c r="A313" s="220"/>
      <c r="B313" s="220"/>
      <c r="C313" s="242" t="s">
        <v>142</v>
      </c>
      <c r="D313" s="259">
        <f t="shared" ref="D313:I313" si="210">IF(INDEX(SAChanged,$B308,7)&gt;0,ROUND(D311/INDEX(SAChanged,$B308,2),0),0)</f>
        <v>0</v>
      </c>
      <c r="E313" s="259">
        <f t="shared" si="210"/>
        <v>0</v>
      </c>
      <c r="F313" s="259">
        <f t="shared" si="210"/>
        <v>0</v>
      </c>
      <c r="G313" s="259">
        <f t="shared" si="210"/>
        <v>0</v>
      </c>
      <c r="H313" s="259">
        <f t="shared" si="210"/>
        <v>0</v>
      </c>
      <c r="I313" s="259">
        <f t="shared" si="210"/>
        <v>0</v>
      </c>
      <c r="J313" s="220"/>
      <c r="L313" s="205"/>
      <c r="M313" s="6"/>
    </row>
    <row r="314" spans="1:27" outlineLevel="2" x14ac:dyDescent="0.2">
      <c r="A314" s="220"/>
      <c r="B314" s="220"/>
      <c r="C314" s="242" t="s">
        <v>143</v>
      </c>
      <c r="D314" s="259">
        <f t="shared" ref="D314:I314" si="211">IF(INDEX(SAChanged,$B308,7)&gt;0,ROUND(D312/INDEX(SAChanged,$B308,2),0),0)</f>
        <v>0</v>
      </c>
      <c r="E314" s="259">
        <f t="shared" si="211"/>
        <v>0</v>
      </c>
      <c r="F314" s="259">
        <f t="shared" si="211"/>
        <v>0</v>
      </c>
      <c r="G314" s="259">
        <f t="shared" si="211"/>
        <v>0</v>
      </c>
      <c r="H314" s="259">
        <f t="shared" si="211"/>
        <v>0</v>
      </c>
      <c r="I314" s="259">
        <f t="shared" si="211"/>
        <v>0</v>
      </c>
      <c r="J314" s="220"/>
      <c r="L314" s="205"/>
      <c r="M314" s="6"/>
    </row>
    <row r="315" spans="1:27" outlineLevel="1" x14ac:dyDescent="0.2">
      <c r="A315" s="220"/>
      <c r="B315" s="220"/>
      <c r="C315" s="197"/>
      <c r="D315" s="248"/>
      <c r="E315" s="220"/>
      <c r="F315" s="220"/>
      <c r="G315" s="220"/>
      <c r="H315" s="220"/>
      <c r="I315" s="220"/>
      <c r="J315" s="220"/>
      <c r="K315" s="220"/>
      <c r="L315" s="220"/>
      <c r="M315" s="220"/>
      <c r="N315" s="220"/>
    </row>
    <row r="316" spans="1:27" ht="15" outlineLevel="1" x14ac:dyDescent="0.2">
      <c r="A316" s="220"/>
      <c r="B316" s="422">
        <v>9</v>
      </c>
      <c r="C316" s="221" t="str">
        <f>INDEX(PBSScriptsChanged,B316,1)</f>
        <v>** NOT USED **</v>
      </c>
      <c r="D316" s="207"/>
      <c r="E316" s="207"/>
      <c r="F316" s="207"/>
      <c r="G316" s="207"/>
      <c r="H316" s="207"/>
      <c r="I316" s="207"/>
      <c r="J316" s="207"/>
      <c r="K316" s="207"/>
      <c r="L316" s="189"/>
      <c r="M316" s="189"/>
      <c r="N316" s="189"/>
      <c r="O316" s="178"/>
      <c r="P316" s="178"/>
      <c r="Q316" s="178"/>
      <c r="R316" s="178"/>
      <c r="S316" s="178"/>
      <c r="T316" s="178"/>
      <c r="U316" s="178"/>
      <c r="V316" s="178"/>
      <c r="W316" s="178"/>
      <c r="X316" s="178"/>
      <c r="Y316" s="178"/>
      <c r="Z316" s="178"/>
      <c r="AA316" s="178"/>
    </row>
    <row r="317" spans="1:27" outlineLevel="2" x14ac:dyDescent="0.2">
      <c r="A317" s="220"/>
      <c r="B317" s="220"/>
      <c r="C317" s="503"/>
      <c r="D317" s="545">
        <v>2</v>
      </c>
      <c r="E317" s="545">
        <v>3</v>
      </c>
      <c r="F317" s="545">
        <v>4</v>
      </c>
      <c r="G317" s="545">
        <v>5</v>
      </c>
      <c r="H317" s="545">
        <v>6</v>
      </c>
      <c r="I317" s="545">
        <v>7</v>
      </c>
      <c r="J317" s="545"/>
      <c r="K317" s="503"/>
      <c r="L317" s="503"/>
      <c r="M317" s="503"/>
      <c r="N317" s="503"/>
    </row>
    <row r="318" spans="1:27" outlineLevel="2" x14ac:dyDescent="0.2">
      <c r="A318" s="220"/>
      <c r="B318" s="220"/>
      <c r="C318" s="220"/>
      <c r="D318" s="112">
        <f>FirstYear</f>
        <v>0</v>
      </c>
      <c r="E318" s="112">
        <f>D318+1</f>
        <v>1</v>
      </c>
      <c r="F318" s="112">
        <f>E318+1</f>
        <v>2</v>
      </c>
      <c r="G318" s="112">
        <f>F318+1</f>
        <v>3</v>
      </c>
      <c r="H318" s="112">
        <f>G318+1</f>
        <v>4</v>
      </c>
      <c r="I318" s="112">
        <f>H318+1</f>
        <v>5</v>
      </c>
      <c r="J318" s="220"/>
      <c r="K318" s="220"/>
      <c r="L318" s="220"/>
      <c r="M318" s="220"/>
      <c r="N318" s="220"/>
    </row>
    <row r="319" spans="1:27" outlineLevel="2" x14ac:dyDescent="0.2">
      <c r="A319" s="220"/>
      <c r="B319" s="220"/>
      <c r="C319" s="258" t="s">
        <v>140</v>
      </c>
      <c r="D319" s="259">
        <f t="shared" ref="D319:I319" si="212">INDEX(PBSScriptsChanged,$B316,D317)</f>
        <v>0</v>
      </c>
      <c r="E319" s="259">
        <f t="shared" si="212"/>
        <v>0</v>
      </c>
      <c r="F319" s="259">
        <f t="shared" si="212"/>
        <v>0</v>
      </c>
      <c r="G319" s="259">
        <f t="shared" si="212"/>
        <v>0</v>
      </c>
      <c r="H319" s="259">
        <f t="shared" si="212"/>
        <v>0</v>
      </c>
      <c r="I319" s="259">
        <f t="shared" si="212"/>
        <v>0</v>
      </c>
      <c r="J319" s="220"/>
      <c r="K319" s="220"/>
      <c r="L319" s="6"/>
      <c r="M319" s="6"/>
      <c r="N319" s="6"/>
    </row>
    <row r="320" spans="1:27" outlineLevel="2" x14ac:dyDescent="0.2">
      <c r="A320" s="220"/>
      <c r="B320" s="220"/>
      <c r="C320" s="258" t="s">
        <v>141</v>
      </c>
      <c r="D320" s="259">
        <f t="shared" ref="D320:I320" si="213">INDEX(RPBSScriptsChanged,$B316,D317)</f>
        <v>0</v>
      </c>
      <c r="E320" s="259">
        <f t="shared" si="213"/>
        <v>0</v>
      </c>
      <c r="F320" s="259">
        <f t="shared" si="213"/>
        <v>0</v>
      </c>
      <c r="G320" s="259">
        <f t="shared" si="213"/>
        <v>0</v>
      </c>
      <c r="H320" s="259">
        <f t="shared" si="213"/>
        <v>0</v>
      </c>
      <c r="I320" s="259">
        <f t="shared" si="213"/>
        <v>0</v>
      </c>
      <c r="J320" s="220"/>
      <c r="K320" s="220"/>
      <c r="L320" s="6"/>
      <c r="M320" s="6"/>
      <c r="N320" s="6"/>
    </row>
    <row r="321" spans="1:27" outlineLevel="2" x14ac:dyDescent="0.2">
      <c r="A321" s="220"/>
      <c r="B321" s="220"/>
      <c r="C321" s="242" t="s">
        <v>142</v>
      </c>
      <c r="D321" s="259">
        <f t="shared" ref="D321:I321" si="214">IF(INDEX(SAChanged,$B316,7)&gt;0,ROUND(D319/INDEX(SAChanged,$B316,2),0),0)</f>
        <v>0</v>
      </c>
      <c r="E321" s="259">
        <f t="shared" si="214"/>
        <v>0</v>
      </c>
      <c r="F321" s="259">
        <f t="shared" si="214"/>
        <v>0</v>
      </c>
      <c r="G321" s="259">
        <f t="shared" si="214"/>
        <v>0</v>
      </c>
      <c r="H321" s="259">
        <f t="shared" si="214"/>
        <v>0</v>
      </c>
      <c r="I321" s="259">
        <f t="shared" si="214"/>
        <v>0</v>
      </c>
      <c r="J321" s="220"/>
      <c r="L321" s="205"/>
      <c r="M321" s="6"/>
    </row>
    <row r="322" spans="1:27" outlineLevel="2" x14ac:dyDescent="0.2">
      <c r="A322" s="220"/>
      <c r="B322" s="220"/>
      <c r="C322" s="242" t="s">
        <v>143</v>
      </c>
      <c r="D322" s="259">
        <f t="shared" ref="D322:I322" si="215">IF(INDEX(SAChanged,$B316,7)&gt;0,ROUND(D320/INDEX(SAChanged,$B316,2),0),0)</f>
        <v>0</v>
      </c>
      <c r="E322" s="259">
        <f t="shared" si="215"/>
        <v>0</v>
      </c>
      <c r="F322" s="259">
        <f t="shared" si="215"/>
        <v>0</v>
      </c>
      <c r="G322" s="259">
        <f t="shared" si="215"/>
        <v>0</v>
      </c>
      <c r="H322" s="259">
        <f t="shared" si="215"/>
        <v>0</v>
      </c>
      <c r="I322" s="259">
        <f t="shared" si="215"/>
        <v>0</v>
      </c>
      <c r="J322" s="220"/>
      <c r="L322" s="205"/>
      <c r="M322" s="6"/>
    </row>
    <row r="323" spans="1:27" outlineLevel="1" x14ac:dyDescent="0.2">
      <c r="A323" s="220"/>
      <c r="B323" s="220"/>
      <c r="C323" s="197"/>
      <c r="D323" s="248"/>
      <c r="E323" s="220"/>
      <c r="F323" s="220"/>
      <c r="G323" s="220"/>
      <c r="H323" s="220"/>
      <c r="I323" s="220"/>
      <c r="J323" s="220"/>
      <c r="K323" s="220"/>
      <c r="L323" s="220"/>
      <c r="M323" s="220"/>
      <c r="N323" s="220"/>
    </row>
    <row r="324" spans="1:27" ht="15" outlineLevel="1" x14ac:dyDescent="0.2">
      <c r="A324" s="220"/>
      <c r="B324" s="422">
        <v>10</v>
      </c>
      <c r="C324" s="221" t="str">
        <f>INDEX(PBSScriptsChanged,B324,1)</f>
        <v>** NOT USED **</v>
      </c>
      <c r="D324" s="207"/>
      <c r="E324" s="207"/>
      <c r="F324" s="207"/>
      <c r="G324" s="207"/>
      <c r="H324" s="207"/>
      <c r="I324" s="207"/>
      <c r="J324" s="207"/>
      <c r="K324" s="207"/>
      <c r="L324" s="189"/>
      <c r="M324" s="189"/>
      <c r="N324" s="189"/>
      <c r="O324" s="178"/>
      <c r="P324" s="178"/>
      <c r="Q324" s="178"/>
      <c r="R324" s="178"/>
      <c r="S324" s="178"/>
      <c r="T324" s="178"/>
      <c r="U324" s="178"/>
      <c r="V324" s="178"/>
      <c r="W324" s="178"/>
      <c r="X324" s="178"/>
      <c r="Y324" s="178"/>
      <c r="Z324" s="178"/>
      <c r="AA324" s="178"/>
    </row>
    <row r="325" spans="1:27" outlineLevel="2" x14ac:dyDescent="0.2">
      <c r="A325" s="220"/>
      <c r="B325" s="220"/>
      <c r="C325" s="503"/>
      <c r="D325" s="545">
        <v>2</v>
      </c>
      <c r="E325" s="545">
        <v>3</v>
      </c>
      <c r="F325" s="545">
        <v>4</v>
      </c>
      <c r="G325" s="545">
        <v>5</v>
      </c>
      <c r="H325" s="545">
        <v>6</v>
      </c>
      <c r="I325" s="545">
        <v>7</v>
      </c>
      <c r="J325" s="545"/>
      <c r="K325" s="503"/>
      <c r="L325" s="503"/>
      <c r="M325" s="503"/>
      <c r="N325" s="503"/>
    </row>
    <row r="326" spans="1:27" outlineLevel="2" x14ac:dyDescent="0.2">
      <c r="A326" s="220"/>
      <c r="B326" s="220"/>
      <c r="C326" s="220"/>
      <c r="D326" s="112">
        <f>FirstYear</f>
        <v>0</v>
      </c>
      <c r="E326" s="112">
        <f>D326+1</f>
        <v>1</v>
      </c>
      <c r="F326" s="112">
        <f>E326+1</f>
        <v>2</v>
      </c>
      <c r="G326" s="112">
        <f>F326+1</f>
        <v>3</v>
      </c>
      <c r="H326" s="112">
        <f>G326+1</f>
        <v>4</v>
      </c>
      <c r="I326" s="112">
        <f>H326+1</f>
        <v>5</v>
      </c>
      <c r="J326" s="220"/>
      <c r="K326" s="220"/>
      <c r="L326" s="220"/>
      <c r="M326" s="220"/>
      <c r="N326" s="220"/>
    </row>
    <row r="327" spans="1:27" outlineLevel="2" x14ac:dyDescent="0.2">
      <c r="A327" s="220"/>
      <c r="B327" s="220"/>
      <c r="C327" s="258" t="s">
        <v>140</v>
      </c>
      <c r="D327" s="259">
        <f t="shared" ref="D327:I327" si="216">INDEX(PBSScriptsChanged,$B324,D325)</f>
        <v>0</v>
      </c>
      <c r="E327" s="259">
        <f t="shared" si="216"/>
        <v>0</v>
      </c>
      <c r="F327" s="259">
        <f t="shared" si="216"/>
        <v>0</v>
      </c>
      <c r="G327" s="259">
        <f t="shared" si="216"/>
        <v>0</v>
      </c>
      <c r="H327" s="259">
        <f t="shared" si="216"/>
        <v>0</v>
      </c>
      <c r="I327" s="259">
        <f t="shared" si="216"/>
        <v>0</v>
      </c>
      <c r="J327" s="220"/>
      <c r="K327" s="220"/>
      <c r="L327" s="6"/>
      <c r="M327" s="6"/>
      <c r="N327" s="6"/>
    </row>
    <row r="328" spans="1:27" outlineLevel="2" x14ac:dyDescent="0.2">
      <c r="A328" s="220"/>
      <c r="B328" s="220"/>
      <c r="C328" s="258" t="s">
        <v>141</v>
      </c>
      <c r="D328" s="259">
        <f t="shared" ref="D328:I328" si="217">INDEX(RPBSScriptsChanged,$B324,D325)</f>
        <v>0</v>
      </c>
      <c r="E328" s="259">
        <f t="shared" si="217"/>
        <v>0</v>
      </c>
      <c r="F328" s="259">
        <f t="shared" si="217"/>
        <v>0</v>
      </c>
      <c r="G328" s="259">
        <f t="shared" si="217"/>
        <v>0</v>
      </c>
      <c r="H328" s="259">
        <f t="shared" si="217"/>
        <v>0</v>
      </c>
      <c r="I328" s="259">
        <f t="shared" si="217"/>
        <v>0</v>
      </c>
      <c r="J328" s="220"/>
      <c r="K328" s="220"/>
      <c r="L328" s="6"/>
      <c r="M328" s="6"/>
      <c r="N328" s="6"/>
    </row>
    <row r="329" spans="1:27" outlineLevel="2" x14ac:dyDescent="0.2">
      <c r="A329" s="220"/>
      <c r="B329" s="220"/>
      <c r="C329" s="242" t="s">
        <v>142</v>
      </c>
      <c r="D329" s="259">
        <f t="shared" ref="D329:I329" si="218">IF(INDEX(SAChanged,$B324,7)&gt;0,ROUND(D327/INDEX(SAChanged,$B324,2),0),0)</f>
        <v>0</v>
      </c>
      <c r="E329" s="259">
        <f t="shared" si="218"/>
        <v>0</v>
      </c>
      <c r="F329" s="259">
        <f t="shared" si="218"/>
        <v>0</v>
      </c>
      <c r="G329" s="259">
        <f t="shared" si="218"/>
        <v>0</v>
      </c>
      <c r="H329" s="259">
        <f t="shared" si="218"/>
        <v>0</v>
      </c>
      <c r="I329" s="259">
        <f t="shared" si="218"/>
        <v>0</v>
      </c>
      <c r="J329" s="220"/>
      <c r="L329" s="205"/>
      <c r="M329" s="6"/>
    </row>
    <row r="330" spans="1:27" outlineLevel="2" x14ac:dyDescent="0.2">
      <c r="A330" s="220"/>
      <c r="B330" s="220"/>
      <c r="C330" s="242" t="s">
        <v>143</v>
      </c>
      <c r="D330" s="259">
        <f t="shared" ref="D330:I330" si="219">IF(INDEX(SAChanged,$B324,7)&gt;0,ROUND(D328/INDEX(SAChanged,$B324,2),0),0)</f>
        <v>0</v>
      </c>
      <c r="E330" s="259">
        <f t="shared" si="219"/>
        <v>0</v>
      </c>
      <c r="F330" s="259">
        <f t="shared" si="219"/>
        <v>0</v>
      </c>
      <c r="G330" s="259">
        <f t="shared" si="219"/>
        <v>0</v>
      </c>
      <c r="H330" s="259">
        <f t="shared" si="219"/>
        <v>0</v>
      </c>
      <c r="I330" s="259">
        <f t="shared" si="219"/>
        <v>0</v>
      </c>
      <c r="J330" s="220"/>
      <c r="L330" s="205"/>
      <c r="M330" s="6"/>
    </row>
    <row r="331" spans="1:27" outlineLevel="1" x14ac:dyDescent="0.2">
      <c r="A331" s="220"/>
      <c r="B331" s="220"/>
      <c r="C331" s="197"/>
      <c r="D331" s="248"/>
      <c r="E331" s="220"/>
      <c r="F331" s="220"/>
      <c r="G331" s="220"/>
      <c r="H331" s="220"/>
      <c r="I331" s="220"/>
      <c r="J331" s="220"/>
      <c r="K331" s="220"/>
      <c r="L331" s="220"/>
      <c r="M331" s="220"/>
      <c r="N331" s="220"/>
    </row>
    <row r="332" spans="1:27" ht="15" outlineLevel="1" x14ac:dyDescent="0.2">
      <c r="A332" s="220"/>
      <c r="B332" s="422">
        <v>11</v>
      </c>
      <c r="C332" s="221" t="str">
        <f>INDEX(PBSScriptsChanged,B332,1)</f>
        <v>** NOT USED **</v>
      </c>
      <c r="D332" s="207"/>
      <c r="E332" s="207"/>
      <c r="F332" s="207"/>
      <c r="G332" s="207"/>
      <c r="H332" s="207"/>
      <c r="I332" s="207"/>
      <c r="J332" s="207"/>
      <c r="K332" s="207"/>
      <c r="L332" s="189"/>
      <c r="M332" s="189"/>
      <c r="N332" s="189"/>
      <c r="O332" s="178"/>
      <c r="P332" s="178"/>
      <c r="Q332" s="178"/>
      <c r="R332" s="178"/>
      <c r="S332" s="178"/>
      <c r="T332" s="178"/>
      <c r="U332" s="178"/>
      <c r="V332" s="178"/>
      <c r="W332" s="178"/>
      <c r="X332" s="178"/>
      <c r="Y332" s="178"/>
      <c r="Z332" s="178"/>
      <c r="AA332" s="178"/>
    </row>
    <row r="333" spans="1:27" outlineLevel="2" x14ac:dyDescent="0.2">
      <c r="A333" s="220"/>
      <c r="B333" s="220"/>
      <c r="C333" s="503"/>
      <c r="D333" s="545">
        <v>2</v>
      </c>
      <c r="E333" s="545">
        <v>3</v>
      </c>
      <c r="F333" s="545">
        <v>4</v>
      </c>
      <c r="G333" s="545">
        <v>5</v>
      </c>
      <c r="H333" s="545">
        <v>6</v>
      </c>
      <c r="I333" s="545">
        <v>7</v>
      </c>
      <c r="J333" s="545"/>
      <c r="K333" s="503"/>
      <c r="L333" s="503"/>
      <c r="M333" s="503"/>
      <c r="N333" s="503"/>
    </row>
    <row r="334" spans="1:27" outlineLevel="2" x14ac:dyDescent="0.2">
      <c r="A334" s="220"/>
      <c r="B334" s="220"/>
      <c r="C334" s="220"/>
      <c r="D334" s="414">
        <f>FirstYear</f>
        <v>0</v>
      </c>
      <c r="E334" s="414">
        <f>D334+1</f>
        <v>1</v>
      </c>
      <c r="F334" s="414">
        <f>E334+1</f>
        <v>2</v>
      </c>
      <c r="G334" s="414">
        <f>F334+1</f>
        <v>3</v>
      </c>
      <c r="H334" s="414">
        <f>G334+1</f>
        <v>4</v>
      </c>
      <c r="I334" s="414">
        <f>H334+1</f>
        <v>5</v>
      </c>
      <c r="J334" s="220"/>
      <c r="K334" s="220"/>
      <c r="L334" s="220"/>
      <c r="M334" s="220"/>
      <c r="N334" s="220"/>
    </row>
    <row r="335" spans="1:27" outlineLevel="2" x14ac:dyDescent="0.2">
      <c r="A335" s="220"/>
      <c r="B335" s="220"/>
      <c r="C335" s="258" t="s">
        <v>140</v>
      </c>
      <c r="D335" s="259">
        <f t="shared" ref="D335:I335" si="220">INDEX(PBSScriptsChanged,$B332,D333)</f>
        <v>0</v>
      </c>
      <c r="E335" s="259">
        <f t="shared" si="220"/>
        <v>0</v>
      </c>
      <c r="F335" s="259">
        <f t="shared" si="220"/>
        <v>0</v>
      </c>
      <c r="G335" s="259">
        <f t="shared" si="220"/>
        <v>0</v>
      </c>
      <c r="H335" s="259">
        <f t="shared" si="220"/>
        <v>0</v>
      </c>
      <c r="I335" s="259">
        <f t="shared" si="220"/>
        <v>0</v>
      </c>
      <c r="J335" s="220"/>
      <c r="K335" s="220"/>
      <c r="L335" s="220"/>
      <c r="M335" s="220"/>
      <c r="N335" s="220"/>
    </row>
    <row r="336" spans="1:27" outlineLevel="2" x14ac:dyDescent="0.2">
      <c r="A336" s="220"/>
      <c r="B336" s="220"/>
      <c r="C336" s="258" t="s">
        <v>141</v>
      </c>
      <c r="D336" s="259">
        <f t="shared" ref="D336:I336" si="221">INDEX(RPBSScriptsChanged,$B332,D333)</f>
        <v>0</v>
      </c>
      <c r="E336" s="259">
        <f t="shared" si="221"/>
        <v>0</v>
      </c>
      <c r="F336" s="259">
        <f t="shared" si="221"/>
        <v>0</v>
      </c>
      <c r="G336" s="259">
        <f t="shared" si="221"/>
        <v>0</v>
      </c>
      <c r="H336" s="259">
        <f t="shared" si="221"/>
        <v>0</v>
      </c>
      <c r="I336" s="259">
        <f t="shared" si="221"/>
        <v>0</v>
      </c>
      <c r="J336" s="220"/>
      <c r="K336" s="220"/>
      <c r="L336" s="220"/>
      <c r="M336" s="220"/>
      <c r="N336" s="220"/>
    </row>
    <row r="337" spans="1:27" outlineLevel="2" x14ac:dyDescent="0.2">
      <c r="A337" s="220"/>
      <c r="B337" s="220"/>
      <c r="C337" s="242" t="s">
        <v>142</v>
      </c>
      <c r="D337" s="259">
        <f t="shared" ref="D337:I337" si="222">IF(INDEX(SAChanged,$B332,7)&gt;0,ROUND(D335/INDEX(SAChanged,$B332,2),0),0)</f>
        <v>0</v>
      </c>
      <c r="E337" s="259">
        <f t="shared" si="222"/>
        <v>0</v>
      </c>
      <c r="F337" s="259">
        <f t="shared" si="222"/>
        <v>0</v>
      </c>
      <c r="G337" s="259">
        <f t="shared" si="222"/>
        <v>0</v>
      </c>
      <c r="H337" s="259">
        <f t="shared" si="222"/>
        <v>0</v>
      </c>
      <c r="I337" s="259">
        <f t="shared" si="222"/>
        <v>0</v>
      </c>
      <c r="J337" s="220"/>
      <c r="L337" s="205"/>
      <c r="M337" s="220"/>
    </row>
    <row r="338" spans="1:27" outlineLevel="2" x14ac:dyDescent="0.2">
      <c r="A338" s="220"/>
      <c r="B338" s="220"/>
      <c r="C338" s="242" t="s">
        <v>143</v>
      </c>
      <c r="D338" s="259">
        <f t="shared" ref="D338:I338" si="223">IF(INDEX(SAChanged,$B332,7)&gt;0,ROUND(D336/INDEX(SAChanged,$B332,2),0),0)</f>
        <v>0</v>
      </c>
      <c r="E338" s="259">
        <f t="shared" si="223"/>
        <v>0</v>
      </c>
      <c r="F338" s="259">
        <f t="shared" si="223"/>
        <v>0</v>
      </c>
      <c r="G338" s="259">
        <f t="shared" si="223"/>
        <v>0</v>
      </c>
      <c r="H338" s="259">
        <f t="shared" si="223"/>
        <v>0</v>
      </c>
      <c r="I338" s="259">
        <f t="shared" si="223"/>
        <v>0</v>
      </c>
      <c r="J338" s="220"/>
      <c r="L338" s="205"/>
      <c r="M338" s="220"/>
    </row>
    <row r="339" spans="1:27" outlineLevel="1" x14ac:dyDescent="0.2">
      <c r="A339" s="220"/>
      <c r="B339" s="220"/>
      <c r="C339" s="264"/>
      <c r="D339" s="248"/>
      <c r="E339" s="220"/>
      <c r="F339" s="220"/>
      <c r="G339" s="220"/>
      <c r="H339" s="220"/>
      <c r="I339" s="220"/>
      <c r="J339" s="220"/>
      <c r="K339" s="220"/>
      <c r="L339" s="220"/>
      <c r="M339" s="220"/>
      <c r="N339" s="220"/>
    </row>
    <row r="340" spans="1:27" ht="15" outlineLevel="1" x14ac:dyDescent="0.2">
      <c r="A340" s="220"/>
      <c r="B340" s="422">
        <v>12</v>
      </c>
      <c r="C340" s="221" t="str">
        <f>INDEX(PBSScriptsChanged,B340,1)</f>
        <v>** NOT USED **</v>
      </c>
      <c r="D340" s="207"/>
      <c r="E340" s="207"/>
      <c r="F340" s="207"/>
      <c r="G340" s="207"/>
      <c r="H340" s="207"/>
      <c r="I340" s="207"/>
      <c r="J340" s="207"/>
      <c r="K340" s="207"/>
      <c r="L340" s="189"/>
      <c r="M340" s="189"/>
      <c r="N340" s="189"/>
      <c r="O340" s="178"/>
      <c r="P340" s="178"/>
      <c r="Q340" s="178"/>
      <c r="R340" s="178"/>
      <c r="S340" s="178"/>
      <c r="T340" s="178"/>
      <c r="U340" s="178"/>
      <c r="V340" s="178"/>
      <c r="W340" s="178"/>
      <c r="X340" s="178"/>
      <c r="Y340" s="178"/>
      <c r="Z340" s="178"/>
      <c r="AA340" s="178"/>
    </row>
    <row r="341" spans="1:27" outlineLevel="2" x14ac:dyDescent="0.2">
      <c r="A341" s="220"/>
      <c r="B341" s="220"/>
      <c r="C341" s="503"/>
      <c r="D341" s="545">
        <v>2</v>
      </c>
      <c r="E341" s="545">
        <v>3</v>
      </c>
      <c r="F341" s="545">
        <v>4</v>
      </c>
      <c r="G341" s="545">
        <v>5</v>
      </c>
      <c r="H341" s="545">
        <v>6</v>
      </c>
      <c r="I341" s="545">
        <v>7</v>
      </c>
      <c r="J341" s="545"/>
      <c r="K341" s="503"/>
      <c r="L341" s="503"/>
      <c r="M341" s="503"/>
      <c r="N341" s="503"/>
    </row>
    <row r="342" spans="1:27" outlineLevel="2" x14ac:dyDescent="0.2">
      <c r="A342" s="220"/>
      <c r="B342" s="220"/>
      <c r="C342" s="220"/>
      <c r="D342" s="414">
        <f>FirstYear</f>
        <v>0</v>
      </c>
      <c r="E342" s="414">
        <f>D342+1</f>
        <v>1</v>
      </c>
      <c r="F342" s="414">
        <f>E342+1</f>
        <v>2</v>
      </c>
      <c r="G342" s="414">
        <f>F342+1</f>
        <v>3</v>
      </c>
      <c r="H342" s="414">
        <f>G342+1</f>
        <v>4</v>
      </c>
      <c r="I342" s="414">
        <f>H342+1</f>
        <v>5</v>
      </c>
      <c r="J342" s="220"/>
      <c r="K342" s="220"/>
      <c r="L342" s="220"/>
      <c r="M342" s="220"/>
      <c r="N342" s="220"/>
    </row>
    <row r="343" spans="1:27" outlineLevel="2" x14ac:dyDescent="0.2">
      <c r="A343" s="220"/>
      <c r="B343" s="220"/>
      <c r="C343" s="258" t="s">
        <v>140</v>
      </c>
      <c r="D343" s="259">
        <f t="shared" ref="D343:I343" si="224">INDEX(PBSScriptsChanged,$B340,D341)</f>
        <v>0</v>
      </c>
      <c r="E343" s="259">
        <f t="shared" si="224"/>
        <v>0</v>
      </c>
      <c r="F343" s="259">
        <f t="shared" si="224"/>
        <v>0</v>
      </c>
      <c r="G343" s="259">
        <f t="shared" si="224"/>
        <v>0</v>
      </c>
      <c r="H343" s="259">
        <f t="shared" si="224"/>
        <v>0</v>
      </c>
      <c r="I343" s="259">
        <f t="shared" si="224"/>
        <v>0</v>
      </c>
      <c r="J343" s="220"/>
      <c r="K343" s="220"/>
      <c r="L343" s="220"/>
      <c r="M343" s="220"/>
      <c r="N343" s="220"/>
    </row>
    <row r="344" spans="1:27" outlineLevel="2" x14ac:dyDescent="0.2">
      <c r="A344" s="220"/>
      <c r="B344" s="220"/>
      <c r="C344" s="258" t="s">
        <v>141</v>
      </c>
      <c r="D344" s="259">
        <f t="shared" ref="D344:I344" si="225">INDEX(RPBSScriptsChanged,$B340,D341)</f>
        <v>0</v>
      </c>
      <c r="E344" s="259">
        <f t="shared" si="225"/>
        <v>0</v>
      </c>
      <c r="F344" s="259">
        <f t="shared" si="225"/>
        <v>0</v>
      </c>
      <c r="G344" s="259">
        <f t="shared" si="225"/>
        <v>0</v>
      </c>
      <c r="H344" s="259">
        <f t="shared" si="225"/>
        <v>0</v>
      </c>
      <c r="I344" s="259">
        <f t="shared" si="225"/>
        <v>0</v>
      </c>
      <c r="J344" s="220"/>
      <c r="K344" s="220"/>
      <c r="L344" s="220"/>
      <c r="M344" s="220"/>
      <c r="N344" s="220"/>
    </row>
    <row r="345" spans="1:27" outlineLevel="2" x14ac:dyDescent="0.2">
      <c r="A345" s="220"/>
      <c r="B345" s="220"/>
      <c r="C345" s="242" t="s">
        <v>142</v>
      </c>
      <c r="D345" s="259">
        <f t="shared" ref="D345:I345" si="226">IF(INDEX(SAChanged,$B340,7)&gt;0,ROUND(D343/INDEX(SAChanged,$B340,2),0),0)</f>
        <v>0</v>
      </c>
      <c r="E345" s="259">
        <f t="shared" si="226"/>
        <v>0</v>
      </c>
      <c r="F345" s="259">
        <f t="shared" si="226"/>
        <v>0</v>
      </c>
      <c r="G345" s="259">
        <f t="shared" si="226"/>
        <v>0</v>
      </c>
      <c r="H345" s="259">
        <f t="shared" si="226"/>
        <v>0</v>
      </c>
      <c r="I345" s="259">
        <f t="shared" si="226"/>
        <v>0</v>
      </c>
      <c r="J345" s="220"/>
      <c r="L345" s="205"/>
      <c r="M345" s="220"/>
    </row>
    <row r="346" spans="1:27" outlineLevel="2" x14ac:dyDescent="0.2">
      <c r="A346" s="220"/>
      <c r="B346" s="220"/>
      <c r="C346" s="242" t="s">
        <v>143</v>
      </c>
      <c r="D346" s="259">
        <f t="shared" ref="D346:I346" si="227">IF(INDEX(SAChanged,$B340,7)&gt;0,ROUND(D344/INDEX(SAChanged,$B340,2),0),0)</f>
        <v>0</v>
      </c>
      <c r="E346" s="259">
        <f t="shared" si="227"/>
        <v>0</v>
      </c>
      <c r="F346" s="259">
        <f t="shared" si="227"/>
        <v>0</v>
      </c>
      <c r="G346" s="259">
        <f t="shared" si="227"/>
        <v>0</v>
      </c>
      <c r="H346" s="259">
        <f t="shared" si="227"/>
        <v>0</v>
      </c>
      <c r="I346" s="259">
        <f t="shared" si="227"/>
        <v>0</v>
      </c>
      <c r="J346" s="220"/>
      <c r="L346" s="205"/>
      <c r="M346" s="220"/>
    </row>
    <row r="347" spans="1:27" outlineLevel="1" x14ac:dyDescent="0.2">
      <c r="A347" s="220"/>
      <c r="B347" s="220"/>
      <c r="C347" s="264"/>
      <c r="D347" s="248"/>
      <c r="E347" s="220"/>
      <c r="F347" s="220"/>
      <c r="G347" s="220"/>
      <c r="H347" s="220"/>
      <c r="I347" s="220"/>
      <c r="J347" s="220"/>
      <c r="K347" s="220"/>
      <c r="L347" s="220"/>
      <c r="M347" s="220"/>
      <c r="N347" s="220"/>
    </row>
    <row r="348" spans="1:27" ht="15" outlineLevel="1" x14ac:dyDescent="0.2">
      <c r="A348" s="220"/>
      <c r="B348" s="422">
        <v>13</v>
      </c>
      <c r="C348" s="221" t="str">
        <f>INDEX(PBSScriptsChanged,B348,1)</f>
        <v>** NOT USED **</v>
      </c>
      <c r="D348" s="207"/>
      <c r="E348" s="207"/>
      <c r="F348" s="207"/>
      <c r="G348" s="207"/>
      <c r="H348" s="207"/>
      <c r="I348" s="207"/>
      <c r="J348" s="207"/>
      <c r="K348" s="207"/>
      <c r="L348" s="189"/>
      <c r="M348" s="189"/>
      <c r="N348" s="189"/>
      <c r="O348" s="178"/>
      <c r="P348" s="178"/>
      <c r="Q348" s="178"/>
      <c r="R348" s="178"/>
      <c r="S348" s="178"/>
      <c r="T348" s="178"/>
      <c r="U348" s="178"/>
      <c r="V348" s="178"/>
      <c r="W348" s="178"/>
      <c r="X348" s="178"/>
      <c r="Y348" s="178"/>
      <c r="Z348" s="178"/>
      <c r="AA348" s="178"/>
    </row>
    <row r="349" spans="1:27" outlineLevel="2" x14ac:dyDescent="0.2">
      <c r="A349" s="220"/>
      <c r="B349" s="220"/>
      <c r="C349" s="503"/>
      <c r="D349" s="545">
        <v>2</v>
      </c>
      <c r="E349" s="545">
        <v>3</v>
      </c>
      <c r="F349" s="545">
        <v>4</v>
      </c>
      <c r="G349" s="545">
        <v>5</v>
      </c>
      <c r="H349" s="545">
        <v>6</v>
      </c>
      <c r="I349" s="545">
        <v>7</v>
      </c>
      <c r="J349" s="545"/>
      <c r="K349" s="503"/>
      <c r="L349" s="503"/>
      <c r="M349" s="503"/>
      <c r="N349" s="503"/>
    </row>
    <row r="350" spans="1:27" outlineLevel="2" x14ac:dyDescent="0.2">
      <c r="A350" s="220"/>
      <c r="B350" s="220"/>
      <c r="C350" s="220"/>
      <c r="D350" s="414">
        <f>FirstYear</f>
        <v>0</v>
      </c>
      <c r="E350" s="414">
        <f>D350+1</f>
        <v>1</v>
      </c>
      <c r="F350" s="414">
        <f>E350+1</f>
        <v>2</v>
      </c>
      <c r="G350" s="414">
        <f>F350+1</f>
        <v>3</v>
      </c>
      <c r="H350" s="414">
        <f>G350+1</f>
        <v>4</v>
      </c>
      <c r="I350" s="414">
        <f>H350+1</f>
        <v>5</v>
      </c>
      <c r="J350" s="220"/>
      <c r="K350" s="220"/>
      <c r="L350" s="220"/>
      <c r="M350" s="220"/>
      <c r="N350" s="220"/>
    </row>
    <row r="351" spans="1:27" outlineLevel="2" x14ac:dyDescent="0.2">
      <c r="A351" s="220"/>
      <c r="B351" s="220"/>
      <c r="C351" s="258" t="s">
        <v>140</v>
      </c>
      <c r="D351" s="259">
        <f t="shared" ref="D351:I351" si="228">INDEX(PBSScriptsChanged,$B348,D349)</f>
        <v>0</v>
      </c>
      <c r="E351" s="259">
        <f t="shared" si="228"/>
        <v>0</v>
      </c>
      <c r="F351" s="259">
        <f t="shared" si="228"/>
        <v>0</v>
      </c>
      <c r="G351" s="259">
        <f t="shared" si="228"/>
        <v>0</v>
      </c>
      <c r="H351" s="259">
        <f t="shared" si="228"/>
        <v>0</v>
      </c>
      <c r="I351" s="259">
        <f t="shared" si="228"/>
        <v>0</v>
      </c>
      <c r="J351" s="220"/>
      <c r="K351" s="220"/>
      <c r="L351" s="220"/>
      <c r="M351" s="220"/>
      <c r="N351" s="220"/>
    </row>
    <row r="352" spans="1:27" outlineLevel="2" x14ac:dyDescent="0.2">
      <c r="A352" s="220"/>
      <c r="B352" s="220"/>
      <c r="C352" s="258" t="s">
        <v>141</v>
      </c>
      <c r="D352" s="259">
        <f t="shared" ref="D352:I352" si="229">INDEX(RPBSScriptsChanged,$B348,D349)</f>
        <v>0</v>
      </c>
      <c r="E352" s="259">
        <f t="shared" si="229"/>
        <v>0</v>
      </c>
      <c r="F352" s="259">
        <f t="shared" si="229"/>
        <v>0</v>
      </c>
      <c r="G352" s="259">
        <f t="shared" si="229"/>
        <v>0</v>
      </c>
      <c r="H352" s="259">
        <f t="shared" si="229"/>
        <v>0</v>
      </c>
      <c r="I352" s="259">
        <f t="shared" si="229"/>
        <v>0</v>
      </c>
      <c r="J352" s="220"/>
      <c r="K352" s="220"/>
      <c r="L352" s="220"/>
      <c r="M352" s="220"/>
      <c r="N352" s="220"/>
    </row>
    <row r="353" spans="1:27" outlineLevel="2" x14ac:dyDescent="0.2">
      <c r="A353" s="220"/>
      <c r="B353" s="220"/>
      <c r="C353" s="242" t="s">
        <v>142</v>
      </c>
      <c r="D353" s="259">
        <f t="shared" ref="D353:I353" si="230">IF(INDEX(SAChanged,$B348,7)&gt;0,ROUND(D351/INDEX(SAChanged,$B348,2),0),0)</f>
        <v>0</v>
      </c>
      <c r="E353" s="259">
        <f t="shared" si="230"/>
        <v>0</v>
      </c>
      <c r="F353" s="259">
        <f t="shared" si="230"/>
        <v>0</v>
      </c>
      <c r="G353" s="259">
        <f t="shared" si="230"/>
        <v>0</v>
      </c>
      <c r="H353" s="259">
        <f t="shared" si="230"/>
        <v>0</v>
      </c>
      <c r="I353" s="259">
        <f t="shared" si="230"/>
        <v>0</v>
      </c>
      <c r="J353" s="220"/>
      <c r="L353" s="205"/>
      <c r="M353" s="220"/>
    </row>
    <row r="354" spans="1:27" outlineLevel="2" x14ac:dyDescent="0.2">
      <c r="A354" s="220"/>
      <c r="B354" s="220"/>
      <c r="C354" s="242" t="s">
        <v>143</v>
      </c>
      <c r="D354" s="259">
        <f t="shared" ref="D354:I354" si="231">IF(INDEX(SAChanged,$B348,7)&gt;0,ROUND(D352/INDEX(SAChanged,$B348,2),0),0)</f>
        <v>0</v>
      </c>
      <c r="E354" s="259">
        <f t="shared" si="231"/>
        <v>0</v>
      </c>
      <c r="F354" s="259">
        <f t="shared" si="231"/>
        <v>0</v>
      </c>
      <c r="G354" s="259">
        <f t="shared" si="231"/>
        <v>0</v>
      </c>
      <c r="H354" s="259">
        <f t="shared" si="231"/>
        <v>0</v>
      </c>
      <c r="I354" s="259">
        <f t="shared" si="231"/>
        <v>0</v>
      </c>
      <c r="J354" s="220"/>
      <c r="L354" s="205"/>
      <c r="M354" s="220"/>
    </row>
    <row r="355" spans="1:27" outlineLevel="1" x14ac:dyDescent="0.2">
      <c r="A355" s="220"/>
      <c r="B355" s="220"/>
      <c r="C355" s="264"/>
      <c r="D355" s="248"/>
      <c r="E355" s="220"/>
      <c r="F355" s="220"/>
      <c r="G355" s="220"/>
      <c r="H355" s="220"/>
      <c r="I355" s="220"/>
      <c r="J355" s="220"/>
      <c r="K355" s="220"/>
      <c r="L355" s="220"/>
      <c r="M355" s="220"/>
      <c r="N355" s="220"/>
    </row>
    <row r="356" spans="1:27" ht="15" outlineLevel="1" x14ac:dyDescent="0.2">
      <c r="A356" s="220"/>
      <c r="B356" s="422">
        <v>14</v>
      </c>
      <c r="C356" s="221" t="str">
        <f>INDEX(PBSScriptsChanged,B356,1)</f>
        <v>** NOT USED **</v>
      </c>
      <c r="D356" s="207"/>
      <c r="E356" s="207"/>
      <c r="F356" s="207"/>
      <c r="G356" s="207"/>
      <c r="H356" s="207"/>
      <c r="I356" s="207"/>
      <c r="J356" s="207"/>
      <c r="K356" s="207"/>
      <c r="L356" s="189"/>
      <c r="M356" s="189"/>
      <c r="N356" s="189"/>
      <c r="O356" s="178"/>
      <c r="P356" s="178"/>
      <c r="Q356" s="178"/>
      <c r="R356" s="178"/>
      <c r="S356" s="178"/>
      <c r="T356" s="178"/>
      <c r="U356" s="178"/>
      <c r="V356" s="178"/>
      <c r="W356" s="178"/>
      <c r="X356" s="178"/>
      <c r="Y356" s="178"/>
      <c r="Z356" s="178"/>
      <c r="AA356" s="178"/>
    </row>
    <row r="357" spans="1:27" outlineLevel="2" x14ac:dyDescent="0.2">
      <c r="A357" s="220"/>
      <c r="B357" s="220"/>
      <c r="C357" s="503"/>
      <c r="D357" s="545">
        <v>2</v>
      </c>
      <c r="E357" s="545">
        <v>3</v>
      </c>
      <c r="F357" s="545">
        <v>4</v>
      </c>
      <c r="G357" s="545">
        <v>5</v>
      </c>
      <c r="H357" s="545">
        <v>6</v>
      </c>
      <c r="I357" s="545">
        <v>7</v>
      </c>
      <c r="J357" s="545"/>
      <c r="K357" s="503"/>
      <c r="L357" s="503"/>
      <c r="M357" s="503"/>
      <c r="N357" s="503"/>
    </row>
    <row r="358" spans="1:27" outlineLevel="2" x14ac:dyDescent="0.2">
      <c r="A358" s="220"/>
      <c r="B358" s="220"/>
      <c r="C358" s="220"/>
      <c r="D358" s="414">
        <f>FirstYear</f>
        <v>0</v>
      </c>
      <c r="E358" s="414">
        <f>D358+1</f>
        <v>1</v>
      </c>
      <c r="F358" s="414">
        <f>E358+1</f>
        <v>2</v>
      </c>
      <c r="G358" s="414">
        <f>F358+1</f>
        <v>3</v>
      </c>
      <c r="H358" s="414">
        <f>G358+1</f>
        <v>4</v>
      </c>
      <c r="I358" s="414">
        <f>H358+1</f>
        <v>5</v>
      </c>
      <c r="J358" s="220"/>
      <c r="K358" s="220"/>
      <c r="L358" s="220"/>
      <c r="M358" s="220"/>
      <c r="N358" s="220"/>
    </row>
    <row r="359" spans="1:27" outlineLevel="2" x14ac:dyDescent="0.2">
      <c r="A359" s="220"/>
      <c r="B359" s="220"/>
      <c r="C359" s="258" t="s">
        <v>140</v>
      </c>
      <c r="D359" s="259">
        <f t="shared" ref="D359:I359" si="232">INDEX(PBSScriptsChanged,$B356,D357)</f>
        <v>0</v>
      </c>
      <c r="E359" s="259">
        <f t="shared" si="232"/>
        <v>0</v>
      </c>
      <c r="F359" s="259">
        <f t="shared" si="232"/>
        <v>0</v>
      </c>
      <c r="G359" s="259">
        <f t="shared" si="232"/>
        <v>0</v>
      </c>
      <c r="H359" s="259">
        <f t="shared" si="232"/>
        <v>0</v>
      </c>
      <c r="I359" s="259">
        <f t="shared" si="232"/>
        <v>0</v>
      </c>
      <c r="J359" s="220"/>
      <c r="K359" s="220"/>
      <c r="L359" s="220"/>
      <c r="M359" s="220"/>
      <c r="N359" s="220"/>
    </row>
    <row r="360" spans="1:27" outlineLevel="2" x14ac:dyDescent="0.2">
      <c r="A360" s="220"/>
      <c r="B360" s="220"/>
      <c r="C360" s="258" t="s">
        <v>141</v>
      </c>
      <c r="D360" s="259">
        <f t="shared" ref="D360:I360" si="233">INDEX(RPBSScriptsChanged,$B356,D357)</f>
        <v>0</v>
      </c>
      <c r="E360" s="259">
        <f t="shared" si="233"/>
        <v>0</v>
      </c>
      <c r="F360" s="259">
        <f t="shared" si="233"/>
        <v>0</v>
      </c>
      <c r="G360" s="259">
        <f t="shared" si="233"/>
        <v>0</v>
      </c>
      <c r="H360" s="259">
        <f t="shared" si="233"/>
        <v>0</v>
      </c>
      <c r="I360" s="259">
        <f t="shared" si="233"/>
        <v>0</v>
      </c>
      <c r="J360" s="220"/>
      <c r="K360" s="220"/>
      <c r="L360" s="220"/>
      <c r="M360" s="220"/>
      <c r="N360" s="220"/>
    </row>
    <row r="361" spans="1:27" outlineLevel="2" x14ac:dyDescent="0.2">
      <c r="A361" s="220"/>
      <c r="B361" s="220"/>
      <c r="C361" s="242" t="s">
        <v>142</v>
      </c>
      <c r="D361" s="259">
        <f t="shared" ref="D361:I361" si="234">IF(INDEX(SAChanged,$B356,7)&gt;0,ROUND(D359/INDEX(SAChanged,$B356,2),0),0)</f>
        <v>0</v>
      </c>
      <c r="E361" s="259">
        <f t="shared" si="234"/>
        <v>0</v>
      </c>
      <c r="F361" s="259">
        <f t="shared" si="234"/>
        <v>0</v>
      </c>
      <c r="G361" s="259">
        <f t="shared" si="234"/>
        <v>0</v>
      </c>
      <c r="H361" s="259">
        <f t="shared" si="234"/>
        <v>0</v>
      </c>
      <c r="I361" s="259">
        <f t="shared" si="234"/>
        <v>0</v>
      </c>
      <c r="J361" s="220"/>
      <c r="L361" s="205"/>
      <c r="M361" s="220"/>
    </row>
    <row r="362" spans="1:27" outlineLevel="2" x14ac:dyDescent="0.2">
      <c r="A362" s="220"/>
      <c r="B362" s="220"/>
      <c r="C362" s="242" t="s">
        <v>143</v>
      </c>
      <c r="D362" s="259">
        <f t="shared" ref="D362:I362" si="235">IF(INDEX(SAChanged,$B356,7)&gt;0,ROUND(D360/INDEX(SAChanged,$B356,2),0),0)</f>
        <v>0</v>
      </c>
      <c r="E362" s="259">
        <f t="shared" si="235"/>
        <v>0</v>
      </c>
      <c r="F362" s="259">
        <f t="shared" si="235"/>
        <v>0</v>
      </c>
      <c r="G362" s="259">
        <f t="shared" si="235"/>
        <v>0</v>
      </c>
      <c r="H362" s="259">
        <f t="shared" si="235"/>
        <v>0</v>
      </c>
      <c r="I362" s="259">
        <f t="shared" si="235"/>
        <v>0</v>
      </c>
      <c r="J362" s="220"/>
      <c r="L362" s="205"/>
      <c r="M362" s="220"/>
    </row>
    <row r="363" spans="1:27" outlineLevel="1" x14ac:dyDescent="0.2">
      <c r="A363" s="220"/>
      <c r="B363" s="220"/>
      <c r="C363" s="264"/>
      <c r="D363" s="248"/>
      <c r="E363" s="220"/>
      <c r="F363" s="220"/>
      <c r="G363" s="220"/>
      <c r="H363" s="220"/>
      <c r="I363" s="220"/>
      <c r="J363" s="220"/>
      <c r="K363" s="220"/>
      <c r="L363" s="220"/>
      <c r="M363" s="220"/>
      <c r="N363" s="220"/>
    </row>
    <row r="364" spans="1:27" ht="15" outlineLevel="1" x14ac:dyDescent="0.2">
      <c r="A364" s="220"/>
      <c r="B364" s="422">
        <v>15</v>
      </c>
      <c r="C364" s="221" t="str">
        <f>INDEX(PBSScriptsChanged,B364,1)</f>
        <v>** NOT USED **</v>
      </c>
      <c r="D364" s="207"/>
      <c r="E364" s="207"/>
      <c r="F364" s="207"/>
      <c r="G364" s="207"/>
      <c r="H364" s="207"/>
      <c r="I364" s="207"/>
      <c r="J364" s="207"/>
      <c r="K364" s="207"/>
      <c r="L364" s="189"/>
      <c r="M364" s="189"/>
      <c r="N364" s="189"/>
      <c r="O364" s="178"/>
      <c r="P364" s="178"/>
      <c r="Q364" s="178"/>
      <c r="R364" s="178"/>
      <c r="S364" s="178"/>
      <c r="T364" s="178"/>
      <c r="U364" s="178"/>
      <c r="V364" s="178"/>
      <c r="W364" s="178"/>
      <c r="X364" s="178"/>
      <c r="Y364" s="178"/>
      <c r="Z364" s="178"/>
      <c r="AA364" s="178"/>
    </row>
    <row r="365" spans="1:27" outlineLevel="2" x14ac:dyDescent="0.2">
      <c r="A365" s="220"/>
      <c r="B365" s="220"/>
      <c r="C365" s="503"/>
      <c r="D365" s="545">
        <v>2</v>
      </c>
      <c r="E365" s="545">
        <v>3</v>
      </c>
      <c r="F365" s="545">
        <v>4</v>
      </c>
      <c r="G365" s="545">
        <v>5</v>
      </c>
      <c r="H365" s="545">
        <v>6</v>
      </c>
      <c r="I365" s="545">
        <v>7</v>
      </c>
      <c r="J365" s="545"/>
      <c r="K365" s="503"/>
      <c r="L365" s="503"/>
      <c r="M365" s="503"/>
      <c r="N365" s="503"/>
    </row>
    <row r="366" spans="1:27" outlineLevel="2" x14ac:dyDescent="0.2">
      <c r="A366" s="220"/>
      <c r="B366" s="220"/>
      <c r="C366" s="220"/>
      <c r="D366" s="414">
        <f>FirstYear</f>
        <v>0</v>
      </c>
      <c r="E366" s="414">
        <f>D366+1</f>
        <v>1</v>
      </c>
      <c r="F366" s="414">
        <f>E366+1</f>
        <v>2</v>
      </c>
      <c r="G366" s="414">
        <f>F366+1</f>
        <v>3</v>
      </c>
      <c r="H366" s="414">
        <f>G366+1</f>
        <v>4</v>
      </c>
      <c r="I366" s="414">
        <f>H366+1</f>
        <v>5</v>
      </c>
      <c r="J366" s="220"/>
      <c r="K366" s="220"/>
      <c r="L366" s="220"/>
      <c r="M366" s="220"/>
      <c r="N366" s="220"/>
    </row>
    <row r="367" spans="1:27" outlineLevel="2" x14ac:dyDescent="0.2">
      <c r="A367" s="220"/>
      <c r="B367" s="220"/>
      <c r="C367" s="258" t="s">
        <v>140</v>
      </c>
      <c r="D367" s="259">
        <f t="shared" ref="D367:I367" si="236">INDEX(PBSScriptsChanged,$B364,D365)</f>
        <v>0</v>
      </c>
      <c r="E367" s="259">
        <f t="shared" si="236"/>
        <v>0</v>
      </c>
      <c r="F367" s="259">
        <f t="shared" si="236"/>
        <v>0</v>
      </c>
      <c r="G367" s="259">
        <f t="shared" si="236"/>
        <v>0</v>
      </c>
      <c r="H367" s="259">
        <f t="shared" si="236"/>
        <v>0</v>
      </c>
      <c r="I367" s="259">
        <f t="shared" si="236"/>
        <v>0</v>
      </c>
      <c r="J367" s="220"/>
      <c r="K367" s="220"/>
      <c r="L367" s="220"/>
      <c r="M367" s="220"/>
      <c r="N367" s="220"/>
    </row>
    <row r="368" spans="1:27" outlineLevel="2" x14ac:dyDescent="0.2">
      <c r="A368" s="220"/>
      <c r="B368" s="220"/>
      <c r="C368" s="258" t="s">
        <v>141</v>
      </c>
      <c r="D368" s="259">
        <f t="shared" ref="D368:I368" si="237">INDEX(RPBSScriptsChanged,$B364,D365)</f>
        <v>0</v>
      </c>
      <c r="E368" s="259">
        <f t="shared" si="237"/>
        <v>0</v>
      </c>
      <c r="F368" s="259">
        <f t="shared" si="237"/>
        <v>0</v>
      </c>
      <c r="G368" s="259">
        <f t="shared" si="237"/>
        <v>0</v>
      </c>
      <c r="H368" s="259">
        <f t="shared" si="237"/>
        <v>0</v>
      </c>
      <c r="I368" s="259">
        <f t="shared" si="237"/>
        <v>0</v>
      </c>
      <c r="J368" s="220"/>
      <c r="K368" s="220"/>
      <c r="L368" s="220"/>
      <c r="M368" s="220"/>
      <c r="N368" s="220"/>
    </row>
    <row r="369" spans="1:27" outlineLevel="2" x14ac:dyDescent="0.2">
      <c r="A369" s="220"/>
      <c r="B369" s="220"/>
      <c r="C369" s="242" t="s">
        <v>142</v>
      </c>
      <c r="D369" s="259">
        <f t="shared" ref="D369:I369" si="238">IF(INDEX(SAChanged,$B364,7)&gt;0,ROUND(D367/INDEX(SAChanged,$B364,2),0),0)</f>
        <v>0</v>
      </c>
      <c r="E369" s="259">
        <f t="shared" si="238"/>
        <v>0</v>
      </c>
      <c r="F369" s="259">
        <f t="shared" si="238"/>
        <v>0</v>
      </c>
      <c r="G369" s="259">
        <f t="shared" si="238"/>
        <v>0</v>
      </c>
      <c r="H369" s="259">
        <f t="shared" si="238"/>
        <v>0</v>
      </c>
      <c r="I369" s="259">
        <f t="shared" si="238"/>
        <v>0</v>
      </c>
      <c r="J369" s="220"/>
      <c r="L369" s="205"/>
      <c r="M369" s="220"/>
    </row>
    <row r="370" spans="1:27" outlineLevel="2" x14ac:dyDescent="0.2">
      <c r="A370" s="220"/>
      <c r="B370" s="220"/>
      <c r="C370" s="242" t="s">
        <v>143</v>
      </c>
      <c r="D370" s="259">
        <f t="shared" ref="D370:I370" si="239">IF(INDEX(SAChanged,$B364,7)&gt;0,ROUND(D368/INDEX(SAChanged,$B364,2),0),0)</f>
        <v>0</v>
      </c>
      <c r="E370" s="259">
        <f t="shared" si="239"/>
        <v>0</v>
      </c>
      <c r="F370" s="259">
        <f t="shared" si="239"/>
        <v>0</v>
      </c>
      <c r="G370" s="259">
        <f t="shared" si="239"/>
        <v>0</v>
      </c>
      <c r="H370" s="259">
        <f t="shared" si="239"/>
        <v>0</v>
      </c>
      <c r="I370" s="259">
        <f t="shared" si="239"/>
        <v>0</v>
      </c>
      <c r="J370" s="220"/>
      <c r="L370" s="205"/>
      <c r="M370" s="220"/>
    </row>
    <row r="371" spans="1:27" outlineLevel="1" x14ac:dyDescent="0.2">
      <c r="A371" s="220"/>
      <c r="B371" s="220"/>
      <c r="C371" s="264"/>
      <c r="D371" s="248"/>
      <c r="E371" s="220"/>
      <c r="F371" s="220"/>
      <c r="G371" s="220"/>
      <c r="H371" s="220"/>
      <c r="I371" s="220"/>
      <c r="J371" s="220"/>
      <c r="K371" s="220"/>
      <c r="L371" s="220"/>
      <c r="M371" s="220"/>
      <c r="N371" s="220"/>
    </row>
    <row r="372" spans="1:27" ht="15" outlineLevel="1" x14ac:dyDescent="0.2">
      <c r="A372" s="220"/>
      <c r="B372" s="422">
        <v>16</v>
      </c>
      <c r="C372" s="221" t="str">
        <f>INDEX(PBSScriptsChanged,B372,1)</f>
        <v>** NOT USED **</v>
      </c>
      <c r="D372" s="207"/>
      <c r="E372" s="207"/>
      <c r="F372" s="207"/>
      <c r="G372" s="207"/>
      <c r="H372" s="207"/>
      <c r="I372" s="207"/>
      <c r="J372" s="207"/>
      <c r="K372" s="207"/>
      <c r="L372" s="189"/>
      <c r="M372" s="189"/>
      <c r="N372" s="189"/>
      <c r="O372" s="178"/>
      <c r="P372" s="178"/>
      <c r="Q372" s="178"/>
      <c r="R372" s="178"/>
      <c r="S372" s="178"/>
      <c r="T372" s="178"/>
      <c r="U372" s="178"/>
      <c r="V372" s="178"/>
      <c r="W372" s="178"/>
      <c r="X372" s="178"/>
      <c r="Y372" s="178"/>
      <c r="Z372" s="178"/>
      <c r="AA372" s="178"/>
    </row>
    <row r="373" spans="1:27" outlineLevel="2" x14ac:dyDescent="0.2">
      <c r="A373" s="220"/>
      <c r="B373" s="220"/>
      <c r="C373" s="503"/>
      <c r="D373" s="545">
        <v>2</v>
      </c>
      <c r="E373" s="545">
        <v>3</v>
      </c>
      <c r="F373" s="545">
        <v>4</v>
      </c>
      <c r="G373" s="545">
        <v>5</v>
      </c>
      <c r="H373" s="545">
        <v>6</v>
      </c>
      <c r="I373" s="545">
        <v>7</v>
      </c>
      <c r="J373" s="545"/>
      <c r="K373" s="503"/>
      <c r="L373" s="503"/>
      <c r="M373" s="503"/>
      <c r="N373" s="503"/>
    </row>
    <row r="374" spans="1:27" outlineLevel="2" x14ac:dyDescent="0.2">
      <c r="A374" s="220"/>
      <c r="B374" s="220"/>
      <c r="C374" s="220"/>
      <c r="D374" s="414">
        <f>FirstYear</f>
        <v>0</v>
      </c>
      <c r="E374" s="414">
        <f>D374+1</f>
        <v>1</v>
      </c>
      <c r="F374" s="414">
        <f>E374+1</f>
        <v>2</v>
      </c>
      <c r="G374" s="414">
        <f>F374+1</f>
        <v>3</v>
      </c>
      <c r="H374" s="414">
        <f>G374+1</f>
        <v>4</v>
      </c>
      <c r="I374" s="414">
        <f>H374+1</f>
        <v>5</v>
      </c>
      <c r="J374" s="220"/>
      <c r="K374" s="220"/>
      <c r="L374" s="220"/>
      <c r="M374" s="220"/>
      <c r="N374" s="220"/>
    </row>
    <row r="375" spans="1:27" outlineLevel="2" x14ac:dyDescent="0.2">
      <c r="A375" s="220"/>
      <c r="B375" s="220"/>
      <c r="C375" s="258" t="s">
        <v>140</v>
      </c>
      <c r="D375" s="259">
        <f t="shared" ref="D375:I375" si="240">INDEX(PBSScriptsChanged,$B372,D373)</f>
        <v>0</v>
      </c>
      <c r="E375" s="259">
        <f t="shared" si="240"/>
        <v>0</v>
      </c>
      <c r="F375" s="259">
        <f t="shared" si="240"/>
        <v>0</v>
      </c>
      <c r="G375" s="259">
        <f t="shared" si="240"/>
        <v>0</v>
      </c>
      <c r="H375" s="259">
        <f t="shared" si="240"/>
        <v>0</v>
      </c>
      <c r="I375" s="259">
        <f t="shared" si="240"/>
        <v>0</v>
      </c>
      <c r="J375" s="220"/>
      <c r="K375" s="220"/>
      <c r="L375" s="220"/>
      <c r="M375" s="220"/>
      <c r="N375" s="220"/>
    </row>
    <row r="376" spans="1:27" outlineLevel="2" x14ac:dyDescent="0.2">
      <c r="A376" s="220"/>
      <c r="B376" s="220"/>
      <c r="C376" s="258" t="s">
        <v>141</v>
      </c>
      <c r="D376" s="259">
        <f t="shared" ref="D376:I376" si="241">INDEX(RPBSScriptsChanged,$B372,D373)</f>
        <v>0</v>
      </c>
      <c r="E376" s="259">
        <f t="shared" si="241"/>
        <v>0</v>
      </c>
      <c r="F376" s="259">
        <f t="shared" si="241"/>
        <v>0</v>
      </c>
      <c r="G376" s="259">
        <f t="shared" si="241"/>
        <v>0</v>
      </c>
      <c r="H376" s="259">
        <f t="shared" si="241"/>
        <v>0</v>
      </c>
      <c r="I376" s="259">
        <f t="shared" si="241"/>
        <v>0</v>
      </c>
      <c r="J376" s="220"/>
      <c r="K376" s="220"/>
      <c r="L376" s="220"/>
      <c r="M376" s="220"/>
      <c r="N376" s="220"/>
    </row>
    <row r="377" spans="1:27" outlineLevel="2" x14ac:dyDescent="0.2">
      <c r="A377" s="220"/>
      <c r="B377" s="220"/>
      <c r="C377" s="242" t="s">
        <v>142</v>
      </c>
      <c r="D377" s="259">
        <f t="shared" ref="D377:I377" si="242">IF(INDEX(SAChanged,$B372,7)&gt;0,ROUND(D375/INDEX(SAChanged,$B372,2),0),0)</f>
        <v>0</v>
      </c>
      <c r="E377" s="259">
        <f t="shared" si="242"/>
        <v>0</v>
      </c>
      <c r="F377" s="259">
        <f t="shared" si="242"/>
        <v>0</v>
      </c>
      <c r="G377" s="259">
        <f t="shared" si="242"/>
        <v>0</v>
      </c>
      <c r="H377" s="259">
        <f t="shared" si="242"/>
        <v>0</v>
      </c>
      <c r="I377" s="259">
        <f t="shared" si="242"/>
        <v>0</v>
      </c>
      <c r="J377" s="220"/>
      <c r="L377" s="205"/>
      <c r="M377" s="220"/>
    </row>
    <row r="378" spans="1:27" outlineLevel="2" x14ac:dyDescent="0.2">
      <c r="A378" s="220"/>
      <c r="B378" s="220"/>
      <c r="C378" s="242" t="s">
        <v>143</v>
      </c>
      <c r="D378" s="259">
        <f t="shared" ref="D378:I378" si="243">IF(INDEX(SAChanged,$B372,7)&gt;0,ROUND(D376/INDEX(SAChanged,$B372,2),0),0)</f>
        <v>0</v>
      </c>
      <c r="E378" s="259">
        <f t="shared" si="243"/>
        <v>0</v>
      </c>
      <c r="F378" s="259">
        <f t="shared" si="243"/>
        <v>0</v>
      </c>
      <c r="G378" s="259">
        <f t="shared" si="243"/>
        <v>0</v>
      </c>
      <c r="H378" s="259">
        <f t="shared" si="243"/>
        <v>0</v>
      </c>
      <c r="I378" s="259">
        <f t="shared" si="243"/>
        <v>0</v>
      </c>
      <c r="J378" s="220"/>
      <c r="L378" s="205"/>
      <c r="M378" s="220"/>
    </row>
    <row r="379" spans="1:27" outlineLevel="1" x14ac:dyDescent="0.2">
      <c r="A379" s="220"/>
      <c r="B379" s="220"/>
      <c r="C379" s="264"/>
      <c r="D379" s="248"/>
      <c r="E379" s="220"/>
      <c r="F379" s="220"/>
      <c r="G379" s="220"/>
      <c r="H379" s="220"/>
      <c r="I379" s="220"/>
      <c r="J379" s="220"/>
      <c r="K379" s="220"/>
      <c r="L379" s="220"/>
      <c r="M379" s="220"/>
      <c r="N379" s="220"/>
    </row>
    <row r="380" spans="1:27" ht="15" outlineLevel="1" x14ac:dyDescent="0.2">
      <c r="A380" s="220"/>
      <c r="B380" s="422">
        <v>17</v>
      </c>
      <c r="C380" s="221" t="str">
        <f>INDEX(PBSScriptsChanged,B380,1)</f>
        <v>** NOT USED **</v>
      </c>
      <c r="D380" s="207"/>
      <c r="E380" s="207"/>
      <c r="F380" s="207"/>
      <c r="G380" s="207"/>
      <c r="H380" s="207"/>
      <c r="I380" s="207"/>
      <c r="J380" s="207"/>
      <c r="K380" s="207"/>
      <c r="L380" s="189"/>
      <c r="M380" s="189"/>
      <c r="N380" s="189"/>
      <c r="O380" s="178"/>
      <c r="P380" s="178"/>
      <c r="Q380" s="178"/>
      <c r="R380" s="178"/>
      <c r="S380" s="178"/>
      <c r="T380" s="178"/>
      <c r="U380" s="178"/>
      <c r="V380" s="178"/>
      <c r="W380" s="178"/>
      <c r="X380" s="178"/>
      <c r="Y380" s="178"/>
      <c r="Z380" s="178"/>
      <c r="AA380" s="178"/>
    </row>
    <row r="381" spans="1:27" outlineLevel="2" x14ac:dyDescent="0.2">
      <c r="A381" s="220"/>
      <c r="B381" s="220"/>
      <c r="C381" s="503"/>
      <c r="D381" s="545">
        <v>2</v>
      </c>
      <c r="E381" s="545">
        <v>3</v>
      </c>
      <c r="F381" s="545">
        <v>4</v>
      </c>
      <c r="G381" s="545">
        <v>5</v>
      </c>
      <c r="H381" s="545">
        <v>6</v>
      </c>
      <c r="I381" s="545">
        <v>7</v>
      </c>
      <c r="J381" s="545"/>
      <c r="K381" s="503"/>
      <c r="L381" s="503"/>
      <c r="M381" s="503"/>
      <c r="N381" s="503"/>
    </row>
    <row r="382" spans="1:27" outlineLevel="2" x14ac:dyDescent="0.2">
      <c r="A382" s="220"/>
      <c r="B382" s="220"/>
      <c r="C382" s="220"/>
      <c r="D382" s="414">
        <f>FirstYear</f>
        <v>0</v>
      </c>
      <c r="E382" s="414">
        <f>D382+1</f>
        <v>1</v>
      </c>
      <c r="F382" s="414">
        <f>E382+1</f>
        <v>2</v>
      </c>
      <c r="G382" s="414">
        <f>F382+1</f>
        <v>3</v>
      </c>
      <c r="H382" s="414">
        <f>G382+1</f>
        <v>4</v>
      </c>
      <c r="I382" s="414">
        <f>H382+1</f>
        <v>5</v>
      </c>
      <c r="J382" s="220"/>
      <c r="K382" s="220"/>
      <c r="L382" s="220"/>
      <c r="M382" s="220"/>
      <c r="N382" s="220"/>
    </row>
    <row r="383" spans="1:27" outlineLevel="2" x14ac:dyDescent="0.2">
      <c r="A383" s="220"/>
      <c r="B383" s="220"/>
      <c r="C383" s="258" t="s">
        <v>140</v>
      </c>
      <c r="D383" s="259">
        <f t="shared" ref="D383:I383" si="244">INDEX(PBSScriptsChanged,$B380,D381)</f>
        <v>0</v>
      </c>
      <c r="E383" s="259">
        <f t="shared" si="244"/>
        <v>0</v>
      </c>
      <c r="F383" s="259">
        <f t="shared" si="244"/>
        <v>0</v>
      </c>
      <c r="G383" s="259">
        <f t="shared" si="244"/>
        <v>0</v>
      </c>
      <c r="H383" s="259">
        <f t="shared" si="244"/>
        <v>0</v>
      </c>
      <c r="I383" s="259">
        <f t="shared" si="244"/>
        <v>0</v>
      </c>
      <c r="J383" s="220"/>
      <c r="K383" s="220"/>
      <c r="L383" s="220"/>
      <c r="M383" s="220"/>
      <c r="N383" s="220"/>
    </row>
    <row r="384" spans="1:27" outlineLevel="2" x14ac:dyDescent="0.2">
      <c r="A384" s="220"/>
      <c r="B384" s="220"/>
      <c r="C384" s="258" t="s">
        <v>141</v>
      </c>
      <c r="D384" s="259">
        <f t="shared" ref="D384:I384" si="245">INDEX(RPBSScriptsChanged,$B380,D381)</f>
        <v>0</v>
      </c>
      <c r="E384" s="259">
        <f t="shared" si="245"/>
        <v>0</v>
      </c>
      <c r="F384" s="259">
        <f t="shared" si="245"/>
        <v>0</v>
      </c>
      <c r="G384" s="259">
        <f t="shared" si="245"/>
        <v>0</v>
      </c>
      <c r="H384" s="259">
        <f t="shared" si="245"/>
        <v>0</v>
      </c>
      <c r="I384" s="259">
        <f t="shared" si="245"/>
        <v>0</v>
      </c>
      <c r="J384" s="220"/>
      <c r="K384" s="220"/>
      <c r="L384" s="220"/>
      <c r="M384" s="220"/>
      <c r="N384" s="220"/>
    </row>
    <row r="385" spans="1:27" outlineLevel="2" x14ac:dyDescent="0.2">
      <c r="A385" s="220"/>
      <c r="B385" s="220"/>
      <c r="C385" s="242" t="s">
        <v>142</v>
      </c>
      <c r="D385" s="259">
        <f t="shared" ref="D385:I385" si="246">IF(INDEX(SAChanged,$B380,7)&gt;0,ROUND(D383/INDEX(SAChanged,$B380,2),0),0)</f>
        <v>0</v>
      </c>
      <c r="E385" s="259">
        <f t="shared" si="246"/>
        <v>0</v>
      </c>
      <c r="F385" s="259">
        <f t="shared" si="246"/>
        <v>0</v>
      </c>
      <c r="G385" s="259">
        <f t="shared" si="246"/>
        <v>0</v>
      </c>
      <c r="H385" s="259">
        <f t="shared" si="246"/>
        <v>0</v>
      </c>
      <c r="I385" s="259">
        <f t="shared" si="246"/>
        <v>0</v>
      </c>
      <c r="J385" s="220"/>
      <c r="L385" s="205"/>
      <c r="M385" s="220"/>
    </row>
    <row r="386" spans="1:27" outlineLevel="2" x14ac:dyDescent="0.2">
      <c r="A386" s="220"/>
      <c r="B386" s="220"/>
      <c r="C386" s="242" t="s">
        <v>143</v>
      </c>
      <c r="D386" s="259">
        <f t="shared" ref="D386:I386" si="247">IF(INDEX(SAChanged,$B380,7)&gt;0,ROUND(D384/INDEX(SAChanged,$B380,2),0),0)</f>
        <v>0</v>
      </c>
      <c r="E386" s="259">
        <f t="shared" si="247"/>
        <v>0</v>
      </c>
      <c r="F386" s="259">
        <f t="shared" si="247"/>
        <v>0</v>
      </c>
      <c r="G386" s="259">
        <f t="shared" si="247"/>
        <v>0</v>
      </c>
      <c r="H386" s="259">
        <f t="shared" si="247"/>
        <v>0</v>
      </c>
      <c r="I386" s="259">
        <f t="shared" si="247"/>
        <v>0</v>
      </c>
      <c r="J386" s="220"/>
      <c r="L386" s="205"/>
      <c r="M386" s="220"/>
    </row>
    <row r="387" spans="1:27" outlineLevel="1" x14ac:dyDescent="0.2">
      <c r="A387" s="220"/>
      <c r="B387" s="220"/>
      <c r="C387" s="264"/>
      <c r="D387" s="248"/>
      <c r="E387" s="220"/>
      <c r="F387" s="220"/>
      <c r="G387" s="220"/>
      <c r="H387" s="220"/>
      <c r="I387" s="220"/>
      <c r="J387" s="220"/>
      <c r="K387" s="220"/>
      <c r="L387" s="220"/>
      <c r="M387" s="220"/>
      <c r="N387" s="220"/>
    </row>
    <row r="388" spans="1:27" ht="15" outlineLevel="1" x14ac:dyDescent="0.2">
      <c r="A388" s="220"/>
      <c r="B388" s="422">
        <v>18</v>
      </c>
      <c r="C388" s="221" t="str">
        <f>INDEX(PBSScriptsChanged,B388,1)</f>
        <v>** NOT USED **</v>
      </c>
      <c r="D388" s="207"/>
      <c r="E388" s="207"/>
      <c r="F388" s="207"/>
      <c r="G388" s="207"/>
      <c r="H388" s="207"/>
      <c r="I388" s="207"/>
      <c r="J388" s="207"/>
      <c r="K388" s="207"/>
      <c r="L388" s="189"/>
      <c r="M388" s="189"/>
      <c r="N388" s="189"/>
      <c r="O388" s="178"/>
      <c r="P388" s="178"/>
      <c r="Q388" s="178"/>
      <c r="R388" s="178"/>
      <c r="S388" s="178"/>
      <c r="T388" s="178"/>
      <c r="U388" s="178"/>
      <c r="V388" s="178"/>
      <c r="W388" s="178"/>
      <c r="X388" s="178"/>
      <c r="Y388" s="178"/>
      <c r="Z388" s="178"/>
      <c r="AA388" s="178"/>
    </row>
    <row r="389" spans="1:27" outlineLevel="2" x14ac:dyDescent="0.2">
      <c r="A389" s="220"/>
      <c r="B389" s="220"/>
      <c r="C389" s="503"/>
      <c r="D389" s="545">
        <v>2</v>
      </c>
      <c r="E389" s="545">
        <v>3</v>
      </c>
      <c r="F389" s="545">
        <v>4</v>
      </c>
      <c r="G389" s="545">
        <v>5</v>
      </c>
      <c r="H389" s="545">
        <v>6</v>
      </c>
      <c r="I389" s="545">
        <v>7</v>
      </c>
      <c r="J389" s="545"/>
      <c r="K389" s="503"/>
      <c r="L389" s="503"/>
      <c r="M389" s="503"/>
      <c r="N389" s="503"/>
    </row>
    <row r="390" spans="1:27" outlineLevel="2" x14ac:dyDescent="0.2">
      <c r="A390" s="220"/>
      <c r="B390" s="220"/>
      <c r="C390" s="220"/>
      <c r="D390" s="414">
        <f>FirstYear</f>
        <v>0</v>
      </c>
      <c r="E390" s="414">
        <f>D390+1</f>
        <v>1</v>
      </c>
      <c r="F390" s="414">
        <f>E390+1</f>
        <v>2</v>
      </c>
      <c r="G390" s="414">
        <f>F390+1</f>
        <v>3</v>
      </c>
      <c r="H390" s="414">
        <f>G390+1</f>
        <v>4</v>
      </c>
      <c r="I390" s="414">
        <f>H390+1</f>
        <v>5</v>
      </c>
      <c r="J390" s="220"/>
      <c r="K390" s="220"/>
      <c r="L390" s="220"/>
      <c r="M390" s="220"/>
      <c r="N390" s="220"/>
    </row>
    <row r="391" spans="1:27" outlineLevel="2" x14ac:dyDescent="0.2">
      <c r="A391" s="220"/>
      <c r="B391" s="220"/>
      <c r="C391" s="258" t="s">
        <v>140</v>
      </c>
      <c r="D391" s="259">
        <f t="shared" ref="D391:I391" si="248">INDEX(PBSScriptsChanged,$B388,D389)</f>
        <v>0</v>
      </c>
      <c r="E391" s="259">
        <f t="shared" si="248"/>
        <v>0</v>
      </c>
      <c r="F391" s="259">
        <f t="shared" si="248"/>
        <v>0</v>
      </c>
      <c r="G391" s="259">
        <f t="shared" si="248"/>
        <v>0</v>
      </c>
      <c r="H391" s="259">
        <f t="shared" si="248"/>
        <v>0</v>
      </c>
      <c r="I391" s="259">
        <f t="shared" si="248"/>
        <v>0</v>
      </c>
      <c r="J391" s="220"/>
      <c r="K391" s="220"/>
      <c r="L391" s="220"/>
      <c r="M391" s="220"/>
      <c r="N391" s="220"/>
    </row>
    <row r="392" spans="1:27" outlineLevel="2" x14ac:dyDescent="0.2">
      <c r="A392" s="220"/>
      <c r="B392" s="220"/>
      <c r="C392" s="258" t="s">
        <v>141</v>
      </c>
      <c r="D392" s="259">
        <f t="shared" ref="D392:I392" si="249">INDEX(RPBSScriptsChanged,$B388,D389)</f>
        <v>0</v>
      </c>
      <c r="E392" s="259">
        <f t="shared" si="249"/>
        <v>0</v>
      </c>
      <c r="F392" s="259">
        <f t="shared" si="249"/>
        <v>0</v>
      </c>
      <c r="G392" s="259">
        <f t="shared" si="249"/>
        <v>0</v>
      </c>
      <c r="H392" s="259">
        <f t="shared" si="249"/>
        <v>0</v>
      </c>
      <c r="I392" s="259">
        <f t="shared" si="249"/>
        <v>0</v>
      </c>
      <c r="J392" s="220"/>
      <c r="K392" s="220"/>
      <c r="L392" s="220"/>
      <c r="M392" s="220"/>
      <c r="N392" s="220"/>
    </row>
    <row r="393" spans="1:27" outlineLevel="2" x14ac:dyDescent="0.2">
      <c r="A393" s="220"/>
      <c r="B393" s="220"/>
      <c r="C393" s="242" t="s">
        <v>142</v>
      </c>
      <c r="D393" s="259">
        <f t="shared" ref="D393:I393" si="250">IF(INDEX(SAChanged,$B388,7)&gt;0,ROUND(D391/INDEX(SAChanged,$B388,2),0),0)</f>
        <v>0</v>
      </c>
      <c r="E393" s="259">
        <f t="shared" si="250"/>
        <v>0</v>
      </c>
      <c r="F393" s="259">
        <f t="shared" si="250"/>
        <v>0</v>
      </c>
      <c r="G393" s="259">
        <f t="shared" si="250"/>
        <v>0</v>
      </c>
      <c r="H393" s="259">
        <f t="shared" si="250"/>
        <v>0</v>
      </c>
      <c r="I393" s="259">
        <f t="shared" si="250"/>
        <v>0</v>
      </c>
      <c r="J393" s="220"/>
      <c r="L393" s="205"/>
      <c r="M393" s="220"/>
    </row>
    <row r="394" spans="1:27" outlineLevel="2" x14ac:dyDescent="0.2">
      <c r="A394" s="220"/>
      <c r="B394" s="220"/>
      <c r="C394" s="242" t="s">
        <v>143</v>
      </c>
      <c r="D394" s="259">
        <f t="shared" ref="D394:I394" si="251">IF(INDEX(SAChanged,$B388,7)&gt;0,ROUND(D392/INDEX(SAChanged,$B388,2),0),0)</f>
        <v>0</v>
      </c>
      <c r="E394" s="259">
        <f t="shared" si="251"/>
        <v>0</v>
      </c>
      <c r="F394" s="259">
        <f t="shared" si="251"/>
        <v>0</v>
      </c>
      <c r="G394" s="259">
        <f t="shared" si="251"/>
        <v>0</v>
      </c>
      <c r="H394" s="259">
        <f t="shared" si="251"/>
        <v>0</v>
      </c>
      <c r="I394" s="259">
        <f t="shared" si="251"/>
        <v>0</v>
      </c>
      <c r="J394" s="220"/>
      <c r="L394" s="205"/>
      <c r="M394" s="220"/>
    </row>
    <row r="395" spans="1:27" outlineLevel="1" x14ac:dyDescent="0.2">
      <c r="A395" s="220"/>
      <c r="B395" s="220"/>
      <c r="C395" s="264"/>
      <c r="D395" s="248"/>
      <c r="E395" s="220"/>
      <c r="F395" s="220"/>
      <c r="G395" s="220"/>
      <c r="H395" s="220"/>
      <c r="I395" s="220"/>
      <c r="J395" s="220"/>
      <c r="K395" s="220"/>
      <c r="L395" s="220"/>
      <c r="M395" s="220"/>
      <c r="N395" s="220"/>
    </row>
    <row r="396" spans="1:27" ht="15" outlineLevel="1" x14ac:dyDescent="0.2">
      <c r="A396" s="220"/>
      <c r="B396" s="422">
        <v>19</v>
      </c>
      <c r="C396" s="221" t="str">
        <f>INDEX(PBSScriptsChanged,B396,1)</f>
        <v>** NOT USED **</v>
      </c>
      <c r="D396" s="207"/>
      <c r="E396" s="207"/>
      <c r="F396" s="207"/>
      <c r="G396" s="207"/>
      <c r="H396" s="207"/>
      <c r="I396" s="207"/>
      <c r="J396" s="207"/>
      <c r="K396" s="207"/>
      <c r="L396" s="189"/>
      <c r="M396" s="189"/>
      <c r="N396" s="189"/>
      <c r="O396" s="178"/>
      <c r="P396" s="178"/>
      <c r="Q396" s="178"/>
      <c r="R396" s="178"/>
      <c r="S396" s="178"/>
      <c r="T396" s="178"/>
      <c r="U396" s="178"/>
      <c r="V396" s="178"/>
      <c r="W396" s="178"/>
      <c r="X396" s="178"/>
      <c r="Y396" s="178"/>
      <c r="Z396" s="178"/>
      <c r="AA396" s="178"/>
    </row>
    <row r="397" spans="1:27" outlineLevel="2" x14ac:dyDescent="0.2">
      <c r="A397" s="220"/>
      <c r="B397" s="220"/>
      <c r="C397" s="503"/>
      <c r="D397" s="545">
        <v>2</v>
      </c>
      <c r="E397" s="545">
        <v>3</v>
      </c>
      <c r="F397" s="545">
        <v>4</v>
      </c>
      <c r="G397" s="545">
        <v>5</v>
      </c>
      <c r="H397" s="545">
        <v>6</v>
      </c>
      <c r="I397" s="545">
        <v>7</v>
      </c>
      <c r="J397" s="545"/>
      <c r="K397" s="503"/>
      <c r="L397" s="503"/>
      <c r="M397" s="503"/>
      <c r="N397" s="503"/>
    </row>
    <row r="398" spans="1:27" outlineLevel="2" x14ac:dyDescent="0.2">
      <c r="A398" s="220"/>
      <c r="B398" s="220"/>
      <c r="C398" s="220"/>
      <c r="D398" s="414">
        <f>FirstYear</f>
        <v>0</v>
      </c>
      <c r="E398" s="414">
        <f>D398+1</f>
        <v>1</v>
      </c>
      <c r="F398" s="414">
        <f>E398+1</f>
        <v>2</v>
      </c>
      <c r="G398" s="414">
        <f>F398+1</f>
        <v>3</v>
      </c>
      <c r="H398" s="414">
        <f>G398+1</f>
        <v>4</v>
      </c>
      <c r="I398" s="414">
        <f>H398+1</f>
        <v>5</v>
      </c>
      <c r="J398" s="220"/>
      <c r="K398" s="220"/>
      <c r="L398" s="220"/>
      <c r="M398" s="220"/>
      <c r="N398" s="220"/>
    </row>
    <row r="399" spans="1:27" outlineLevel="2" x14ac:dyDescent="0.2">
      <c r="A399" s="220"/>
      <c r="B399" s="220"/>
      <c r="C399" s="258" t="s">
        <v>140</v>
      </c>
      <c r="D399" s="259">
        <f t="shared" ref="D399:I399" si="252">INDEX(PBSScriptsChanged,$B396,D397)</f>
        <v>0</v>
      </c>
      <c r="E399" s="259">
        <f t="shared" si="252"/>
        <v>0</v>
      </c>
      <c r="F399" s="259">
        <f t="shared" si="252"/>
        <v>0</v>
      </c>
      <c r="G399" s="259">
        <f t="shared" si="252"/>
        <v>0</v>
      </c>
      <c r="H399" s="259">
        <f t="shared" si="252"/>
        <v>0</v>
      </c>
      <c r="I399" s="259">
        <f t="shared" si="252"/>
        <v>0</v>
      </c>
      <c r="J399" s="220"/>
      <c r="K399" s="220"/>
      <c r="L399" s="220"/>
      <c r="M399" s="220"/>
      <c r="N399" s="220"/>
    </row>
    <row r="400" spans="1:27" outlineLevel="2" x14ac:dyDescent="0.2">
      <c r="A400" s="220"/>
      <c r="B400" s="220"/>
      <c r="C400" s="258" t="s">
        <v>141</v>
      </c>
      <c r="D400" s="259">
        <f t="shared" ref="D400:I400" si="253">INDEX(RPBSScriptsChanged,$B396,D397)</f>
        <v>0</v>
      </c>
      <c r="E400" s="259">
        <f t="shared" si="253"/>
        <v>0</v>
      </c>
      <c r="F400" s="259">
        <f t="shared" si="253"/>
        <v>0</v>
      </c>
      <c r="G400" s="259">
        <f t="shared" si="253"/>
        <v>0</v>
      </c>
      <c r="H400" s="259">
        <f t="shared" si="253"/>
        <v>0</v>
      </c>
      <c r="I400" s="259">
        <f t="shared" si="253"/>
        <v>0</v>
      </c>
      <c r="J400" s="220"/>
      <c r="K400" s="220"/>
      <c r="L400" s="220"/>
      <c r="M400" s="220"/>
      <c r="N400" s="220"/>
    </row>
    <row r="401" spans="1:27" outlineLevel="2" x14ac:dyDescent="0.2">
      <c r="A401" s="220"/>
      <c r="B401" s="220"/>
      <c r="C401" s="242" t="s">
        <v>142</v>
      </c>
      <c r="D401" s="259">
        <f t="shared" ref="D401:I401" si="254">IF(INDEX(SAChanged,$B396,7)&gt;0,ROUND(D399/INDEX(SAChanged,$B396,2),0),0)</f>
        <v>0</v>
      </c>
      <c r="E401" s="259">
        <f t="shared" si="254"/>
        <v>0</v>
      </c>
      <c r="F401" s="259">
        <f t="shared" si="254"/>
        <v>0</v>
      </c>
      <c r="G401" s="259">
        <f t="shared" si="254"/>
        <v>0</v>
      </c>
      <c r="H401" s="259">
        <f t="shared" si="254"/>
        <v>0</v>
      </c>
      <c r="I401" s="259">
        <f t="shared" si="254"/>
        <v>0</v>
      </c>
      <c r="J401" s="220"/>
      <c r="L401" s="205"/>
      <c r="M401" s="220"/>
    </row>
    <row r="402" spans="1:27" outlineLevel="2" x14ac:dyDescent="0.2">
      <c r="A402" s="220"/>
      <c r="B402" s="220"/>
      <c r="C402" s="242" t="s">
        <v>143</v>
      </c>
      <c r="D402" s="259">
        <f t="shared" ref="D402:I402" si="255">IF(INDEX(SAChanged,$B396,7)&gt;0,ROUND(D400/INDEX(SAChanged,$B396,2),0),0)</f>
        <v>0</v>
      </c>
      <c r="E402" s="259">
        <f t="shared" si="255"/>
        <v>0</v>
      </c>
      <c r="F402" s="259">
        <f t="shared" si="255"/>
        <v>0</v>
      </c>
      <c r="G402" s="259">
        <f t="shared" si="255"/>
        <v>0</v>
      </c>
      <c r="H402" s="259">
        <f t="shared" si="255"/>
        <v>0</v>
      </c>
      <c r="I402" s="259">
        <f t="shared" si="255"/>
        <v>0</v>
      </c>
      <c r="J402" s="220"/>
      <c r="L402" s="205"/>
      <c r="M402" s="220"/>
    </row>
    <row r="403" spans="1:27" outlineLevel="1" x14ac:dyDescent="0.2">
      <c r="A403" s="220"/>
      <c r="B403" s="220"/>
      <c r="C403" s="264"/>
      <c r="D403" s="248"/>
      <c r="E403" s="220"/>
      <c r="F403" s="220"/>
      <c r="G403" s="220"/>
      <c r="H403" s="220"/>
      <c r="I403" s="220"/>
      <c r="J403" s="220"/>
      <c r="K403" s="220"/>
      <c r="L403" s="220"/>
      <c r="M403" s="220"/>
      <c r="N403" s="220"/>
    </row>
    <row r="404" spans="1:27" ht="15" outlineLevel="1" x14ac:dyDescent="0.2">
      <c r="A404" s="220"/>
      <c r="B404" s="422">
        <v>20</v>
      </c>
      <c r="C404" s="221" t="str">
        <f>INDEX(PBSScriptsChanged,B404,1)</f>
        <v>** NOT USED **</v>
      </c>
      <c r="D404" s="207"/>
      <c r="E404" s="207"/>
      <c r="F404" s="207"/>
      <c r="G404" s="207"/>
      <c r="H404" s="207"/>
      <c r="I404" s="207"/>
      <c r="J404" s="207"/>
      <c r="K404" s="207"/>
      <c r="L404" s="189"/>
      <c r="M404" s="189"/>
      <c r="N404" s="189"/>
      <c r="O404" s="178"/>
      <c r="P404" s="178"/>
      <c r="Q404" s="178"/>
      <c r="R404" s="178"/>
      <c r="S404" s="178"/>
      <c r="T404" s="178"/>
      <c r="U404" s="178"/>
      <c r="V404" s="178"/>
      <c r="W404" s="178"/>
      <c r="X404" s="178"/>
      <c r="Y404" s="178"/>
      <c r="Z404" s="178"/>
      <c r="AA404" s="178"/>
    </row>
    <row r="405" spans="1:27" outlineLevel="2" x14ac:dyDescent="0.2">
      <c r="A405" s="220"/>
      <c r="B405" s="220"/>
      <c r="C405" s="503"/>
      <c r="D405" s="545">
        <v>2</v>
      </c>
      <c r="E405" s="545">
        <v>3</v>
      </c>
      <c r="F405" s="545">
        <v>4</v>
      </c>
      <c r="G405" s="545">
        <v>5</v>
      </c>
      <c r="H405" s="545">
        <v>6</v>
      </c>
      <c r="I405" s="545">
        <v>7</v>
      </c>
      <c r="J405" s="545"/>
      <c r="K405" s="503"/>
      <c r="L405" s="503"/>
      <c r="M405" s="503"/>
      <c r="N405" s="503"/>
    </row>
    <row r="406" spans="1:27" outlineLevel="2" x14ac:dyDescent="0.2">
      <c r="A406" s="220"/>
      <c r="B406" s="220"/>
      <c r="C406" s="220"/>
      <c r="D406" s="414">
        <f>FirstYear</f>
        <v>0</v>
      </c>
      <c r="E406" s="414">
        <f>D406+1</f>
        <v>1</v>
      </c>
      <c r="F406" s="414">
        <f>E406+1</f>
        <v>2</v>
      </c>
      <c r="G406" s="414">
        <f>F406+1</f>
        <v>3</v>
      </c>
      <c r="H406" s="414">
        <f>G406+1</f>
        <v>4</v>
      </c>
      <c r="I406" s="414">
        <f>H406+1</f>
        <v>5</v>
      </c>
      <c r="J406" s="220"/>
      <c r="K406" s="220"/>
      <c r="L406" s="220"/>
      <c r="M406" s="220"/>
      <c r="N406" s="220"/>
    </row>
    <row r="407" spans="1:27" outlineLevel="2" x14ac:dyDescent="0.2">
      <c r="A407" s="220"/>
      <c r="B407" s="220"/>
      <c r="C407" s="258" t="s">
        <v>140</v>
      </c>
      <c r="D407" s="259">
        <f t="shared" ref="D407:I407" si="256">INDEX(PBSScriptsChanged,$B404,D405)</f>
        <v>0</v>
      </c>
      <c r="E407" s="259">
        <f t="shared" si="256"/>
        <v>0</v>
      </c>
      <c r="F407" s="259">
        <f t="shared" si="256"/>
        <v>0</v>
      </c>
      <c r="G407" s="259">
        <f t="shared" si="256"/>
        <v>0</v>
      </c>
      <c r="H407" s="259">
        <f t="shared" si="256"/>
        <v>0</v>
      </c>
      <c r="I407" s="259">
        <f t="shared" si="256"/>
        <v>0</v>
      </c>
      <c r="J407" s="220"/>
      <c r="K407" s="220"/>
      <c r="L407" s="220"/>
      <c r="M407" s="220"/>
      <c r="N407" s="220"/>
    </row>
    <row r="408" spans="1:27" outlineLevel="2" x14ac:dyDescent="0.2">
      <c r="A408" s="220"/>
      <c r="B408" s="220"/>
      <c r="C408" s="258" t="s">
        <v>141</v>
      </c>
      <c r="D408" s="259">
        <f t="shared" ref="D408:I408" si="257">INDEX(RPBSScriptsChanged,$B404,D405)</f>
        <v>0</v>
      </c>
      <c r="E408" s="259">
        <f t="shared" si="257"/>
        <v>0</v>
      </c>
      <c r="F408" s="259">
        <f t="shared" si="257"/>
        <v>0</v>
      </c>
      <c r="G408" s="259">
        <f t="shared" si="257"/>
        <v>0</v>
      </c>
      <c r="H408" s="259">
        <f t="shared" si="257"/>
        <v>0</v>
      </c>
      <c r="I408" s="259">
        <f t="shared" si="257"/>
        <v>0</v>
      </c>
      <c r="J408" s="220"/>
      <c r="K408" s="220"/>
      <c r="L408" s="220"/>
      <c r="M408" s="220"/>
      <c r="N408" s="220"/>
    </row>
    <row r="409" spans="1:27" outlineLevel="2" x14ac:dyDescent="0.2">
      <c r="A409" s="220"/>
      <c r="B409" s="220"/>
      <c r="C409" s="242" t="s">
        <v>142</v>
      </c>
      <c r="D409" s="259">
        <f t="shared" ref="D409:I409" si="258">IF(INDEX(SAChanged,$B404,7)&gt;0,ROUND(D407/INDEX(SAChanged,$B404,2),0),0)</f>
        <v>0</v>
      </c>
      <c r="E409" s="259">
        <f t="shared" si="258"/>
        <v>0</v>
      </c>
      <c r="F409" s="259">
        <f t="shared" si="258"/>
        <v>0</v>
      </c>
      <c r="G409" s="259">
        <f t="shared" si="258"/>
        <v>0</v>
      </c>
      <c r="H409" s="259">
        <f t="shared" si="258"/>
        <v>0</v>
      </c>
      <c r="I409" s="259">
        <f t="shared" si="258"/>
        <v>0</v>
      </c>
      <c r="J409" s="220"/>
      <c r="L409" s="205"/>
      <c r="M409" s="220"/>
    </row>
    <row r="410" spans="1:27" outlineLevel="2" x14ac:dyDescent="0.2">
      <c r="A410" s="220"/>
      <c r="B410" s="220"/>
      <c r="C410" s="242" t="s">
        <v>143</v>
      </c>
      <c r="D410" s="259">
        <f t="shared" ref="D410:I410" si="259">IF(INDEX(SAChanged,$B404,7)&gt;0,ROUND(D408/INDEX(SAChanged,$B404,2),0),0)</f>
        <v>0</v>
      </c>
      <c r="E410" s="259">
        <f t="shared" si="259"/>
        <v>0</v>
      </c>
      <c r="F410" s="259">
        <f t="shared" si="259"/>
        <v>0</v>
      </c>
      <c r="G410" s="259">
        <f t="shared" si="259"/>
        <v>0</v>
      </c>
      <c r="H410" s="259">
        <f t="shared" si="259"/>
        <v>0</v>
      </c>
      <c r="I410" s="259">
        <f t="shared" si="259"/>
        <v>0</v>
      </c>
      <c r="J410" s="220"/>
      <c r="L410" s="205"/>
      <c r="M410" s="220"/>
    </row>
    <row r="411" spans="1:27" outlineLevel="2" x14ac:dyDescent="0.2">
      <c r="A411" s="220"/>
      <c r="B411" s="220"/>
      <c r="C411" s="264"/>
      <c r="D411" s="248"/>
      <c r="E411" s="220"/>
      <c r="F411" s="220"/>
      <c r="G411" s="220"/>
      <c r="H411" s="220"/>
      <c r="I411" s="220"/>
      <c r="J411" s="220"/>
      <c r="K411" s="220"/>
      <c r="L411" s="220"/>
      <c r="M411" s="220"/>
      <c r="N411" s="220"/>
    </row>
    <row r="412" spans="1:27" outlineLevel="1" x14ac:dyDescent="0.2">
      <c r="A412" s="220"/>
      <c r="B412" s="220"/>
      <c r="J412" s="220"/>
      <c r="K412" s="220"/>
      <c r="L412" s="220"/>
      <c r="M412" s="220"/>
      <c r="N412" s="220"/>
    </row>
    <row r="413" spans="1:27" x14ac:dyDescent="0.2">
      <c r="A413" s="220"/>
      <c r="B413" s="220"/>
      <c r="C413" s="264"/>
      <c r="D413" s="248"/>
      <c r="E413" s="220"/>
      <c r="F413" s="220"/>
      <c r="G413" s="220"/>
      <c r="H413" s="220"/>
      <c r="I413" s="220"/>
      <c r="J413" s="220"/>
      <c r="K413" s="220"/>
      <c r="L413" s="220"/>
      <c r="M413" s="220"/>
      <c r="N413" s="220"/>
    </row>
    <row r="414" spans="1:27" ht="15.75" x14ac:dyDescent="0.2">
      <c r="A414" s="176"/>
      <c r="B414" s="176"/>
      <c r="C414" s="174" t="s">
        <v>676</v>
      </c>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row>
    <row r="415" spans="1:27" x14ac:dyDescent="0.2">
      <c r="A415" s="5"/>
      <c r="B415" s="5"/>
    </row>
    <row r="416" spans="1:27" x14ac:dyDescent="0.2">
      <c r="A416" s="5"/>
      <c r="B416" s="5"/>
      <c r="C416" s="1" t="s">
        <v>25</v>
      </c>
      <c r="D416" s="1"/>
      <c r="E416" s="1"/>
      <c r="F416" s="1"/>
      <c r="G416" s="1"/>
      <c r="H416" s="1"/>
      <c r="I416" s="1"/>
      <c r="J416" s="1"/>
      <c r="K416" s="1"/>
      <c r="L416" s="1"/>
      <c r="M416" s="1"/>
      <c r="N416" s="1"/>
    </row>
  </sheetData>
  <mergeCells count="46">
    <mergeCell ref="C245:E245"/>
    <mergeCell ref="C246:E246"/>
    <mergeCell ref="C247:E247"/>
    <mergeCell ref="C248:E248"/>
    <mergeCell ref="C249:E249"/>
    <mergeCell ref="C240:E240"/>
    <mergeCell ref="C241:E241"/>
    <mergeCell ref="C242:E242"/>
    <mergeCell ref="C243:E243"/>
    <mergeCell ref="C244:E244"/>
    <mergeCell ref="C42:E42"/>
    <mergeCell ref="C43:E43"/>
    <mergeCell ref="C44:E44"/>
    <mergeCell ref="C50:E50"/>
    <mergeCell ref="C45:E45"/>
    <mergeCell ref="C46:E46"/>
    <mergeCell ref="C47:E47"/>
    <mergeCell ref="C48:E48"/>
    <mergeCell ref="C49:E49"/>
    <mergeCell ref="C229:E229"/>
    <mergeCell ref="C230:E230"/>
    <mergeCell ref="C231:E231"/>
    <mergeCell ref="C232:E232"/>
    <mergeCell ref="C233:E233"/>
    <mergeCell ref="C239:E239"/>
    <mergeCell ref="C234:E234"/>
    <mergeCell ref="C235:E235"/>
    <mergeCell ref="C236:E236"/>
    <mergeCell ref="C237:E237"/>
    <mergeCell ref="C238:E238"/>
    <mergeCell ref="N39:S39"/>
    <mergeCell ref="T39:Y39"/>
    <mergeCell ref="N228:S228"/>
    <mergeCell ref="T228:Y228"/>
    <mergeCell ref="C56:E56"/>
    <mergeCell ref="C57:E57"/>
    <mergeCell ref="C58:E58"/>
    <mergeCell ref="C59:E59"/>
    <mergeCell ref="C60:E60"/>
    <mergeCell ref="C51:E51"/>
    <mergeCell ref="C52:E52"/>
    <mergeCell ref="C53:E53"/>
    <mergeCell ref="C54:E54"/>
    <mergeCell ref="C55:E55"/>
    <mergeCell ref="C40:E40"/>
    <mergeCell ref="C41:E41"/>
  </mergeCells>
  <conditionalFormatting sqref="F240:J240">
    <cfRule type="expression" dxfId="248" priority="82">
      <formula>$C$240=MsgNotUsed</formula>
    </cfRule>
  </conditionalFormatting>
  <conditionalFormatting sqref="F241:J241">
    <cfRule type="expression" dxfId="247" priority="81">
      <formula>$C$241=MsgNotUsed</formula>
    </cfRule>
  </conditionalFormatting>
  <conditionalFormatting sqref="F242:J242">
    <cfRule type="expression" dxfId="246" priority="80">
      <formula>$C$242=MsgNotUsed</formula>
    </cfRule>
  </conditionalFormatting>
  <conditionalFormatting sqref="F243:J243">
    <cfRule type="expression" dxfId="245" priority="79">
      <formula>$C$243=MsgNotUsed</formula>
    </cfRule>
  </conditionalFormatting>
  <conditionalFormatting sqref="F244:J244">
    <cfRule type="expression" dxfId="244" priority="78">
      <formula>$C$244=MsgNotUsed</formula>
    </cfRule>
  </conditionalFormatting>
  <conditionalFormatting sqref="F245:J245">
    <cfRule type="expression" dxfId="243" priority="77">
      <formula>$C$245=MsgNotUsed</formula>
    </cfRule>
  </conditionalFormatting>
  <conditionalFormatting sqref="F246:J246">
    <cfRule type="expression" dxfId="242" priority="76">
      <formula>$C$246=MsgNotUsed</formula>
    </cfRule>
  </conditionalFormatting>
  <conditionalFormatting sqref="F247:J247">
    <cfRule type="expression" dxfId="241" priority="75">
      <formula>$C$247=MsgNotUsed</formula>
    </cfRule>
  </conditionalFormatting>
  <conditionalFormatting sqref="F248:J248">
    <cfRule type="expression" dxfId="240" priority="74">
      <formula>$C$248=MsgNotUsed</formula>
    </cfRule>
  </conditionalFormatting>
  <conditionalFormatting sqref="F249:J249">
    <cfRule type="expression" dxfId="239" priority="73">
      <formula>$C$249=MsgNotUsed</formula>
    </cfRule>
  </conditionalFormatting>
  <conditionalFormatting sqref="F51:J51">
    <cfRule type="expression" dxfId="238" priority="50">
      <formula>$C$51=MsgNotUsed</formula>
    </cfRule>
  </conditionalFormatting>
  <conditionalFormatting sqref="F52:J52">
    <cfRule type="expression" dxfId="237" priority="49">
      <formula>$C$52=MsgNotUsed</formula>
    </cfRule>
  </conditionalFormatting>
  <conditionalFormatting sqref="F53:J53">
    <cfRule type="expression" dxfId="236" priority="48">
      <formula>$C$53=MsgNotUsed</formula>
    </cfRule>
  </conditionalFormatting>
  <conditionalFormatting sqref="F54:J54">
    <cfRule type="expression" dxfId="235" priority="47">
      <formula>$C$54=MsgNotUsed</formula>
    </cfRule>
  </conditionalFormatting>
  <conditionalFormatting sqref="F55:J55">
    <cfRule type="expression" dxfId="234" priority="46">
      <formula>$C$55=MsgNotUsed</formula>
    </cfRule>
  </conditionalFormatting>
  <conditionalFormatting sqref="F56:J56">
    <cfRule type="expression" dxfId="233" priority="45">
      <formula>$C$56=MsgNotUsed</formula>
    </cfRule>
  </conditionalFormatting>
  <conditionalFormatting sqref="F57:J57">
    <cfRule type="expression" dxfId="232" priority="44">
      <formula>$C$57=MsgNotUsed</formula>
    </cfRule>
  </conditionalFormatting>
  <conditionalFormatting sqref="F58:J58">
    <cfRule type="expression" dxfId="231" priority="43">
      <formula>$C$58=MsgNotUsed</formula>
    </cfRule>
  </conditionalFormatting>
  <conditionalFormatting sqref="F59:J59">
    <cfRule type="expression" dxfId="230" priority="42">
      <formula>$C$59=MsgNotUsed</formula>
    </cfRule>
  </conditionalFormatting>
  <conditionalFormatting sqref="F60:J60">
    <cfRule type="expression" dxfId="229" priority="41">
      <formula>$C$60=MsgNotUsed</formula>
    </cfRule>
  </conditionalFormatting>
  <conditionalFormatting sqref="F230:J230">
    <cfRule type="expression" dxfId="228" priority="72">
      <formula>$C$230=MsgNotUsed</formula>
    </cfRule>
  </conditionalFormatting>
  <conditionalFormatting sqref="F231:J231">
    <cfRule type="expression" dxfId="227" priority="71">
      <formula>$C$231=MsgNotUsed</formula>
    </cfRule>
  </conditionalFormatting>
  <conditionalFormatting sqref="F232:J232">
    <cfRule type="expression" dxfId="226" priority="70">
      <formula>$C$232=MsgNotUsed</formula>
    </cfRule>
  </conditionalFormatting>
  <conditionalFormatting sqref="F233:J233">
    <cfRule type="expression" dxfId="225" priority="69">
      <formula>$C$233=MsgNotUsed</formula>
    </cfRule>
  </conditionalFormatting>
  <conditionalFormatting sqref="F234:J234">
    <cfRule type="expression" dxfId="224" priority="68">
      <formula>$C$234=MsgNotUsed</formula>
    </cfRule>
  </conditionalFormatting>
  <conditionalFormatting sqref="F235:J235">
    <cfRule type="expression" dxfId="223" priority="67">
      <formula>$C$235=MsgNotUsed</formula>
    </cfRule>
  </conditionalFormatting>
  <conditionalFormatting sqref="F236:J236">
    <cfRule type="expression" dxfId="222" priority="66">
      <formula>$C$236=MsgNotUsed</formula>
    </cfRule>
  </conditionalFormatting>
  <conditionalFormatting sqref="F237:J237">
    <cfRule type="expression" dxfId="221" priority="65">
      <formula>$C$237=MsgNotUsed</formula>
    </cfRule>
  </conditionalFormatting>
  <conditionalFormatting sqref="F238:J238">
    <cfRule type="expression" dxfId="220" priority="64">
      <formula>$C$238=MsgNotUsed</formula>
    </cfRule>
  </conditionalFormatting>
  <conditionalFormatting sqref="F239:J239">
    <cfRule type="expression" dxfId="219" priority="63">
      <formula>$C$239=MsgNotUsed</formula>
    </cfRule>
  </conditionalFormatting>
  <conditionalFormatting sqref="F41:J41">
    <cfRule type="expression" dxfId="218" priority="60">
      <formula>$C$41=MsgNotUsed</formula>
    </cfRule>
  </conditionalFormatting>
  <conditionalFormatting sqref="F42:J42">
    <cfRule type="expression" dxfId="217" priority="59">
      <formula>$C$42=MsgNotUsed</formula>
    </cfRule>
    <cfRule type="expression" dxfId="216" priority="61">
      <formula>$C$42=MsgNotUsed</formula>
    </cfRule>
  </conditionalFormatting>
  <conditionalFormatting sqref="F43:J43">
    <cfRule type="expression" dxfId="215" priority="58">
      <formula>$C$43=MsgNotUsed</formula>
    </cfRule>
  </conditionalFormatting>
  <conditionalFormatting sqref="F44:J44">
    <cfRule type="expression" dxfId="214" priority="57">
      <formula>$C$44=MsgNotUsed</formula>
    </cfRule>
  </conditionalFormatting>
  <conditionalFormatting sqref="F45:J45">
    <cfRule type="expression" dxfId="213" priority="56">
      <formula>$C$45=MsgNotUsed</formula>
    </cfRule>
  </conditionalFormatting>
  <conditionalFormatting sqref="F46:J46">
    <cfRule type="expression" dxfId="212" priority="55">
      <formula>$C$46=MsgNotUsed</formula>
    </cfRule>
  </conditionalFormatting>
  <conditionalFormatting sqref="F47:J47">
    <cfRule type="expression" dxfId="211" priority="54">
      <formula>$C$47=MsgNotUsed</formula>
    </cfRule>
  </conditionalFormatting>
  <conditionalFormatting sqref="F48:J48">
    <cfRule type="expression" dxfId="210" priority="53">
      <formula>$C$48=MsgNotUsed</formula>
    </cfRule>
  </conditionalFormatting>
  <conditionalFormatting sqref="F49:J49">
    <cfRule type="expression" dxfId="209" priority="52">
      <formula>$C$49=MsgNotUsed</formula>
    </cfRule>
  </conditionalFormatting>
  <conditionalFormatting sqref="F50:J50">
    <cfRule type="expression" dxfId="208" priority="51">
      <formula>$C$50=MsgNotUsed</formula>
    </cfRule>
  </conditionalFormatting>
  <conditionalFormatting sqref="I41">
    <cfRule type="expression" dxfId="207" priority="40">
      <formula>$L$41&lt;2</formula>
    </cfRule>
  </conditionalFormatting>
  <conditionalFormatting sqref="I42">
    <cfRule type="expression" dxfId="206" priority="39">
      <formula>$L$42&lt;2</formula>
    </cfRule>
  </conditionalFormatting>
  <conditionalFormatting sqref="I43">
    <cfRule type="expression" dxfId="205" priority="38">
      <formula>$L$43&lt;2</formula>
    </cfRule>
  </conditionalFormatting>
  <conditionalFormatting sqref="I44">
    <cfRule type="expression" dxfId="204" priority="37">
      <formula>$L$44&lt;2</formula>
    </cfRule>
  </conditionalFormatting>
  <conditionalFormatting sqref="I45">
    <cfRule type="expression" dxfId="203" priority="36">
      <formula>$L$45&lt;2</formula>
    </cfRule>
  </conditionalFormatting>
  <conditionalFormatting sqref="I46">
    <cfRule type="expression" dxfId="202" priority="35">
      <formula>$L$46&lt;2</formula>
    </cfRule>
  </conditionalFormatting>
  <conditionalFormatting sqref="I47">
    <cfRule type="expression" dxfId="201" priority="34">
      <formula>$L$47&lt;2</formula>
    </cfRule>
  </conditionalFormatting>
  <conditionalFormatting sqref="I48">
    <cfRule type="expression" dxfId="200" priority="33">
      <formula>$L$48&lt;2</formula>
    </cfRule>
  </conditionalFormatting>
  <conditionalFormatting sqref="I49">
    <cfRule type="expression" dxfId="199" priority="32">
      <formula>$L$49&lt;2</formula>
    </cfRule>
  </conditionalFormatting>
  <conditionalFormatting sqref="I50">
    <cfRule type="expression" dxfId="198" priority="31">
      <formula>$L$50&lt;2</formula>
    </cfRule>
  </conditionalFormatting>
  <conditionalFormatting sqref="I51">
    <cfRule type="expression" dxfId="197" priority="30">
      <formula>$L$51&lt;2</formula>
    </cfRule>
  </conditionalFormatting>
  <conditionalFormatting sqref="I52">
    <cfRule type="expression" dxfId="196" priority="29">
      <formula>$L$52&lt;2</formula>
    </cfRule>
  </conditionalFormatting>
  <conditionalFormatting sqref="I53">
    <cfRule type="expression" dxfId="195" priority="28">
      <formula>$L$53&lt;2</formula>
    </cfRule>
  </conditionalFormatting>
  <conditionalFormatting sqref="I54">
    <cfRule type="expression" dxfId="194" priority="27">
      <formula>$L$54&lt;2</formula>
    </cfRule>
  </conditionalFormatting>
  <conditionalFormatting sqref="I55">
    <cfRule type="expression" dxfId="193" priority="26">
      <formula>$L$55&lt;2</formula>
    </cfRule>
  </conditionalFormatting>
  <conditionalFormatting sqref="I56">
    <cfRule type="expression" dxfId="192" priority="25">
      <formula>$L$56&lt;2</formula>
    </cfRule>
  </conditionalFormatting>
  <conditionalFormatting sqref="I57">
    <cfRule type="expression" dxfId="191" priority="24">
      <formula>$L$57&lt;2</formula>
    </cfRule>
  </conditionalFormatting>
  <conditionalFormatting sqref="I58">
    <cfRule type="expression" dxfId="190" priority="23">
      <formula>$L$58&lt;2</formula>
    </cfRule>
  </conditionalFormatting>
  <conditionalFormatting sqref="I59">
    <cfRule type="expression" dxfId="189" priority="22">
      <formula>$L$59&lt;2</formula>
    </cfRule>
  </conditionalFormatting>
  <conditionalFormatting sqref="I60">
    <cfRule type="expression" dxfId="188" priority="21">
      <formula>$L$60&lt;2</formula>
    </cfRule>
  </conditionalFormatting>
  <conditionalFormatting sqref="I230">
    <cfRule type="expression" dxfId="187" priority="20">
      <formula>$L$230&lt;2</formula>
    </cfRule>
  </conditionalFormatting>
  <conditionalFormatting sqref="I231">
    <cfRule type="expression" dxfId="186" priority="19">
      <formula>$L$231&lt;2</formula>
    </cfRule>
  </conditionalFormatting>
  <conditionalFormatting sqref="I232">
    <cfRule type="expression" dxfId="185" priority="18">
      <formula>$L$232&lt;2</formula>
    </cfRule>
  </conditionalFormatting>
  <conditionalFormatting sqref="I233">
    <cfRule type="expression" dxfId="184" priority="17">
      <formula>$L$233&lt;2</formula>
    </cfRule>
  </conditionalFormatting>
  <conditionalFormatting sqref="I234">
    <cfRule type="expression" dxfId="183" priority="16">
      <formula>$L$234&lt;2</formula>
    </cfRule>
  </conditionalFormatting>
  <conditionalFormatting sqref="I235">
    <cfRule type="expression" dxfId="182" priority="15">
      <formula>$L$235&lt;2</formula>
    </cfRule>
  </conditionalFormatting>
  <conditionalFormatting sqref="I236">
    <cfRule type="expression" dxfId="181" priority="14">
      <formula>$L$236&lt;2</formula>
    </cfRule>
  </conditionalFormatting>
  <conditionalFormatting sqref="I237">
    <cfRule type="expression" dxfId="180" priority="13">
      <formula>$L$237&lt;2</formula>
    </cfRule>
  </conditionalFormatting>
  <conditionalFormatting sqref="I238">
    <cfRule type="expression" dxfId="179" priority="12">
      <formula>$L$238&lt;2</formula>
    </cfRule>
  </conditionalFormatting>
  <conditionalFormatting sqref="I239">
    <cfRule type="expression" dxfId="178" priority="11">
      <formula>$L$239&lt;2</formula>
    </cfRule>
  </conditionalFormatting>
  <conditionalFormatting sqref="I240">
    <cfRule type="expression" dxfId="177" priority="10">
      <formula>$L$240&lt;2</formula>
    </cfRule>
  </conditionalFormatting>
  <conditionalFormatting sqref="I241">
    <cfRule type="expression" dxfId="176" priority="9">
      <formula>$L$241&lt;2</formula>
    </cfRule>
  </conditionalFormatting>
  <conditionalFormatting sqref="I242">
    <cfRule type="expression" dxfId="175" priority="8">
      <formula>$L$242&lt;2</formula>
    </cfRule>
  </conditionalFormatting>
  <conditionalFormatting sqref="I243">
    <cfRule type="expression" dxfId="174" priority="7">
      <formula>$L$243&lt;2</formula>
    </cfRule>
  </conditionalFormatting>
  <conditionalFormatting sqref="I244">
    <cfRule type="expression" dxfId="173" priority="6">
      <formula>$L$244&lt;2</formula>
    </cfRule>
  </conditionalFormatting>
  <conditionalFormatting sqref="I245">
    <cfRule type="expression" dxfId="172" priority="5">
      <formula>$L$245&lt;2</formula>
    </cfRule>
  </conditionalFormatting>
  <conditionalFormatting sqref="I246">
    <cfRule type="expression" dxfId="171" priority="4">
      <formula>$L$246&lt;2</formula>
    </cfRule>
  </conditionalFormatting>
  <conditionalFormatting sqref="I247">
    <cfRule type="expression" dxfId="170" priority="3">
      <formula>$L$247&lt;2</formula>
    </cfRule>
  </conditionalFormatting>
  <conditionalFormatting sqref="I248">
    <cfRule type="expression" dxfId="169" priority="2">
      <formula>$L$248&lt;2</formula>
    </cfRule>
  </conditionalFormatting>
  <conditionalFormatting sqref="I249">
    <cfRule type="expression" dxfId="168" priority="1">
      <formula>$L$249&lt;2</formula>
    </cfRule>
  </conditionalFormatting>
  <dataValidations count="2">
    <dataValidation type="list" allowBlank="1" showInputMessage="1" showErrorMessage="1" sqref="H230:H249 H41:H60">
      <formula1>Authority</formula1>
    </dataValidation>
    <dataValidation type="list" allowBlank="1" showInputMessage="1" showErrorMessage="1" sqref="I230:J249 I41:J60">
      <formula1>Switch</formula1>
    </dataValidation>
  </dataValidations>
  <pageMargins left="0.11811023622047245" right="0.11811023622047245" top="0.19685039370078741" bottom="0.15748031496062992" header="0.31496062992125984" footer="0.31496062992125984"/>
  <pageSetup paperSize="9" scale="38" orientation="landscape" horizontalDpi="300" verticalDpi="300" r:id="rId1"/>
  <ignoredErrors>
    <ignoredError sqref="T40 T22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pageSetUpPr fitToPage="1"/>
  </sheetPr>
  <dimension ref="A1:AX464"/>
  <sheetViews>
    <sheetView showGridLines="0" zoomScaleNormal="100" workbookViewId="0"/>
  </sheetViews>
  <sheetFormatPr defaultRowHeight="12.75" customHeight="1" outlineLevelRow="2" x14ac:dyDescent="0.2"/>
  <cols>
    <col min="1" max="1" width="3.7109375" style="678" customWidth="1"/>
    <col min="2" max="3" width="3.7109375" style="678" hidden="1" customWidth="1"/>
    <col min="4" max="4" width="15.7109375" style="678" customWidth="1"/>
    <col min="5" max="5" width="35.7109375" style="678" customWidth="1"/>
    <col min="6" max="15" width="15.7109375" style="678" customWidth="1"/>
    <col min="16" max="16" width="15.7109375" style="678" hidden="1" customWidth="1"/>
    <col min="17" max="19" width="15.7109375" style="678" customWidth="1"/>
    <col min="20" max="20" width="65.7109375" style="678" customWidth="1"/>
    <col min="21" max="21" width="3.7109375" style="678" customWidth="1"/>
    <col min="22" max="23" width="9.140625" style="678" hidden="1" customWidth="1"/>
    <col min="24" max="24" width="50.7109375" style="678" hidden="1" customWidth="1"/>
    <col min="25" max="29" width="10.7109375" style="678" hidden="1" customWidth="1"/>
    <col min="30" max="50" width="9.140625" style="678" hidden="1" customWidth="1"/>
    <col min="51" max="16384" width="9.140625" style="678"/>
  </cols>
  <sheetData>
    <row r="1" spans="1:50" ht="23.25" x14ac:dyDescent="0.2">
      <c r="A1" s="477">
        <f>IF(SUM(F18:K18)+SUM(F24:K24)&lt;&gt;0,2,0)</f>
        <v>0</v>
      </c>
      <c r="B1" s="472"/>
      <c r="C1" s="480"/>
      <c r="D1" s="481" t="s">
        <v>1024</v>
      </c>
      <c r="E1" s="481"/>
      <c r="F1" s="480"/>
      <c r="G1" s="480"/>
      <c r="H1" s="480"/>
      <c r="I1" s="480"/>
      <c r="J1" s="481"/>
      <c r="K1" s="481" t="str">
        <f>"Source: " &amp; '0. Title'!C39</f>
        <v xml:space="preserve">Source: </v>
      </c>
      <c r="L1" s="481"/>
      <c r="M1" s="480"/>
      <c r="N1" s="480"/>
      <c r="O1" s="677" t="s">
        <v>347</v>
      </c>
      <c r="P1" s="677"/>
      <c r="Q1" s="675" t="str">
        <f>IF(V26=0,"Nil",IF(V26&lt;0,"Save",IF(V26&gt;0,"Cost",MsgError)))</f>
        <v>Nil</v>
      </c>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row>
    <row r="2" spans="1:50" ht="15.75" x14ac:dyDescent="0.2">
      <c r="A2" s="480"/>
      <c r="B2" s="480"/>
      <c r="C2" s="480"/>
      <c r="D2" s="475" t="str">
        <f>CONCATENATE("Name of medicine: ", MedicineBrand)</f>
        <v>Name of medicine:  (®)</v>
      </c>
      <c r="E2" s="475"/>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row>
    <row r="3" spans="1:50" ht="15.75" x14ac:dyDescent="0.2">
      <c r="A3" s="480"/>
      <c r="B3" s="480"/>
      <c r="C3" s="480"/>
      <c r="D3" s="475" t="str">
        <f>CONCATENATE("Indication: ",Indication)</f>
        <v xml:space="preserve">Indication: </v>
      </c>
      <c r="E3" s="475"/>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row>
    <row r="4" spans="1:50" x14ac:dyDescent="0.2">
      <c r="A4" s="149"/>
      <c r="B4" s="149"/>
      <c r="C4" s="149"/>
      <c r="D4" s="149"/>
      <c r="E4" s="149"/>
      <c r="F4" s="149"/>
      <c r="G4" s="149"/>
      <c r="H4" s="149"/>
      <c r="I4" s="149"/>
      <c r="J4" s="149"/>
      <c r="K4" s="149"/>
      <c r="L4" s="149"/>
      <c r="M4" s="149"/>
      <c r="N4" s="149"/>
      <c r="O4" s="149"/>
      <c r="P4" s="149"/>
      <c r="Q4" s="149"/>
      <c r="R4" s="149"/>
      <c r="S4" s="149"/>
      <c r="T4" s="149"/>
      <c r="U4" s="149"/>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row>
    <row r="5" spans="1:50" ht="15.75" x14ac:dyDescent="0.2">
      <c r="A5" s="353"/>
      <c r="B5" s="353"/>
      <c r="C5" s="353"/>
      <c r="D5" s="110" t="s">
        <v>2</v>
      </c>
      <c r="E5" s="110"/>
      <c r="F5" s="154"/>
      <c r="G5" s="154"/>
      <c r="H5" s="154"/>
      <c r="I5" s="154"/>
      <c r="J5" s="154"/>
      <c r="K5" s="154"/>
      <c r="L5" s="154"/>
      <c r="M5" s="154"/>
      <c r="N5" s="154"/>
      <c r="O5" s="154"/>
      <c r="P5" s="154"/>
      <c r="Q5" s="154"/>
      <c r="R5" s="154"/>
      <c r="S5" s="154"/>
      <c r="T5" s="154"/>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row>
    <row r="6" spans="1:50" ht="14.25" x14ac:dyDescent="0.2">
      <c r="A6" s="586"/>
      <c r="B6" s="586"/>
      <c r="C6" s="586"/>
      <c r="D6" s="680"/>
      <c r="E6" s="680"/>
      <c r="F6" s="586"/>
      <c r="G6" s="586"/>
      <c r="H6" s="586"/>
      <c r="I6" s="586"/>
      <c r="J6" s="586"/>
      <c r="K6" s="586"/>
      <c r="L6" s="586"/>
      <c r="M6" s="586"/>
      <c r="N6" s="586"/>
      <c r="O6" s="586"/>
      <c r="P6" s="586"/>
      <c r="Q6" s="586"/>
      <c r="R6" s="586"/>
      <c r="S6" s="586"/>
      <c r="T6" s="586"/>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row>
    <row r="7" spans="1:50" x14ac:dyDescent="0.2">
      <c r="A7" s="586"/>
      <c r="B7" s="586"/>
      <c r="C7" s="586"/>
      <c r="D7" s="586" t="s">
        <v>89</v>
      </c>
      <c r="E7" s="586"/>
      <c r="F7" s="586"/>
      <c r="G7" s="586"/>
      <c r="H7" s="586"/>
      <c r="I7" s="586"/>
      <c r="J7" s="586"/>
      <c r="K7" s="586"/>
      <c r="L7" s="586"/>
      <c r="M7" s="586"/>
      <c r="N7" s="586"/>
      <c r="O7" s="586"/>
      <c r="P7" s="586"/>
      <c r="Q7" s="586"/>
      <c r="R7" s="586"/>
      <c r="S7" s="586"/>
      <c r="T7" s="586"/>
      <c r="V7" s="669"/>
      <c r="W7" s="669"/>
      <c r="X7" s="669"/>
      <c r="Y7" s="669"/>
      <c r="Z7" s="669"/>
      <c r="AA7" s="669"/>
      <c r="AB7" s="669"/>
      <c r="AC7" s="669"/>
      <c r="AD7" s="669"/>
      <c r="AE7" s="669"/>
      <c r="AF7" s="669"/>
      <c r="AG7" s="669"/>
      <c r="AH7" s="669"/>
      <c r="AI7" s="669"/>
      <c r="AJ7" s="669"/>
      <c r="AK7" s="669"/>
      <c r="AL7" s="669"/>
      <c r="AM7" s="669"/>
      <c r="AN7" s="669"/>
      <c r="AO7" s="669"/>
      <c r="AP7" s="669"/>
      <c r="AQ7" s="669"/>
      <c r="AR7" s="669"/>
      <c r="AS7" s="669"/>
      <c r="AT7" s="669"/>
      <c r="AU7" s="669"/>
    </row>
    <row r="8" spans="1:50" x14ac:dyDescent="0.2">
      <c r="A8" s="586"/>
      <c r="B8" s="586"/>
      <c r="C8" s="586"/>
      <c r="D8" s="586"/>
      <c r="E8" s="586"/>
      <c r="F8" s="586"/>
      <c r="G8" s="586"/>
      <c r="H8" s="586"/>
      <c r="I8" s="586"/>
      <c r="J8" s="586"/>
      <c r="K8" s="586"/>
      <c r="L8" s="586"/>
      <c r="M8" s="586"/>
      <c r="N8" s="586"/>
      <c r="O8" s="586"/>
      <c r="P8" s="586"/>
      <c r="Q8" s="586"/>
      <c r="R8" s="586"/>
      <c r="S8" s="586"/>
      <c r="T8" s="586"/>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c r="AT8" s="669"/>
      <c r="AU8" s="669"/>
    </row>
    <row r="9" spans="1:50" x14ac:dyDescent="0.2">
      <c r="A9" s="586"/>
      <c r="B9" s="586"/>
      <c r="C9" s="586"/>
      <c r="D9" s="586"/>
      <c r="E9" s="586"/>
      <c r="F9" s="586"/>
      <c r="G9" s="586"/>
      <c r="H9" s="586"/>
      <c r="I9" s="586"/>
      <c r="J9" s="586"/>
      <c r="K9" s="586"/>
      <c r="L9" s="586"/>
      <c r="M9" s="586"/>
      <c r="N9" s="586"/>
      <c r="O9" s="586"/>
      <c r="P9" s="586"/>
      <c r="Q9" s="586"/>
      <c r="R9" s="586"/>
      <c r="S9" s="586"/>
      <c r="T9" s="586"/>
      <c r="V9" s="669"/>
      <c r="W9" s="669"/>
      <c r="X9" s="669"/>
      <c r="Y9" s="669"/>
      <c r="Z9" s="669"/>
      <c r="AA9" s="669"/>
      <c r="AB9" s="669"/>
      <c r="AC9" s="669"/>
      <c r="AD9" s="639"/>
      <c r="AE9" s="91"/>
      <c r="AF9" s="91"/>
      <c r="AG9" s="91"/>
      <c r="AH9" s="91"/>
      <c r="AI9" s="91"/>
      <c r="AJ9" s="91"/>
      <c r="AK9" s="91"/>
      <c r="AL9" s="91"/>
      <c r="AM9" s="91"/>
      <c r="AN9" s="91"/>
      <c r="AO9" s="91"/>
      <c r="AP9" s="669"/>
      <c r="AQ9" s="669"/>
      <c r="AR9" s="669"/>
      <c r="AS9" s="669"/>
      <c r="AT9" s="669"/>
      <c r="AU9" s="669"/>
    </row>
    <row r="10" spans="1:50" ht="16.5" thickBot="1" x14ac:dyDescent="0.25">
      <c r="A10" s="586"/>
      <c r="B10" s="586"/>
      <c r="C10" s="586"/>
      <c r="D10" s="110" t="s">
        <v>946</v>
      </c>
      <c r="E10" s="110"/>
      <c r="F10" s="154"/>
      <c r="G10" s="154"/>
      <c r="H10" s="154"/>
      <c r="I10" s="154"/>
      <c r="J10" s="154"/>
      <c r="K10" s="154"/>
      <c r="L10" s="154"/>
      <c r="M10" s="154"/>
      <c r="N10" s="154"/>
      <c r="O10" s="154"/>
      <c r="P10" s="154"/>
      <c r="Q10" s="154"/>
      <c r="R10" s="154"/>
      <c r="S10" s="154"/>
      <c r="T10" s="154"/>
      <c r="V10" s="669"/>
      <c r="W10" s="669"/>
      <c r="X10" s="669"/>
      <c r="Y10" s="669"/>
      <c r="Z10" s="669"/>
      <c r="AA10" s="669"/>
      <c r="AB10" s="669"/>
      <c r="AC10" s="669"/>
      <c r="AD10" s="859" t="s">
        <v>258</v>
      </c>
      <c r="AE10" s="859"/>
      <c r="AF10" s="859"/>
      <c r="AG10" s="859"/>
      <c r="AH10" s="859"/>
      <c r="AI10" s="859"/>
      <c r="AJ10" s="859"/>
      <c r="AK10" s="859"/>
      <c r="AL10" s="859"/>
      <c r="AM10" s="859"/>
      <c r="AN10" s="859"/>
      <c r="AO10" s="859"/>
      <c r="AP10" s="859"/>
      <c r="AQ10" s="859"/>
      <c r="AR10" s="859"/>
      <c r="AS10" s="859"/>
      <c r="AT10" s="859"/>
      <c r="AU10" s="859"/>
      <c r="AV10" s="859"/>
      <c r="AW10" s="859"/>
      <c r="AX10" s="859"/>
    </row>
    <row r="11" spans="1:50" s="688" customFormat="1" x14ac:dyDescent="0.2">
      <c r="A11" s="586"/>
      <c r="B11" s="586"/>
      <c r="C11" s="586"/>
      <c r="D11" s="586"/>
      <c r="E11" s="586"/>
      <c r="F11" s="586"/>
      <c r="G11" s="586"/>
      <c r="H11" s="586"/>
      <c r="I11" s="586"/>
      <c r="J11" s="586"/>
      <c r="K11" s="586"/>
      <c r="L11" s="586"/>
      <c r="M11" s="586"/>
      <c r="N11" s="586"/>
      <c r="O11" s="586"/>
      <c r="P11" s="586"/>
      <c r="Q11" s="586"/>
      <c r="R11" s="586"/>
      <c r="S11" s="586"/>
      <c r="T11" s="586"/>
      <c r="V11" s="710"/>
      <c r="W11" s="710"/>
      <c r="X11" s="710"/>
      <c r="Y11" s="710"/>
      <c r="Z11" s="710"/>
      <c r="AA11" s="710"/>
      <c r="AB11" s="710"/>
      <c r="AC11" s="710"/>
      <c r="AD11" s="864" t="str">
        <f>TxPhase1PxTotal</f>
        <v/>
      </c>
      <c r="AE11" s="865"/>
      <c r="AF11" s="865"/>
      <c r="AG11" s="865"/>
      <c r="AH11" s="865"/>
      <c r="AI11" s="865"/>
      <c r="AJ11" s="866"/>
      <c r="AK11" s="864" t="str">
        <f>TxPhase2PxTotal</f>
        <v/>
      </c>
      <c r="AL11" s="865"/>
      <c r="AM11" s="865"/>
      <c r="AN11" s="865"/>
      <c r="AO11" s="865"/>
      <c r="AP11" s="865"/>
      <c r="AQ11" s="866"/>
      <c r="AR11" s="861" t="s">
        <v>473</v>
      </c>
      <c r="AS11" s="862"/>
      <c r="AT11" s="862"/>
      <c r="AU11" s="862"/>
      <c r="AV11" s="862"/>
      <c r="AW11" s="862"/>
      <c r="AX11" s="863"/>
    </row>
    <row r="12" spans="1:50" s="688" customFormat="1" x14ac:dyDescent="0.2">
      <c r="A12" s="586"/>
      <c r="B12" s="586"/>
      <c r="C12" s="586"/>
      <c r="D12" s="638" t="s">
        <v>268</v>
      </c>
      <c r="E12" s="638"/>
      <c r="F12" s="586"/>
      <c r="G12" s="586"/>
      <c r="H12" s="586"/>
      <c r="I12" s="586"/>
      <c r="J12" s="586"/>
      <c r="K12" s="586"/>
      <c r="L12" s="586"/>
      <c r="M12" s="586"/>
      <c r="N12" s="586"/>
      <c r="O12" s="586"/>
      <c r="P12" s="586"/>
      <c r="Q12" s="586"/>
      <c r="R12" s="586"/>
      <c r="S12" s="586"/>
      <c r="T12" s="586"/>
      <c r="V12" s="710"/>
      <c r="W12" s="710"/>
      <c r="X12" s="710"/>
      <c r="Y12" s="710"/>
      <c r="Z12" s="710"/>
      <c r="AA12" s="710"/>
      <c r="AB12" s="710"/>
      <c r="AC12" s="710"/>
      <c r="AD12" s="519"/>
      <c r="AE12" s="335">
        <f>FirstYear</f>
        <v>0</v>
      </c>
      <c r="AF12" s="335">
        <f>AE12+1</f>
        <v>1</v>
      </c>
      <c r="AG12" s="335">
        <f>AF12+1</f>
        <v>2</v>
      </c>
      <c r="AH12" s="335">
        <f>AG12+1</f>
        <v>3</v>
      </c>
      <c r="AI12" s="335">
        <f>AH12+1</f>
        <v>4</v>
      </c>
      <c r="AJ12" s="520">
        <f>AI12+1</f>
        <v>5</v>
      </c>
      <c r="AK12" s="519"/>
      <c r="AL12" s="335">
        <f>FirstYear</f>
        <v>0</v>
      </c>
      <c r="AM12" s="335">
        <f>AL12+1</f>
        <v>1</v>
      </c>
      <c r="AN12" s="335">
        <f>AM12+1</f>
        <v>2</v>
      </c>
      <c r="AO12" s="335">
        <f>AN12+1</f>
        <v>3</v>
      </c>
      <c r="AP12" s="335">
        <f>AO12+1</f>
        <v>4</v>
      </c>
      <c r="AQ12" s="520">
        <f>AP12+1</f>
        <v>5</v>
      </c>
      <c r="AR12" s="519"/>
      <c r="AS12" s="335">
        <f>FirstYear</f>
        <v>0</v>
      </c>
      <c r="AT12" s="335">
        <f>AS12+1</f>
        <v>1</v>
      </c>
      <c r="AU12" s="335">
        <f>AT12+1</f>
        <v>2</v>
      </c>
      <c r="AV12" s="335">
        <f>AU12+1</f>
        <v>3</v>
      </c>
      <c r="AW12" s="335">
        <f>AV12+1</f>
        <v>4</v>
      </c>
      <c r="AX12" s="520">
        <f>AW12+1</f>
        <v>5</v>
      </c>
    </row>
    <row r="13" spans="1:50" s="688" customFormat="1" x14ac:dyDescent="0.2">
      <c r="A13" s="586"/>
      <c r="B13" s="586"/>
      <c r="C13" s="586"/>
      <c r="D13" s="586"/>
      <c r="H13" s="586"/>
      <c r="S13" s="586"/>
      <c r="T13" s="586"/>
      <c r="V13" s="710"/>
      <c r="W13" s="710"/>
      <c r="X13" s="710"/>
      <c r="Y13" s="710"/>
      <c r="Z13" s="710"/>
      <c r="AA13" s="710"/>
      <c r="AB13" s="710"/>
      <c r="AC13" s="710"/>
      <c r="AD13" s="521"/>
      <c r="AE13" s="338">
        <f t="shared" ref="AE13:AJ15" si="0">IF(OR(ScriptSourceCode=1,ScriptSourceCode=3),AD38-AE22,0)</f>
        <v>0</v>
      </c>
      <c r="AF13" s="338">
        <f t="shared" si="0"/>
        <v>0</v>
      </c>
      <c r="AG13" s="338">
        <f t="shared" si="0"/>
        <v>0</v>
      </c>
      <c r="AH13" s="338">
        <f t="shared" si="0"/>
        <v>0</v>
      </c>
      <c r="AI13" s="338">
        <f t="shared" si="0"/>
        <v>0</v>
      </c>
      <c r="AJ13" s="522">
        <f t="shared" si="0"/>
        <v>0</v>
      </c>
      <c r="AK13" s="521"/>
      <c r="AL13" s="338">
        <f t="shared" ref="AL13:AQ15" si="1">IF(OR(ScriptSourceCode=1,ScriptSourceCode=3),AJ38-AL22,0)</f>
        <v>0</v>
      </c>
      <c r="AM13" s="338">
        <f t="shared" si="1"/>
        <v>0</v>
      </c>
      <c r="AN13" s="338">
        <f t="shared" si="1"/>
        <v>0</v>
      </c>
      <c r="AO13" s="338">
        <f t="shared" si="1"/>
        <v>0</v>
      </c>
      <c r="AP13" s="338">
        <f t="shared" si="1"/>
        <v>0</v>
      </c>
      <c r="AQ13" s="522">
        <f t="shared" si="1"/>
        <v>0</v>
      </c>
      <c r="AR13" s="521"/>
      <c r="AS13" s="338">
        <f t="shared" ref="AS13:AS18" si="2">AE13+AL13</f>
        <v>0</v>
      </c>
      <c r="AT13" s="338">
        <f t="shared" ref="AT13:AT18" si="3">AF13+AM13</f>
        <v>0</v>
      </c>
      <c r="AU13" s="338">
        <f t="shared" ref="AU13:AU18" si="4">AG13+AN13</f>
        <v>0</v>
      </c>
      <c r="AV13" s="338">
        <f t="shared" ref="AV13:AV18" si="5">AH13+AO13</f>
        <v>0</v>
      </c>
      <c r="AW13" s="338">
        <f t="shared" ref="AW13:AW18" si="6">AI13+AP13</f>
        <v>0</v>
      </c>
      <c r="AX13" s="522">
        <f t="shared" ref="AX13:AX18" si="7">AJ13+AQ13</f>
        <v>0</v>
      </c>
    </row>
    <row r="14" spans="1:50" s="688" customFormat="1" ht="12.75" customHeight="1" x14ac:dyDescent="0.2">
      <c r="A14" s="586"/>
      <c r="B14" s="586"/>
      <c r="C14" s="586"/>
      <c r="D14" s="385"/>
      <c r="E14" s="385"/>
      <c r="F14" s="655"/>
      <c r="G14" s="655"/>
      <c r="H14" s="586"/>
      <c r="I14" s="586"/>
      <c r="J14" s="586"/>
      <c r="K14" s="586"/>
      <c r="L14" s="586"/>
      <c r="S14" s="586"/>
      <c r="T14" s="586"/>
      <c r="V14" s="710"/>
      <c r="W14" s="710"/>
      <c r="X14" s="710"/>
      <c r="Y14" s="710"/>
      <c r="Z14" s="710"/>
      <c r="AA14" s="710"/>
      <c r="AB14" s="710"/>
      <c r="AC14" s="710"/>
      <c r="AD14" s="521"/>
      <c r="AE14" s="338">
        <f t="shared" si="0"/>
        <v>0</v>
      </c>
      <c r="AF14" s="338">
        <f t="shared" si="0"/>
        <v>0</v>
      </c>
      <c r="AG14" s="338">
        <f t="shared" si="0"/>
        <v>0</v>
      </c>
      <c r="AH14" s="338">
        <f t="shared" si="0"/>
        <v>0</v>
      </c>
      <c r="AI14" s="338">
        <f t="shared" si="0"/>
        <v>0</v>
      </c>
      <c r="AJ14" s="522">
        <f t="shared" si="0"/>
        <v>0</v>
      </c>
      <c r="AK14" s="521"/>
      <c r="AL14" s="338">
        <f t="shared" si="1"/>
        <v>0</v>
      </c>
      <c r="AM14" s="338">
        <f t="shared" si="1"/>
        <v>0</v>
      </c>
      <c r="AN14" s="338">
        <f t="shared" si="1"/>
        <v>0</v>
      </c>
      <c r="AO14" s="338">
        <f t="shared" si="1"/>
        <v>0</v>
      </c>
      <c r="AP14" s="338">
        <f t="shared" si="1"/>
        <v>0</v>
      </c>
      <c r="AQ14" s="522">
        <f t="shared" si="1"/>
        <v>0</v>
      </c>
      <c r="AR14" s="521"/>
      <c r="AS14" s="338">
        <f t="shared" si="2"/>
        <v>0</v>
      </c>
      <c r="AT14" s="338">
        <f t="shared" si="3"/>
        <v>0</v>
      </c>
      <c r="AU14" s="338">
        <f t="shared" si="4"/>
        <v>0</v>
      </c>
      <c r="AV14" s="338">
        <f t="shared" si="5"/>
        <v>0</v>
      </c>
      <c r="AW14" s="338">
        <f t="shared" si="6"/>
        <v>0</v>
      </c>
      <c r="AX14" s="522">
        <f t="shared" si="7"/>
        <v>0</v>
      </c>
    </row>
    <row r="15" spans="1:50" ht="15" x14ac:dyDescent="0.2">
      <c r="A15" s="586"/>
      <c r="B15" s="586"/>
      <c r="C15" s="586"/>
      <c r="D15" s="681" t="s">
        <v>0</v>
      </c>
      <c r="E15" s="682"/>
      <c r="F15" s="671">
        <f>FirstYear</f>
        <v>0</v>
      </c>
      <c r="G15" s="671">
        <f>F15+1</f>
        <v>1</v>
      </c>
      <c r="H15" s="671">
        <f>G15+1</f>
        <v>2</v>
      </c>
      <c r="I15" s="671">
        <f>H15+1</f>
        <v>3</v>
      </c>
      <c r="J15" s="671">
        <f>I15+1</f>
        <v>4</v>
      </c>
      <c r="K15" s="671">
        <f>J15+1</f>
        <v>5</v>
      </c>
      <c r="S15" s="586"/>
      <c r="T15" s="586"/>
      <c r="V15" s="669"/>
      <c r="W15" s="669"/>
      <c r="X15" s="669"/>
      <c r="Y15" s="669"/>
      <c r="Z15" s="669"/>
      <c r="AA15" s="669"/>
      <c r="AB15" s="669"/>
      <c r="AC15" s="669"/>
      <c r="AD15" s="521"/>
      <c r="AE15" s="338">
        <f t="shared" si="0"/>
        <v>0</v>
      </c>
      <c r="AF15" s="338">
        <f t="shared" si="0"/>
        <v>0</v>
      </c>
      <c r="AG15" s="338">
        <f t="shared" si="0"/>
        <v>0</v>
      </c>
      <c r="AH15" s="338">
        <f t="shared" si="0"/>
        <v>0</v>
      </c>
      <c r="AI15" s="338">
        <f t="shared" si="0"/>
        <v>0</v>
      </c>
      <c r="AJ15" s="522">
        <f t="shared" si="0"/>
        <v>0</v>
      </c>
      <c r="AK15" s="521"/>
      <c r="AL15" s="338">
        <f t="shared" si="1"/>
        <v>0</v>
      </c>
      <c r="AM15" s="338">
        <f t="shared" si="1"/>
        <v>0</v>
      </c>
      <c r="AN15" s="338">
        <f t="shared" si="1"/>
        <v>0</v>
      </c>
      <c r="AO15" s="338">
        <f t="shared" si="1"/>
        <v>0</v>
      </c>
      <c r="AP15" s="338">
        <f t="shared" si="1"/>
        <v>0</v>
      </c>
      <c r="AQ15" s="522">
        <f t="shared" si="1"/>
        <v>0</v>
      </c>
      <c r="AR15" s="521"/>
      <c r="AS15" s="338">
        <f t="shared" si="2"/>
        <v>0</v>
      </c>
      <c r="AT15" s="338">
        <f t="shared" si="3"/>
        <v>0</v>
      </c>
      <c r="AU15" s="338">
        <f t="shared" si="4"/>
        <v>0</v>
      </c>
      <c r="AV15" s="338">
        <f t="shared" si="5"/>
        <v>0</v>
      </c>
      <c r="AW15" s="338">
        <f t="shared" si="6"/>
        <v>0</v>
      </c>
      <c r="AX15" s="522">
        <f t="shared" si="7"/>
        <v>0</v>
      </c>
    </row>
    <row r="16" spans="1:50" s="688" customFormat="1" x14ac:dyDescent="0.2">
      <c r="A16" s="586"/>
      <c r="B16" s="586"/>
      <c r="C16" s="586"/>
      <c r="D16" s="385"/>
      <c r="E16" s="358" t="s">
        <v>412</v>
      </c>
      <c r="F16" s="397">
        <f t="shared" ref="F16:K16" si="8">F69+F87+F105+F123+F141+F159+F177+F195+F213+F231</f>
        <v>0</v>
      </c>
      <c r="G16" s="397">
        <f t="shared" si="8"/>
        <v>0</v>
      </c>
      <c r="H16" s="397">
        <f t="shared" si="8"/>
        <v>0</v>
      </c>
      <c r="I16" s="397">
        <f t="shared" si="8"/>
        <v>0</v>
      </c>
      <c r="J16" s="397">
        <f t="shared" si="8"/>
        <v>0</v>
      </c>
      <c r="K16" s="397">
        <f t="shared" si="8"/>
        <v>0</v>
      </c>
      <c r="S16" s="586"/>
      <c r="T16" s="586"/>
      <c r="V16" s="710"/>
      <c r="W16" s="710"/>
      <c r="X16" s="710"/>
      <c r="Y16" s="710"/>
      <c r="Z16" s="710"/>
      <c r="AA16" s="710"/>
      <c r="AB16" s="710"/>
      <c r="AC16" s="710"/>
      <c r="AD16" s="521"/>
      <c r="AE16" s="338">
        <f t="shared" ref="AE16:AJ18" si="9">IF(OR(ScriptSourceCode=1,ScriptSourceCode=3),AD41-AE26,0)</f>
        <v>0</v>
      </c>
      <c r="AF16" s="338">
        <f t="shared" si="9"/>
        <v>0</v>
      </c>
      <c r="AG16" s="338">
        <f t="shared" si="9"/>
        <v>0</v>
      </c>
      <c r="AH16" s="338">
        <f t="shared" si="9"/>
        <v>0</v>
      </c>
      <c r="AI16" s="338">
        <f t="shared" si="9"/>
        <v>0</v>
      </c>
      <c r="AJ16" s="522">
        <f t="shared" si="9"/>
        <v>0</v>
      </c>
      <c r="AK16" s="521"/>
      <c r="AL16" s="338">
        <f t="shared" ref="AL16:AQ18" si="10">IF(OR(ScriptSourceCode=1,ScriptSourceCode=3),AJ41-AL26,0)</f>
        <v>0</v>
      </c>
      <c r="AM16" s="338">
        <f t="shared" si="10"/>
        <v>0</v>
      </c>
      <c r="AN16" s="338">
        <f t="shared" si="10"/>
        <v>0</v>
      </c>
      <c r="AO16" s="338">
        <f t="shared" si="10"/>
        <v>0</v>
      </c>
      <c r="AP16" s="338">
        <f t="shared" si="10"/>
        <v>0</v>
      </c>
      <c r="AQ16" s="522">
        <f t="shared" si="10"/>
        <v>0</v>
      </c>
      <c r="AR16" s="521"/>
      <c r="AS16" s="338">
        <f t="shared" si="2"/>
        <v>0</v>
      </c>
      <c r="AT16" s="338">
        <f t="shared" si="3"/>
        <v>0</v>
      </c>
      <c r="AU16" s="338">
        <f t="shared" si="4"/>
        <v>0</v>
      </c>
      <c r="AV16" s="338">
        <f t="shared" si="5"/>
        <v>0</v>
      </c>
      <c r="AW16" s="338">
        <f t="shared" si="6"/>
        <v>0</v>
      </c>
      <c r="AX16" s="522">
        <f t="shared" si="7"/>
        <v>0</v>
      </c>
    </row>
    <row r="17" spans="1:50" s="688" customFormat="1" x14ac:dyDescent="0.2">
      <c r="A17" s="586"/>
      <c r="B17" s="586"/>
      <c r="C17" s="586"/>
      <c r="D17" s="385"/>
      <c r="E17" s="358" t="s">
        <v>413</v>
      </c>
      <c r="F17" s="397">
        <f t="shared" ref="F17:K17" si="11">F284+F302+F320+F338+F356+F374+F392+F410+F428+F446</f>
        <v>0</v>
      </c>
      <c r="G17" s="397">
        <f t="shared" si="11"/>
        <v>0</v>
      </c>
      <c r="H17" s="397">
        <f t="shared" si="11"/>
        <v>0</v>
      </c>
      <c r="I17" s="397">
        <f t="shared" si="11"/>
        <v>0</v>
      </c>
      <c r="J17" s="397">
        <f t="shared" si="11"/>
        <v>0</v>
      </c>
      <c r="K17" s="397">
        <f t="shared" si="11"/>
        <v>0</v>
      </c>
      <c r="M17" s="586"/>
      <c r="S17" s="586"/>
      <c r="T17" s="586"/>
      <c r="V17" s="710"/>
      <c r="W17" s="710"/>
      <c r="X17" s="710"/>
      <c r="Y17" s="710"/>
      <c r="Z17" s="710"/>
      <c r="AA17" s="710"/>
      <c r="AB17" s="710"/>
      <c r="AC17" s="710"/>
      <c r="AD17" s="521"/>
      <c r="AE17" s="338">
        <f t="shared" si="9"/>
        <v>0</v>
      </c>
      <c r="AF17" s="338">
        <f t="shared" si="9"/>
        <v>0</v>
      </c>
      <c r="AG17" s="338">
        <f t="shared" si="9"/>
        <v>0</v>
      </c>
      <c r="AH17" s="338">
        <f t="shared" si="9"/>
        <v>0</v>
      </c>
      <c r="AI17" s="338">
        <f t="shared" si="9"/>
        <v>0</v>
      </c>
      <c r="AJ17" s="522">
        <f t="shared" si="9"/>
        <v>0</v>
      </c>
      <c r="AK17" s="521"/>
      <c r="AL17" s="338">
        <f t="shared" si="10"/>
        <v>0</v>
      </c>
      <c r="AM17" s="338">
        <f t="shared" si="10"/>
        <v>0</v>
      </c>
      <c r="AN17" s="338">
        <f t="shared" si="10"/>
        <v>0</v>
      </c>
      <c r="AO17" s="338">
        <f t="shared" si="10"/>
        <v>0</v>
      </c>
      <c r="AP17" s="338">
        <f t="shared" si="10"/>
        <v>0</v>
      </c>
      <c r="AQ17" s="522">
        <f t="shared" si="10"/>
        <v>0</v>
      </c>
      <c r="AR17" s="521"/>
      <c r="AS17" s="338">
        <f t="shared" si="2"/>
        <v>0</v>
      </c>
      <c r="AT17" s="338">
        <f t="shared" si="3"/>
        <v>0</v>
      </c>
      <c r="AU17" s="338">
        <f t="shared" si="4"/>
        <v>0</v>
      </c>
      <c r="AV17" s="338">
        <f t="shared" si="5"/>
        <v>0</v>
      </c>
      <c r="AW17" s="338">
        <f t="shared" si="6"/>
        <v>0</v>
      </c>
      <c r="AX17" s="522">
        <f t="shared" si="7"/>
        <v>0</v>
      </c>
    </row>
    <row r="18" spans="1:50" s="688" customFormat="1" ht="13.5" thickBot="1" x14ac:dyDescent="0.25">
      <c r="A18" s="586"/>
      <c r="B18" s="586"/>
      <c r="C18" s="586"/>
      <c r="D18" s="586"/>
      <c r="E18" s="80" t="s">
        <v>414</v>
      </c>
      <c r="F18" s="398">
        <f t="shared" ref="F18:K18" si="12">F16+F17</f>
        <v>0</v>
      </c>
      <c r="G18" s="398">
        <f t="shared" si="12"/>
        <v>0</v>
      </c>
      <c r="H18" s="398">
        <f t="shared" si="12"/>
        <v>0</v>
      </c>
      <c r="I18" s="398">
        <f t="shared" si="12"/>
        <v>0</v>
      </c>
      <c r="J18" s="398">
        <f t="shared" si="12"/>
        <v>0</v>
      </c>
      <c r="K18" s="398">
        <f t="shared" si="12"/>
        <v>0</v>
      </c>
      <c r="M18" s="586"/>
      <c r="S18" s="586"/>
      <c r="T18" s="586"/>
      <c r="V18" s="710"/>
      <c r="W18" s="710"/>
      <c r="X18" s="710"/>
      <c r="Y18" s="710"/>
      <c r="Z18" s="710"/>
      <c r="AA18" s="710"/>
      <c r="AB18" s="710"/>
      <c r="AC18" s="710"/>
      <c r="AD18" s="523"/>
      <c r="AE18" s="524">
        <f t="shared" si="9"/>
        <v>0</v>
      </c>
      <c r="AF18" s="524">
        <f t="shared" si="9"/>
        <v>0</v>
      </c>
      <c r="AG18" s="524">
        <f t="shared" si="9"/>
        <v>0</v>
      </c>
      <c r="AH18" s="524">
        <f t="shared" si="9"/>
        <v>0</v>
      </c>
      <c r="AI18" s="524">
        <f t="shared" si="9"/>
        <v>0</v>
      </c>
      <c r="AJ18" s="525">
        <f t="shared" si="9"/>
        <v>0</v>
      </c>
      <c r="AK18" s="523"/>
      <c r="AL18" s="524">
        <f t="shared" si="10"/>
        <v>0</v>
      </c>
      <c r="AM18" s="524">
        <f t="shared" si="10"/>
        <v>0</v>
      </c>
      <c r="AN18" s="524">
        <f t="shared" si="10"/>
        <v>0</v>
      </c>
      <c r="AO18" s="524">
        <f t="shared" si="10"/>
        <v>0</v>
      </c>
      <c r="AP18" s="524">
        <f t="shared" si="10"/>
        <v>0</v>
      </c>
      <c r="AQ18" s="525">
        <f t="shared" si="10"/>
        <v>0</v>
      </c>
      <c r="AR18" s="523"/>
      <c r="AS18" s="524">
        <f t="shared" si="2"/>
        <v>0</v>
      </c>
      <c r="AT18" s="524">
        <f t="shared" si="3"/>
        <v>0</v>
      </c>
      <c r="AU18" s="524">
        <f t="shared" si="4"/>
        <v>0</v>
      </c>
      <c r="AV18" s="524">
        <f t="shared" si="5"/>
        <v>0</v>
      </c>
      <c r="AW18" s="524">
        <f t="shared" si="6"/>
        <v>0</v>
      </c>
      <c r="AX18" s="525">
        <f t="shared" si="7"/>
        <v>0</v>
      </c>
    </row>
    <row r="19" spans="1:50" s="688" customFormat="1" x14ac:dyDescent="0.2">
      <c r="A19" s="586"/>
      <c r="B19" s="586"/>
      <c r="C19" s="586"/>
      <c r="M19" s="586"/>
      <c r="N19" s="586"/>
      <c r="O19" s="586"/>
      <c r="P19" s="586"/>
      <c r="Q19" s="683"/>
      <c r="R19" s="683"/>
      <c r="S19" s="683"/>
      <c r="T19" s="683"/>
      <c r="V19" s="712">
        <f>SUM(F18:J18)</f>
        <v>0</v>
      </c>
      <c r="W19" s="710"/>
      <c r="X19" s="710"/>
      <c r="Y19" s="710"/>
      <c r="Z19" s="710"/>
      <c r="AA19" s="710"/>
      <c r="AB19" s="710"/>
      <c r="AC19" s="710"/>
      <c r="AD19" s="860" t="s">
        <v>259</v>
      </c>
      <c r="AE19" s="860"/>
      <c r="AF19" s="860"/>
      <c r="AG19" s="860"/>
      <c r="AH19" s="860"/>
      <c r="AI19" s="860"/>
      <c r="AJ19" s="860"/>
      <c r="AK19" s="860"/>
      <c r="AL19" s="860"/>
      <c r="AM19" s="860"/>
      <c r="AN19" s="860"/>
      <c r="AO19" s="860"/>
      <c r="AP19" s="860"/>
      <c r="AQ19" s="860"/>
      <c r="AR19" s="860"/>
      <c r="AS19" s="860"/>
      <c r="AT19" s="860"/>
      <c r="AU19" s="860"/>
      <c r="AV19" s="860"/>
      <c r="AW19" s="860"/>
      <c r="AX19" s="860"/>
    </row>
    <row r="20" spans="1:50" s="688" customFormat="1" ht="13.5" thickBot="1" x14ac:dyDescent="0.25">
      <c r="A20" s="586"/>
      <c r="B20" s="586"/>
      <c r="C20" s="586"/>
      <c r="D20" s="684"/>
      <c r="E20" s="684"/>
      <c r="F20" s="684"/>
      <c r="G20" s="684"/>
      <c r="H20" s="385"/>
      <c r="I20" s="385"/>
      <c r="J20" s="385"/>
      <c r="K20" s="385"/>
      <c r="M20" s="586"/>
      <c r="S20" s="586"/>
      <c r="T20" s="586"/>
      <c r="V20" s="710"/>
      <c r="W20" s="710"/>
      <c r="X20" s="710"/>
      <c r="Y20" s="710"/>
      <c r="Z20" s="710"/>
      <c r="AA20" s="710"/>
      <c r="AB20" s="710"/>
      <c r="AC20" s="710"/>
      <c r="AD20" s="867" t="str">
        <f>TxPhase1PxTotal</f>
        <v/>
      </c>
      <c r="AE20" s="868"/>
      <c r="AF20" s="868"/>
      <c r="AG20" s="868"/>
      <c r="AH20" s="868"/>
      <c r="AI20" s="868"/>
      <c r="AJ20" s="869"/>
      <c r="AK20" s="867" t="str">
        <f>TxPhase2PxTotal</f>
        <v/>
      </c>
      <c r="AL20" s="868"/>
      <c r="AM20" s="868"/>
      <c r="AN20" s="868"/>
      <c r="AO20" s="868"/>
      <c r="AP20" s="868"/>
      <c r="AQ20" s="869"/>
      <c r="AR20" s="859" t="s">
        <v>473</v>
      </c>
      <c r="AS20" s="859"/>
      <c r="AT20" s="859"/>
      <c r="AU20" s="859"/>
      <c r="AV20" s="859"/>
      <c r="AW20" s="859"/>
      <c r="AX20" s="859"/>
    </row>
    <row r="21" spans="1:50" ht="15" x14ac:dyDescent="0.2">
      <c r="A21" s="586"/>
      <c r="B21" s="586"/>
      <c r="C21" s="586"/>
      <c r="D21" s="681" t="s">
        <v>1</v>
      </c>
      <c r="E21" s="682"/>
      <c r="F21" s="671">
        <f>FirstYear</f>
        <v>0</v>
      </c>
      <c r="G21" s="671">
        <f>F21+1</f>
        <v>1</v>
      </c>
      <c r="H21" s="671">
        <f>G21+1</f>
        <v>2</v>
      </c>
      <c r="I21" s="671">
        <f>H21+1</f>
        <v>3</v>
      </c>
      <c r="J21" s="671">
        <f>I21+1</f>
        <v>4</v>
      </c>
      <c r="K21" s="671">
        <f>J21+1</f>
        <v>5</v>
      </c>
      <c r="M21" s="586"/>
      <c r="S21" s="586"/>
      <c r="T21" s="586"/>
      <c r="V21" s="669"/>
      <c r="W21" s="669"/>
      <c r="X21" s="669"/>
      <c r="Y21" s="669"/>
      <c r="Z21" s="669"/>
      <c r="AA21" s="669"/>
      <c r="AB21" s="669"/>
      <c r="AC21" s="669"/>
      <c r="AD21" s="526"/>
      <c r="AE21" s="527">
        <f>FirstYear</f>
        <v>0</v>
      </c>
      <c r="AF21" s="527">
        <f>AE21+1</f>
        <v>1</v>
      </c>
      <c r="AG21" s="527">
        <f>AF21+1</f>
        <v>2</v>
      </c>
      <c r="AH21" s="527">
        <f>AG21+1</f>
        <v>3</v>
      </c>
      <c r="AI21" s="527">
        <f>AH21+1</f>
        <v>4</v>
      </c>
      <c r="AJ21" s="528">
        <f>AI21+1</f>
        <v>5</v>
      </c>
      <c r="AK21" s="526"/>
      <c r="AL21" s="527">
        <f>FirstYear</f>
        <v>0</v>
      </c>
      <c r="AM21" s="527">
        <f>AL21+1</f>
        <v>1</v>
      </c>
      <c r="AN21" s="527">
        <f>AM21+1</f>
        <v>2</v>
      </c>
      <c r="AO21" s="527">
        <f>AN21+1</f>
        <v>3</v>
      </c>
      <c r="AP21" s="527">
        <f>AO21+1</f>
        <v>4</v>
      </c>
      <c r="AQ21" s="528">
        <f>AP21+1</f>
        <v>5</v>
      </c>
      <c r="AR21" s="526"/>
      <c r="AS21" s="527">
        <f>FirstYear</f>
        <v>0</v>
      </c>
      <c r="AT21" s="527">
        <f>AS21+1</f>
        <v>1</v>
      </c>
      <c r="AU21" s="527">
        <f>AT21+1</f>
        <v>2</v>
      </c>
      <c r="AV21" s="527">
        <f>AU21+1</f>
        <v>3</v>
      </c>
      <c r="AW21" s="527">
        <f>AV21+1</f>
        <v>4</v>
      </c>
      <c r="AX21" s="528">
        <f>AW21+1</f>
        <v>5</v>
      </c>
    </row>
    <row r="22" spans="1:50" s="688" customFormat="1" x14ac:dyDescent="0.2">
      <c r="A22" s="586"/>
      <c r="B22" s="586"/>
      <c r="C22" s="586"/>
      <c r="D22" s="385"/>
      <c r="E22" s="358" t="s">
        <v>412</v>
      </c>
      <c r="F22" s="396">
        <f t="shared" ref="F22:K22" si="13">F77+F95+F113+F131+F149+F167+F185+F203+F221+F239</f>
        <v>0</v>
      </c>
      <c r="G22" s="396">
        <f t="shared" si="13"/>
        <v>0</v>
      </c>
      <c r="H22" s="396">
        <f t="shared" si="13"/>
        <v>0</v>
      </c>
      <c r="I22" s="396">
        <f t="shared" si="13"/>
        <v>0</v>
      </c>
      <c r="J22" s="396">
        <f t="shared" si="13"/>
        <v>0</v>
      </c>
      <c r="K22" s="396">
        <f t="shared" si="13"/>
        <v>0</v>
      </c>
      <c r="M22" s="586"/>
      <c r="S22" s="586"/>
      <c r="T22" s="586"/>
      <c r="V22" s="710"/>
      <c r="W22" s="710"/>
      <c r="X22" s="710"/>
      <c r="Y22" s="710"/>
      <c r="Z22" s="710"/>
      <c r="AA22" s="710"/>
      <c r="AB22" s="710"/>
      <c r="AC22" s="710"/>
      <c r="AD22" s="521"/>
      <c r="AE22" s="338">
        <f t="shared" ref="AE22:AJ24" si="14">IF(OR(ScriptSourceCode=1,ScriptSourceCode=3),IF($AB38&lt;&gt;0,ROUND(AD38*INDEX(PxTxPhase1,$AB38,8),0),0),0)</f>
        <v>0</v>
      </c>
      <c r="AF22" s="338">
        <f t="shared" si="14"/>
        <v>0</v>
      </c>
      <c r="AG22" s="338">
        <f t="shared" si="14"/>
        <v>0</v>
      </c>
      <c r="AH22" s="338">
        <f t="shared" si="14"/>
        <v>0</v>
      </c>
      <c r="AI22" s="338">
        <f t="shared" si="14"/>
        <v>0</v>
      </c>
      <c r="AJ22" s="522">
        <f t="shared" si="14"/>
        <v>0</v>
      </c>
      <c r="AK22" s="521"/>
      <c r="AL22" s="338">
        <f t="shared" ref="AL22:AQ24" si="15">IF(OR(ScriptSourceCode=1,ScriptSourceCode=3),IF($AB38&lt;&gt;0,ROUND(AK38*INDEX(PxTxPhase1,$AB38,8),0),0),0)</f>
        <v>0</v>
      </c>
      <c r="AM22" s="338">
        <f t="shared" si="15"/>
        <v>0</v>
      </c>
      <c r="AN22" s="338">
        <f t="shared" si="15"/>
        <v>0</v>
      </c>
      <c r="AO22" s="338">
        <f t="shared" si="15"/>
        <v>0</v>
      </c>
      <c r="AP22" s="338">
        <f t="shared" si="15"/>
        <v>0</v>
      </c>
      <c r="AQ22" s="522">
        <f t="shared" si="15"/>
        <v>0</v>
      </c>
      <c r="AR22" s="521"/>
      <c r="AS22" s="338">
        <f t="shared" ref="AS22:AS32" si="16">AE22+AL22</f>
        <v>0</v>
      </c>
      <c r="AT22" s="338">
        <f t="shared" ref="AT22:AT32" si="17">AF22+AM22</f>
        <v>0</v>
      </c>
      <c r="AU22" s="338">
        <f t="shared" ref="AU22:AU32" si="18">AG22+AN22</f>
        <v>0</v>
      </c>
      <c r="AV22" s="338">
        <f t="shared" ref="AV22:AV32" si="19">AH22+AO22</f>
        <v>0</v>
      </c>
      <c r="AW22" s="338">
        <f t="shared" ref="AW22:AW32" si="20">AI22+AP22</f>
        <v>0</v>
      </c>
      <c r="AX22" s="522">
        <f t="shared" ref="AX22:AX32" si="21">AJ22+AQ22</f>
        <v>0</v>
      </c>
    </row>
    <row r="23" spans="1:50" s="688" customFormat="1" x14ac:dyDescent="0.2">
      <c r="A23" s="586"/>
      <c r="B23" s="586"/>
      <c r="C23" s="586"/>
      <c r="D23" s="385"/>
      <c r="E23" s="358" t="s">
        <v>413</v>
      </c>
      <c r="F23" s="397">
        <f t="shared" ref="F23:K23" si="22">F292+F310+F328+F346+F364+F382+F400+F418+F436+F454</f>
        <v>0</v>
      </c>
      <c r="G23" s="397">
        <f t="shared" si="22"/>
        <v>0</v>
      </c>
      <c r="H23" s="397">
        <f t="shared" si="22"/>
        <v>0</v>
      </c>
      <c r="I23" s="397">
        <f t="shared" si="22"/>
        <v>0</v>
      </c>
      <c r="J23" s="397">
        <f t="shared" si="22"/>
        <v>0</v>
      </c>
      <c r="K23" s="397">
        <f t="shared" si="22"/>
        <v>0</v>
      </c>
      <c r="M23" s="720" t="s">
        <v>979</v>
      </c>
      <c r="S23" s="586"/>
      <c r="T23" s="586"/>
      <c r="V23" s="710"/>
      <c r="W23" s="710"/>
      <c r="X23" s="710"/>
      <c r="Y23" s="710"/>
      <c r="Z23" s="710"/>
      <c r="AA23" s="710"/>
      <c r="AB23" s="710"/>
      <c r="AC23" s="710"/>
      <c r="AD23" s="521"/>
      <c r="AE23" s="338">
        <f t="shared" si="14"/>
        <v>0</v>
      </c>
      <c r="AF23" s="338">
        <f t="shared" si="14"/>
        <v>0</v>
      </c>
      <c r="AG23" s="338">
        <f t="shared" si="14"/>
        <v>0</v>
      </c>
      <c r="AH23" s="338">
        <f t="shared" si="14"/>
        <v>0</v>
      </c>
      <c r="AI23" s="338">
        <f t="shared" si="14"/>
        <v>0</v>
      </c>
      <c r="AJ23" s="522">
        <f t="shared" si="14"/>
        <v>0</v>
      </c>
      <c r="AK23" s="521"/>
      <c r="AL23" s="338">
        <f t="shared" si="15"/>
        <v>0</v>
      </c>
      <c r="AM23" s="338">
        <f t="shared" si="15"/>
        <v>0</v>
      </c>
      <c r="AN23" s="338">
        <f t="shared" si="15"/>
        <v>0</v>
      </c>
      <c r="AO23" s="338">
        <f t="shared" si="15"/>
        <v>0</v>
      </c>
      <c r="AP23" s="338">
        <f t="shared" si="15"/>
        <v>0</v>
      </c>
      <c r="AQ23" s="522">
        <f t="shared" si="15"/>
        <v>0</v>
      </c>
      <c r="AR23" s="521"/>
      <c r="AS23" s="338">
        <f t="shared" si="16"/>
        <v>0</v>
      </c>
      <c r="AT23" s="338">
        <f t="shared" si="17"/>
        <v>0</v>
      </c>
      <c r="AU23" s="338">
        <f t="shared" si="18"/>
        <v>0</v>
      </c>
      <c r="AV23" s="338">
        <f t="shared" si="19"/>
        <v>0</v>
      </c>
      <c r="AW23" s="338">
        <f t="shared" si="20"/>
        <v>0</v>
      </c>
      <c r="AX23" s="522">
        <f t="shared" si="21"/>
        <v>0</v>
      </c>
    </row>
    <row r="24" spans="1:50" s="688" customFormat="1" x14ac:dyDescent="0.2">
      <c r="A24" s="586"/>
      <c r="B24" s="586"/>
      <c r="C24" s="586"/>
      <c r="D24" s="586"/>
      <c r="E24" s="80" t="s">
        <v>414</v>
      </c>
      <c r="F24" s="398">
        <f t="shared" ref="F24:K24" si="23">F23+F22</f>
        <v>0</v>
      </c>
      <c r="G24" s="398">
        <f t="shared" si="23"/>
        <v>0</v>
      </c>
      <c r="H24" s="398">
        <f t="shared" si="23"/>
        <v>0</v>
      </c>
      <c r="I24" s="398">
        <f t="shared" si="23"/>
        <v>0</v>
      </c>
      <c r="J24" s="398">
        <f t="shared" si="23"/>
        <v>0</v>
      </c>
      <c r="K24" s="398">
        <f t="shared" si="23"/>
        <v>0</v>
      </c>
      <c r="M24" s="721">
        <f>MBSRebateRate</f>
        <v>0.8</v>
      </c>
      <c r="S24" s="683"/>
      <c r="T24" s="683"/>
      <c r="V24" s="712">
        <f>SUM(F24:J24)</f>
        <v>0</v>
      </c>
      <c r="W24" s="710"/>
      <c r="X24" s="710"/>
      <c r="Y24" s="710"/>
      <c r="Z24" s="710"/>
      <c r="AA24" s="710"/>
      <c r="AB24" s="710"/>
      <c r="AC24" s="710"/>
      <c r="AD24" s="521"/>
      <c r="AE24" s="338">
        <f t="shared" si="14"/>
        <v>0</v>
      </c>
      <c r="AF24" s="338">
        <f t="shared" si="14"/>
        <v>0</v>
      </c>
      <c r="AG24" s="338">
        <f t="shared" si="14"/>
        <v>0</v>
      </c>
      <c r="AH24" s="338">
        <f t="shared" si="14"/>
        <v>0</v>
      </c>
      <c r="AI24" s="338">
        <f t="shared" si="14"/>
        <v>0</v>
      </c>
      <c r="AJ24" s="522">
        <f t="shared" si="14"/>
        <v>0</v>
      </c>
      <c r="AK24" s="521"/>
      <c r="AL24" s="338">
        <f t="shared" si="15"/>
        <v>0</v>
      </c>
      <c r="AM24" s="338">
        <f t="shared" si="15"/>
        <v>0</v>
      </c>
      <c r="AN24" s="338">
        <f t="shared" si="15"/>
        <v>0</v>
      </c>
      <c r="AO24" s="338">
        <f t="shared" si="15"/>
        <v>0</v>
      </c>
      <c r="AP24" s="338">
        <f t="shared" si="15"/>
        <v>0</v>
      </c>
      <c r="AQ24" s="522">
        <f t="shared" si="15"/>
        <v>0</v>
      </c>
      <c r="AR24" s="521"/>
      <c r="AS24" s="338">
        <f t="shared" si="16"/>
        <v>0</v>
      </c>
      <c r="AT24" s="338">
        <f t="shared" si="17"/>
        <v>0</v>
      </c>
      <c r="AU24" s="338">
        <f t="shared" si="18"/>
        <v>0</v>
      </c>
      <c r="AV24" s="338">
        <f t="shared" si="19"/>
        <v>0</v>
      </c>
      <c r="AW24" s="338">
        <f t="shared" si="20"/>
        <v>0</v>
      </c>
      <c r="AX24" s="522">
        <f t="shared" si="21"/>
        <v>0</v>
      </c>
    </row>
    <row r="25" spans="1:50" s="688" customFormat="1" x14ac:dyDescent="0.2">
      <c r="A25" s="586"/>
      <c r="B25" s="586"/>
      <c r="C25" s="586"/>
      <c r="D25" s="586"/>
      <c r="G25"/>
      <c r="H25"/>
      <c r="I25"/>
      <c r="J25"/>
      <c r="K25"/>
      <c r="M25" s="586"/>
      <c r="S25" s="683"/>
      <c r="T25" s="683"/>
      <c r="V25" s="712"/>
      <c r="W25" s="710"/>
      <c r="X25" s="710"/>
      <c r="Y25" s="710"/>
      <c r="Z25" s="710"/>
      <c r="AA25" s="710"/>
      <c r="AB25" s="710"/>
      <c r="AC25" s="710"/>
      <c r="AD25" s="521"/>
      <c r="AE25" s="338"/>
      <c r="AF25" s="338"/>
      <c r="AG25" s="338"/>
      <c r="AH25" s="338"/>
      <c r="AI25" s="338"/>
      <c r="AJ25" s="522"/>
      <c r="AK25" s="521"/>
      <c r="AL25" s="338"/>
      <c r="AM25" s="338"/>
      <c r="AN25" s="338"/>
      <c r="AO25" s="338"/>
      <c r="AP25" s="338"/>
      <c r="AQ25" s="522"/>
      <c r="AR25" s="521"/>
      <c r="AS25" s="338"/>
      <c r="AT25" s="338"/>
      <c r="AU25" s="338"/>
      <c r="AV25" s="338"/>
      <c r="AW25" s="338"/>
      <c r="AX25" s="522"/>
    </row>
    <row r="26" spans="1:50" s="688" customFormat="1" x14ac:dyDescent="0.2">
      <c r="A26" s="586"/>
      <c r="B26" s="586"/>
      <c r="C26" s="586"/>
      <c r="D26" s="586"/>
      <c r="E26" s="586"/>
      <c r="F26" s="586"/>
      <c r="G26" s="586"/>
      <c r="H26" s="586"/>
      <c r="I26" s="586"/>
      <c r="J26" s="586"/>
      <c r="K26" s="586"/>
      <c r="L26" s="586"/>
      <c r="M26" s="586"/>
      <c r="N26" s="586"/>
      <c r="O26" s="586"/>
      <c r="P26" s="586"/>
      <c r="Q26" s="683"/>
      <c r="R26" s="683"/>
      <c r="S26" s="683"/>
      <c r="T26" s="683"/>
      <c r="V26" s="712">
        <f>V24+V19</f>
        <v>0</v>
      </c>
      <c r="W26" s="710"/>
      <c r="X26" s="710"/>
      <c r="Y26" s="710"/>
      <c r="Z26" s="710"/>
      <c r="AA26" s="710"/>
      <c r="AB26" s="710"/>
      <c r="AC26" s="710"/>
      <c r="AD26" s="521"/>
      <c r="AE26" s="338">
        <f t="shared" ref="AE26:AJ32" si="24">IF(OR(ScriptSourceCode=1,ScriptSourceCode=3),IF($AB41&lt;&gt;0,ROUND(AD41*INDEX(PxTxPhase1,$AB41,8),0),0),0)</f>
        <v>0</v>
      </c>
      <c r="AF26" s="338">
        <f t="shared" si="24"/>
        <v>0</v>
      </c>
      <c r="AG26" s="338">
        <f t="shared" si="24"/>
        <v>0</v>
      </c>
      <c r="AH26" s="338">
        <f t="shared" si="24"/>
        <v>0</v>
      </c>
      <c r="AI26" s="338">
        <f t="shared" si="24"/>
        <v>0</v>
      </c>
      <c r="AJ26" s="522">
        <f t="shared" si="24"/>
        <v>0</v>
      </c>
      <c r="AK26" s="521"/>
      <c r="AL26" s="338">
        <f t="shared" ref="AL26:AQ32" si="25">IF(OR(ScriptSourceCode=1,ScriptSourceCode=3),IF($AB41&lt;&gt;0,ROUND(AK41*INDEX(PxTxPhase1,$AB41,8),0),0),0)</f>
        <v>0</v>
      </c>
      <c r="AM26" s="338">
        <f t="shared" si="25"/>
        <v>0</v>
      </c>
      <c r="AN26" s="338">
        <f t="shared" si="25"/>
        <v>0</v>
      </c>
      <c r="AO26" s="338">
        <f t="shared" si="25"/>
        <v>0</v>
      </c>
      <c r="AP26" s="338">
        <f t="shared" si="25"/>
        <v>0</v>
      </c>
      <c r="AQ26" s="522">
        <f t="shared" si="25"/>
        <v>0</v>
      </c>
      <c r="AR26" s="521"/>
      <c r="AS26" s="338">
        <f t="shared" si="16"/>
        <v>0</v>
      </c>
      <c r="AT26" s="338">
        <f t="shared" si="17"/>
        <v>0</v>
      </c>
      <c r="AU26" s="338">
        <f t="shared" si="18"/>
        <v>0</v>
      </c>
      <c r="AV26" s="338">
        <f t="shared" si="19"/>
        <v>0</v>
      </c>
      <c r="AW26" s="338">
        <f t="shared" si="20"/>
        <v>0</v>
      </c>
      <c r="AX26" s="522">
        <f t="shared" si="21"/>
        <v>0</v>
      </c>
    </row>
    <row r="27" spans="1:50" s="688" customFormat="1" ht="14.25" hidden="1" customHeight="1" x14ac:dyDescent="0.2">
      <c r="A27" s="586"/>
      <c r="B27" s="586"/>
      <c r="C27" s="586"/>
      <c r="D27" s="586"/>
      <c r="E27" s="586"/>
      <c r="F27" s="711">
        <f>FirstYear</f>
        <v>0</v>
      </c>
      <c r="G27" s="711">
        <f>F27+1</f>
        <v>1</v>
      </c>
      <c r="H27" s="711">
        <f>G27+1</f>
        <v>2</v>
      </c>
      <c r="I27" s="711">
        <f>H27+1</f>
        <v>3</v>
      </c>
      <c r="J27" s="711">
        <f>I27+1</f>
        <v>4</v>
      </c>
      <c r="K27" s="711">
        <f>J27+1</f>
        <v>5</v>
      </c>
      <c r="M27" s="586"/>
      <c r="N27" s="586"/>
      <c r="O27" s="586"/>
      <c r="P27" s="586"/>
      <c r="Q27" s="683"/>
      <c r="R27" s="683"/>
      <c r="S27" s="683"/>
      <c r="T27" s="683"/>
      <c r="V27" s="713"/>
      <c r="W27" s="710"/>
      <c r="X27" s="710"/>
      <c r="Y27" s="710"/>
      <c r="Z27" s="710"/>
      <c r="AA27" s="710"/>
      <c r="AB27" s="710"/>
      <c r="AC27" s="710"/>
      <c r="AD27" s="521"/>
      <c r="AE27" s="338">
        <f t="shared" si="24"/>
        <v>0</v>
      </c>
      <c r="AF27" s="338">
        <f t="shared" si="24"/>
        <v>0</v>
      </c>
      <c r="AG27" s="338">
        <f t="shared" si="24"/>
        <v>0</v>
      </c>
      <c r="AH27" s="338">
        <f t="shared" si="24"/>
        <v>0</v>
      </c>
      <c r="AI27" s="338">
        <f t="shared" si="24"/>
        <v>0</v>
      </c>
      <c r="AJ27" s="522">
        <f t="shared" si="24"/>
        <v>0</v>
      </c>
      <c r="AK27" s="521"/>
      <c r="AL27" s="338">
        <f t="shared" si="25"/>
        <v>0</v>
      </c>
      <c r="AM27" s="338">
        <f t="shared" si="25"/>
        <v>0</v>
      </c>
      <c r="AN27" s="338">
        <f t="shared" si="25"/>
        <v>0</v>
      </c>
      <c r="AO27" s="338">
        <f t="shared" si="25"/>
        <v>0</v>
      </c>
      <c r="AP27" s="338">
        <f t="shared" si="25"/>
        <v>0</v>
      </c>
      <c r="AQ27" s="522">
        <f t="shared" si="25"/>
        <v>0</v>
      </c>
      <c r="AR27" s="521"/>
      <c r="AS27" s="338">
        <f t="shared" si="16"/>
        <v>0</v>
      </c>
      <c r="AT27" s="338">
        <f t="shared" si="17"/>
        <v>0</v>
      </c>
      <c r="AU27" s="338">
        <f t="shared" si="18"/>
        <v>0</v>
      </c>
      <c r="AV27" s="338">
        <f t="shared" si="19"/>
        <v>0</v>
      </c>
      <c r="AW27" s="338">
        <f t="shared" si="20"/>
        <v>0</v>
      </c>
      <c r="AX27" s="522">
        <f t="shared" si="21"/>
        <v>0</v>
      </c>
    </row>
    <row r="28" spans="1:50" s="688" customFormat="1" ht="14.25" hidden="1" customHeight="1" x14ac:dyDescent="0.2">
      <c r="A28" s="586"/>
      <c r="B28" s="586"/>
      <c r="C28" s="586"/>
      <c r="D28" s="586"/>
      <c r="E28" s="358" t="s">
        <v>383</v>
      </c>
      <c r="F28" s="262">
        <f t="shared" ref="F28:K28" si="26">SUMIF($V$69:$V$236,F27,$W$69:$W$236)</f>
        <v>0</v>
      </c>
      <c r="G28" s="262">
        <f t="shared" si="26"/>
        <v>0</v>
      </c>
      <c r="H28" s="262">
        <f t="shared" si="26"/>
        <v>0</v>
      </c>
      <c r="I28" s="262">
        <f t="shared" si="26"/>
        <v>0</v>
      </c>
      <c r="J28" s="262">
        <f t="shared" si="26"/>
        <v>0</v>
      </c>
      <c r="K28" s="262">
        <f t="shared" si="26"/>
        <v>0</v>
      </c>
      <c r="M28" s="586"/>
      <c r="N28" s="586"/>
      <c r="O28" s="586"/>
      <c r="P28" s="586"/>
      <c r="Q28" s="683"/>
      <c r="R28" s="683"/>
      <c r="S28" s="683"/>
      <c r="T28" s="683"/>
      <c r="V28" s="713"/>
      <c r="W28" s="710"/>
      <c r="X28" s="710"/>
      <c r="Y28" s="710"/>
      <c r="Z28" s="710"/>
      <c r="AA28" s="710"/>
      <c r="AB28" s="710"/>
      <c r="AC28" s="710"/>
      <c r="AD28" s="521"/>
      <c r="AE28" s="338">
        <f t="shared" si="24"/>
        <v>0</v>
      </c>
      <c r="AF28" s="338">
        <f t="shared" si="24"/>
        <v>0</v>
      </c>
      <c r="AG28" s="338">
        <f t="shared" si="24"/>
        <v>0</v>
      </c>
      <c r="AH28" s="338">
        <f t="shared" si="24"/>
        <v>0</v>
      </c>
      <c r="AI28" s="338">
        <f t="shared" si="24"/>
        <v>0</v>
      </c>
      <c r="AJ28" s="522">
        <f t="shared" si="24"/>
        <v>0</v>
      </c>
      <c r="AK28" s="521"/>
      <c r="AL28" s="338">
        <f t="shared" si="25"/>
        <v>0</v>
      </c>
      <c r="AM28" s="338">
        <f t="shared" si="25"/>
        <v>0</v>
      </c>
      <c r="AN28" s="338">
        <f t="shared" si="25"/>
        <v>0</v>
      </c>
      <c r="AO28" s="338">
        <f t="shared" si="25"/>
        <v>0</v>
      </c>
      <c r="AP28" s="338">
        <f t="shared" si="25"/>
        <v>0</v>
      </c>
      <c r="AQ28" s="522">
        <f t="shared" si="25"/>
        <v>0</v>
      </c>
      <c r="AR28" s="521"/>
      <c r="AS28" s="338">
        <f t="shared" si="16"/>
        <v>0</v>
      </c>
      <c r="AT28" s="338">
        <f t="shared" si="17"/>
        <v>0</v>
      </c>
      <c r="AU28" s="338">
        <f t="shared" si="18"/>
        <v>0</v>
      </c>
      <c r="AV28" s="338">
        <f t="shared" si="19"/>
        <v>0</v>
      </c>
      <c r="AW28" s="338">
        <f t="shared" si="20"/>
        <v>0</v>
      </c>
      <c r="AX28" s="522">
        <f t="shared" si="21"/>
        <v>0</v>
      </c>
    </row>
    <row r="29" spans="1:50" s="688" customFormat="1" ht="14.25" hidden="1" customHeight="1" x14ac:dyDescent="0.2">
      <c r="A29" s="586"/>
      <c r="B29" s="586"/>
      <c r="C29" s="586"/>
      <c r="D29" s="586"/>
      <c r="E29" s="358" t="s">
        <v>384</v>
      </c>
      <c r="F29" s="262">
        <f t="shared" ref="F29:K29" si="27">SUMIF($V$284:$V$451,F27,$W$284:$W$451)</f>
        <v>0</v>
      </c>
      <c r="G29" s="262">
        <f t="shared" si="27"/>
        <v>0</v>
      </c>
      <c r="H29" s="262">
        <f t="shared" si="27"/>
        <v>0</v>
      </c>
      <c r="I29" s="262">
        <f t="shared" si="27"/>
        <v>0</v>
      </c>
      <c r="J29" s="262">
        <f t="shared" si="27"/>
        <v>0</v>
      </c>
      <c r="K29" s="262">
        <f t="shared" si="27"/>
        <v>0</v>
      </c>
      <c r="M29" s="586"/>
      <c r="N29" s="586"/>
      <c r="O29" s="586"/>
      <c r="P29" s="586"/>
      <c r="Q29" s="683"/>
      <c r="R29" s="683"/>
      <c r="S29" s="683"/>
      <c r="T29" s="683"/>
      <c r="V29" s="713"/>
      <c r="W29" s="710"/>
      <c r="X29" s="710"/>
      <c r="Y29" s="710"/>
      <c r="Z29" s="710"/>
      <c r="AA29" s="710"/>
      <c r="AB29" s="710"/>
      <c r="AC29" s="710"/>
      <c r="AD29" s="521"/>
      <c r="AE29" s="338">
        <f t="shared" si="24"/>
        <v>0</v>
      </c>
      <c r="AF29" s="338">
        <f t="shared" si="24"/>
        <v>0</v>
      </c>
      <c r="AG29" s="338">
        <f t="shared" si="24"/>
        <v>0</v>
      </c>
      <c r="AH29" s="338">
        <f t="shared" si="24"/>
        <v>0</v>
      </c>
      <c r="AI29" s="338">
        <f t="shared" si="24"/>
        <v>0</v>
      </c>
      <c r="AJ29" s="522">
        <f t="shared" si="24"/>
        <v>0</v>
      </c>
      <c r="AK29" s="521"/>
      <c r="AL29" s="338">
        <f t="shared" si="25"/>
        <v>0</v>
      </c>
      <c r="AM29" s="338">
        <f t="shared" si="25"/>
        <v>0</v>
      </c>
      <c r="AN29" s="338">
        <f t="shared" si="25"/>
        <v>0</v>
      </c>
      <c r="AO29" s="338">
        <f t="shared" si="25"/>
        <v>0</v>
      </c>
      <c r="AP29" s="338">
        <f t="shared" si="25"/>
        <v>0</v>
      </c>
      <c r="AQ29" s="522">
        <f t="shared" si="25"/>
        <v>0</v>
      </c>
      <c r="AR29" s="521"/>
      <c r="AS29" s="338">
        <f t="shared" si="16"/>
        <v>0</v>
      </c>
      <c r="AT29" s="338">
        <f t="shared" si="17"/>
        <v>0</v>
      </c>
      <c r="AU29" s="338">
        <f t="shared" si="18"/>
        <v>0</v>
      </c>
      <c r="AV29" s="338">
        <f t="shared" si="19"/>
        <v>0</v>
      </c>
      <c r="AW29" s="338">
        <f t="shared" si="20"/>
        <v>0</v>
      </c>
      <c r="AX29" s="522">
        <f t="shared" si="21"/>
        <v>0</v>
      </c>
    </row>
    <row r="30" spans="1:50" s="688" customFormat="1" ht="14.25" hidden="1" customHeight="1" x14ac:dyDescent="0.2">
      <c r="A30" s="586"/>
      <c r="B30" s="586"/>
      <c r="C30" s="586"/>
      <c r="D30" s="586"/>
      <c r="E30" s="358" t="s">
        <v>385</v>
      </c>
      <c r="F30" s="262">
        <f t="shared" ref="F30:K30" si="28">F29+F28</f>
        <v>0</v>
      </c>
      <c r="G30" s="262">
        <f t="shared" si="28"/>
        <v>0</v>
      </c>
      <c r="H30" s="262">
        <f t="shared" si="28"/>
        <v>0</v>
      </c>
      <c r="I30" s="262">
        <f t="shared" si="28"/>
        <v>0</v>
      </c>
      <c r="J30" s="262">
        <f t="shared" si="28"/>
        <v>0</v>
      </c>
      <c r="K30" s="262">
        <f t="shared" si="28"/>
        <v>0</v>
      </c>
      <c r="M30" s="586"/>
      <c r="N30" s="586"/>
      <c r="O30" s="586"/>
      <c r="P30" s="586"/>
      <c r="Q30" s="683"/>
      <c r="R30" s="683"/>
      <c r="S30" s="683"/>
      <c r="T30" s="683"/>
      <c r="V30" s="713"/>
      <c r="W30" s="710"/>
      <c r="X30" s="710"/>
      <c r="Y30" s="710"/>
      <c r="Z30" s="710"/>
      <c r="AA30" s="710"/>
      <c r="AB30" s="710"/>
      <c r="AC30" s="710"/>
      <c r="AD30" s="521"/>
      <c r="AE30" s="338">
        <f t="shared" si="24"/>
        <v>0</v>
      </c>
      <c r="AF30" s="338">
        <f t="shared" si="24"/>
        <v>0</v>
      </c>
      <c r="AG30" s="338">
        <f t="shared" si="24"/>
        <v>0</v>
      </c>
      <c r="AH30" s="338">
        <f t="shared" si="24"/>
        <v>0</v>
      </c>
      <c r="AI30" s="338">
        <f t="shared" si="24"/>
        <v>0</v>
      </c>
      <c r="AJ30" s="522">
        <f t="shared" si="24"/>
        <v>0</v>
      </c>
      <c r="AK30" s="521"/>
      <c r="AL30" s="338">
        <f t="shared" si="25"/>
        <v>0</v>
      </c>
      <c r="AM30" s="338">
        <f t="shared" si="25"/>
        <v>0</v>
      </c>
      <c r="AN30" s="338">
        <f t="shared" si="25"/>
        <v>0</v>
      </c>
      <c r="AO30" s="338">
        <f t="shared" si="25"/>
        <v>0</v>
      </c>
      <c r="AP30" s="338">
        <f t="shared" si="25"/>
        <v>0</v>
      </c>
      <c r="AQ30" s="522">
        <f t="shared" si="25"/>
        <v>0</v>
      </c>
      <c r="AR30" s="521"/>
      <c r="AS30" s="338">
        <f t="shared" si="16"/>
        <v>0</v>
      </c>
      <c r="AT30" s="338">
        <f t="shared" si="17"/>
        <v>0</v>
      </c>
      <c r="AU30" s="338">
        <f t="shared" si="18"/>
        <v>0</v>
      </c>
      <c r="AV30" s="338">
        <f t="shared" si="19"/>
        <v>0</v>
      </c>
      <c r="AW30" s="338">
        <f t="shared" si="20"/>
        <v>0</v>
      </c>
      <c r="AX30" s="522">
        <f t="shared" si="21"/>
        <v>0</v>
      </c>
    </row>
    <row r="31" spans="1:50" s="688" customFormat="1" hidden="1" x14ac:dyDescent="0.2">
      <c r="A31" s="586"/>
      <c r="B31" s="586"/>
      <c r="C31" s="586"/>
      <c r="D31" s="586"/>
      <c r="E31" s="586"/>
      <c r="F31" s="586"/>
      <c r="G31" s="586"/>
      <c r="H31" s="586"/>
      <c r="I31" s="586"/>
      <c r="J31" s="586"/>
      <c r="K31" s="586"/>
      <c r="L31" s="586"/>
      <c r="M31" s="586"/>
      <c r="N31" s="586"/>
      <c r="O31" s="586"/>
      <c r="P31" s="586"/>
      <c r="Q31" s="683"/>
      <c r="R31" s="683"/>
      <c r="S31" s="683"/>
      <c r="T31" s="683"/>
      <c r="V31" s="713"/>
      <c r="W31" s="710"/>
      <c r="X31" s="710"/>
      <c r="Y31" s="710"/>
      <c r="Z31" s="710"/>
      <c r="AA31" s="710"/>
      <c r="AB31" s="710"/>
      <c r="AC31" s="710"/>
      <c r="AD31" s="521"/>
      <c r="AE31" s="338">
        <f t="shared" si="24"/>
        <v>0</v>
      </c>
      <c r="AF31" s="338">
        <f t="shared" si="24"/>
        <v>0</v>
      </c>
      <c r="AG31" s="338">
        <f t="shared" si="24"/>
        <v>0</v>
      </c>
      <c r="AH31" s="338">
        <f t="shared" si="24"/>
        <v>0</v>
      </c>
      <c r="AI31" s="338">
        <f t="shared" si="24"/>
        <v>0</v>
      </c>
      <c r="AJ31" s="522">
        <f t="shared" si="24"/>
        <v>0</v>
      </c>
      <c r="AK31" s="521"/>
      <c r="AL31" s="338">
        <f t="shared" si="25"/>
        <v>0</v>
      </c>
      <c r="AM31" s="338">
        <f t="shared" si="25"/>
        <v>0</v>
      </c>
      <c r="AN31" s="338">
        <f t="shared" si="25"/>
        <v>0</v>
      </c>
      <c r="AO31" s="338">
        <f t="shared" si="25"/>
        <v>0</v>
      </c>
      <c r="AP31" s="338">
        <f t="shared" si="25"/>
        <v>0</v>
      </c>
      <c r="AQ31" s="522">
        <f t="shared" si="25"/>
        <v>0</v>
      </c>
      <c r="AR31" s="521"/>
      <c r="AS31" s="338">
        <f t="shared" si="16"/>
        <v>0</v>
      </c>
      <c r="AT31" s="338">
        <f t="shared" si="17"/>
        <v>0</v>
      </c>
      <c r="AU31" s="338">
        <f t="shared" si="18"/>
        <v>0</v>
      </c>
      <c r="AV31" s="338">
        <f t="shared" si="19"/>
        <v>0</v>
      </c>
      <c r="AW31" s="338">
        <f t="shared" si="20"/>
        <v>0</v>
      </c>
      <c r="AX31" s="522">
        <f t="shared" si="21"/>
        <v>0</v>
      </c>
    </row>
    <row r="32" spans="1:50" ht="16.5" thickBot="1" x14ac:dyDescent="0.25">
      <c r="A32" s="152"/>
      <c r="B32" s="152"/>
      <c r="C32" s="152"/>
      <c r="D32" s="110" t="s">
        <v>952</v>
      </c>
      <c r="E32" s="110"/>
      <c r="F32" s="154"/>
      <c r="G32" s="154"/>
      <c r="H32" s="154"/>
      <c r="I32" s="154"/>
      <c r="J32" s="154"/>
      <c r="K32" s="154"/>
      <c r="L32" s="154"/>
      <c r="M32" s="154"/>
      <c r="N32" s="154"/>
      <c r="O32" s="154"/>
      <c r="P32" s="154"/>
      <c r="Q32" s="154"/>
      <c r="R32" s="154"/>
      <c r="S32" s="154"/>
      <c r="T32" s="154"/>
      <c r="V32" s="685"/>
      <c r="W32" s="685"/>
      <c r="X32" s="685"/>
      <c r="Y32" s="685"/>
      <c r="Z32" s="685"/>
      <c r="AA32" s="685"/>
      <c r="AB32" s="685"/>
      <c r="AC32" s="685"/>
      <c r="AD32" s="523"/>
      <c r="AE32" s="524">
        <f t="shared" si="24"/>
        <v>0</v>
      </c>
      <c r="AF32" s="524">
        <f t="shared" si="24"/>
        <v>0</v>
      </c>
      <c r="AG32" s="524">
        <f t="shared" si="24"/>
        <v>0</v>
      </c>
      <c r="AH32" s="524">
        <f t="shared" si="24"/>
        <v>0</v>
      </c>
      <c r="AI32" s="524">
        <f t="shared" si="24"/>
        <v>0</v>
      </c>
      <c r="AJ32" s="525">
        <f t="shared" si="24"/>
        <v>0</v>
      </c>
      <c r="AK32" s="523"/>
      <c r="AL32" s="524">
        <f t="shared" si="25"/>
        <v>0</v>
      </c>
      <c r="AM32" s="524">
        <f t="shared" si="25"/>
        <v>0</v>
      </c>
      <c r="AN32" s="524">
        <f t="shared" si="25"/>
        <v>0</v>
      </c>
      <c r="AO32" s="524">
        <f t="shared" si="25"/>
        <v>0</v>
      </c>
      <c r="AP32" s="524">
        <f t="shared" si="25"/>
        <v>0</v>
      </c>
      <c r="AQ32" s="525">
        <f t="shared" si="25"/>
        <v>0</v>
      </c>
      <c r="AR32" s="523"/>
      <c r="AS32" s="524">
        <f t="shared" si="16"/>
        <v>0</v>
      </c>
      <c r="AT32" s="524">
        <f t="shared" si="17"/>
        <v>0</v>
      </c>
      <c r="AU32" s="524">
        <f t="shared" si="18"/>
        <v>0</v>
      </c>
      <c r="AV32" s="524">
        <f t="shared" si="19"/>
        <v>0</v>
      </c>
      <c r="AW32" s="524">
        <f t="shared" si="20"/>
        <v>0</v>
      </c>
      <c r="AX32" s="525">
        <f t="shared" si="21"/>
        <v>0</v>
      </c>
    </row>
    <row r="33" spans="1:47" ht="15.75" outlineLevel="1" x14ac:dyDescent="0.2">
      <c r="A33" s="149"/>
      <c r="B33" s="149"/>
      <c r="C33" s="149"/>
      <c r="D33" s="162"/>
      <c r="E33" s="162"/>
      <c r="F33" s="686"/>
      <c r="G33" s="149"/>
      <c r="H33" s="149"/>
      <c r="I33" s="149"/>
      <c r="J33" s="149"/>
      <c r="K33" s="149"/>
      <c r="L33" s="149"/>
      <c r="M33" s="149"/>
      <c r="N33" s="149"/>
      <c r="O33" s="149"/>
      <c r="P33" s="149"/>
      <c r="Q33" s="149"/>
      <c r="R33" s="149"/>
      <c r="S33" s="149"/>
      <c r="T33" s="149"/>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row>
    <row r="34" spans="1:47" outlineLevel="1" x14ac:dyDescent="0.2">
      <c r="A34" s="149"/>
      <c r="B34" s="149"/>
      <c r="C34" s="149"/>
      <c r="D34" s="586" t="s">
        <v>925</v>
      </c>
      <c r="E34" s="586"/>
      <c r="F34" s="686"/>
      <c r="G34" s="149"/>
      <c r="H34" s="149"/>
      <c r="I34" s="149"/>
      <c r="J34" s="149"/>
      <c r="K34" s="149"/>
      <c r="L34" s="149"/>
      <c r="M34" s="149"/>
      <c r="N34" s="149"/>
      <c r="O34" s="149"/>
      <c r="P34" s="149"/>
      <c r="Q34" s="149"/>
      <c r="R34" s="149"/>
      <c r="S34" s="149"/>
      <c r="T34" s="149"/>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row>
    <row r="35" spans="1:47" outlineLevel="1" x14ac:dyDescent="0.2">
      <c r="A35" s="149"/>
      <c r="B35" s="149"/>
      <c r="C35" s="149"/>
      <c r="D35" s="586" t="s">
        <v>266</v>
      </c>
      <c r="E35" s="586"/>
      <c r="F35" s="686"/>
      <c r="G35" s="149"/>
      <c r="H35" s="149"/>
      <c r="I35" s="149"/>
      <c r="J35" s="149"/>
      <c r="K35" s="149"/>
      <c r="L35" s="149"/>
      <c r="M35" s="149"/>
      <c r="N35" s="149"/>
      <c r="O35" s="149"/>
      <c r="P35" s="149"/>
      <c r="Q35" s="149"/>
      <c r="R35" s="149"/>
      <c r="S35" s="149"/>
      <c r="T35" s="149"/>
      <c r="V35" s="91"/>
      <c r="W35" s="91"/>
      <c r="X35" s="91"/>
      <c r="Y35" s="91"/>
      <c r="Z35" s="91"/>
      <c r="AA35" s="91"/>
      <c r="AB35" s="91"/>
      <c r="AC35" s="91"/>
      <c r="AD35" s="83">
        <v>1</v>
      </c>
      <c r="AE35" s="83">
        <v>2</v>
      </c>
      <c r="AF35" s="83">
        <v>3</v>
      </c>
      <c r="AG35" s="83">
        <v>4</v>
      </c>
      <c r="AH35" s="83">
        <v>5</v>
      </c>
      <c r="AI35" s="83">
        <v>6</v>
      </c>
      <c r="AJ35" s="83">
        <v>1</v>
      </c>
      <c r="AK35" s="83">
        <v>2</v>
      </c>
      <c r="AL35" s="83">
        <v>3</v>
      </c>
      <c r="AM35" s="83">
        <v>4</v>
      </c>
      <c r="AN35" s="83">
        <v>5</v>
      </c>
      <c r="AO35" s="83">
        <v>6</v>
      </c>
      <c r="AP35" s="91"/>
      <c r="AQ35" s="91"/>
      <c r="AR35" s="91"/>
      <c r="AS35" s="91"/>
      <c r="AT35" s="91"/>
      <c r="AU35" s="91"/>
    </row>
    <row r="36" spans="1:47" outlineLevel="1" x14ac:dyDescent="0.2">
      <c r="A36" s="149"/>
      <c r="B36" s="149"/>
      <c r="C36" s="149"/>
      <c r="D36" s="586"/>
      <c r="E36" s="586"/>
      <c r="F36" s="686"/>
      <c r="G36" s="149"/>
      <c r="H36" s="149"/>
      <c r="I36" s="149"/>
      <c r="J36" s="149"/>
      <c r="K36" s="149"/>
      <c r="L36" s="149"/>
      <c r="M36" s="149"/>
      <c r="N36" s="149"/>
      <c r="O36" s="149"/>
      <c r="P36" s="149"/>
      <c r="Q36" s="91"/>
      <c r="R36" s="91"/>
      <c r="S36" s="91"/>
      <c r="T36" s="679"/>
      <c r="V36" s="679"/>
      <c r="W36" s="679"/>
      <c r="X36" s="91"/>
      <c r="Y36" s="91"/>
      <c r="Z36" s="91"/>
      <c r="AA36" s="91"/>
      <c r="AB36" s="91"/>
      <c r="AC36" s="91"/>
      <c r="AD36" s="820" t="str">
        <f>AD20</f>
        <v/>
      </c>
      <c r="AE36" s="820"/>
      <c r="AF36" s="820"/>
      <c r="AG36" s="820"/>
      <c r="AH36" s="820"/>
      <c r="AI36" s="820"/>
      <c r="AJ36" s="820" t="str">
        <f>AK20</f>
        <v/>
      </c>
      <c r="AK36" s="820"/>
      <c r="AL36" s="820"/>
      <c r="AM36" s="820"/>
      <c r="AN36" s="820"/>
      <c r="AO36" s="820"/>
      <c r="AP36" s="91"/>
      <c r="AQ36" s="91"/>
      <c r="AR36" s="91"/>
      <c r="AS36" s="91"/>
      <c r="AT36" s="91"/>
      <c r="AU36" s="91"/>
    </row>
    <row r="37" spans="1:47" ht="38.25" outlineLevel="1" x14ac:dyDescent="0.2">
      <c r="A37" s="149"/>
      <c r="B37" s="149"/>
      <c r="C37" s="149"/>
      <c r="D37" s="90" t="s">
        <v>342</v>
      </c>
      <c r="E37" s="854" t="s">
        <v>881</v>
      </c>
      <c r="F37" s="854"/>
      <c r="G37" s="90" t="s">
        <v>35</v>
      </c>
      <c r="H37" s="90" t="s">
        <v>78</v>
      </c>
      <c r="I37" s="90" t="s">
        <v>477</v>
      </c>
      <c r="J37" s="90" t="s">
        <v>79</v>
      </c>
      <c r="K37" s="90" t="s">
        <v>817</v>
      </c>
      <c r="L37" s="90" t="s">
        <v>167</v>
      </c>
      <c r="M37" s="90" t="s">
        <v>144</v>
      </c>
      <c r="N37" s="90" t="s">
        <v>145</v>
      </c>
      <c r="O37" s="716" t="s">
        <v>267</v>
      </c>
      <c r="P37" s="90" t="str">
        <f>"Scheduled fee (" &amp; MBSRebateRate &amp; ")"</f>
        <v>Scheduled fee (0.8)</v>
      </c>
      <c r="Q37" s="90" t="s">
        <v>57</v>
      </c>
      <c r="R37" s="90" t="s">
        <v>404</v>
      </c>
      <c r="S37" s="90" t="s">
        <v>463</v>
      </c>
      <c r="T37" s="90" t="s">
        <v>469</v>
      </c>
      <c r="V37" s="335" t="s">
        <v>343</v>
      </c>
      <c r="W37" s="335" t="s">
        <v>344</v>
      </c>
      <c r="X37" s="335" t="s">
        <v>345</v>
      </c>
      <c r="Y37" s="335" t="s">
        <v>326</v>
      </c>
      <c r="Z37" s="687" t="s">
        <v>292</v>
      </c>
      <c r="AA37" s="687" t="s">
        <v>52</v>
      </c>
      <c r="AB37" s="687" t="s">
        <v>381</v>
      </c>
      <c r="AC37" s="335" t="s">
        <v>468</v>
      </c>
      <c r="AD37" s="335">
        <f>FirstYear</f>
        <v>0</v>
      </c>
      <c r="AE37" s="335">
        <f>AD37+1</f>
        <v>1</v>
      </c>
      <c r="AF37" s="335">
        <f>AE37+1</f>
        <v>2</v>
      </c>
      <c r="AG37" s="335">
        <f>AF37+1</f>
        <v>3</v>
      </c>
      <c r="AH37" s="335">
        <f>AG37+1</f>
        <v>4</v>
      </c>
      <c r="AI37" s="335">
        <f>AH37+1</f>
        <v>5</v>
      </c>
      <c r="AJ37" s="335">
        <f>FirstYear</f>
        <v>0</v>
      </c>
      <c r="AK37" s="335">
        <f>AJ37+1</f>
        <v>1</v>
      </c>
      <c r="AL37" s="335">
        <f>AK37+1</f>
        <v>2</v>
      </c>
      <c r="AM37" s="335">
        <f>AL37+1</f>
        <v>3</v>
      </c>
      <c r="AN37" s="335">
        <f>AM37+1</f>
        <v>4</v>
      </c>
      <c r="AO37" s="335">
        <f>AN37+1</f>
        <v>5</v>
      </c>
      <c r="AP37" s="91"/>
      <c r="AQ37" s="91"/>
      <c r="AR37" s="91"/>
      <c r="AS37" s="91"/>
      <c r="AT37" s="91"/>
      <c r="AU37" s="91"/>
    </row>
    <row r="38" spans="1:47" ht="14.25" customHeight="1" outlineLevel="1" x14ac:dyDescent="0.2">
      <c r="A38" s="149"/>
      <c r="B38" s="149"/>
      <c r="C38" s="352">
        <v>1</v>
      </c>
      <c r="D38" s="672"/>
      <c r="E38" s="795"/>
      <c r="F38" s="858"/>
      <c r="G38" s="69" t="str">
        <f t="shared" ref="G38:G47" si="29">IF(K38&lt;&gt;"",INDEX(ServiceSplitPublic,K38),"")</f>
        <v/>
      </c>
      <c r="H38" s="69" t="str">
        <f t="shared" ref="H38:H47" si="30">IF(K38&lt;&gt;"",INDEX(ServiceSplitPrivate,K38),"")</f>
        <v/>
      </c>
      <c r="I38" s="233"/>
      <c r="J38" s="69" t="str">
        <f t="shared" ref="J38:J47" si="31">IF(I38&lt;&gt;"",1-I38,"")</f>
        <v/>
      </c>
      <c r="K38" s="496"/>
      <c r="L38" s="496"/>
      <c r="M38" s="705"/>
      <c r="N38" s="705"/>
      <c r="O38" s="706"/>
      <c r="P38" s="719">
        <f t="shared" ref="P38:P47" si="32">O38*MBSRebateRate</f>
        <v>0</v>
      </c>
      <c r="Q38" s="707"/>
      <c r="R38" s="355"/>
      <c r="S38" s="707"/>
      <c r="T38" s="708"/>
      <c r="V38" s="352">
        <v>1</v>
      </c>
      <c r="W38" s="352">
        <f t="shared" ref="W38:W47" si="33">IF(L38="Per patient",1,IF(L38="Per script",2,0))</f>
        <v>0</v>
      </c>
      <c r="X38" s="95" t="str">
        <f t="shared" ref="X38:X47" si="34">IF(INDEX(MBSItemsInc,C38,1)&lt;&gt;"",INDEX(MBSItemsInc,C38,1) &amp; " - " &amp; INDEX(MBSItemsInc,C38,2),MsgNotUsed)</f>
        <v>** NOT USED **</v>
      </c>
      <c r="Y38" s="106">
        <f t="shared" ref="Y38:Y47" si="35">IF(Q38&lt;&gt;"",VLOOKUP(Q38,TPShortCode,2,FALSE),0)</f>
        <v>0</v>
      </c>
      <c r="Z38" s="598">
        <f t="shared" ref="Z38:Z47" si="36">IF(S38&lt;&gt;"",MATCH(S38,PxTxSource,0)-1,0)</f>
        <v>0</v>
      </c>
      <c r="AA38" s="598">
        <f ca="1">IF(T38&lt;&gt;"",MATCH(T38,OFFSET(References!$AB$23,0,Z38,PxTxCount),0),0)</f>
        <v>0</v>
      </c>
      <c r="AB38" s="598">
        <f t="shared" ref="AB38:AB47" ca="1" si="37">(Z38*PxTxCount)+AA38</f>
        <v>0</v>
      </c>
      <c r="AC38" s="346" t="e">
        <f ca="1">OFFSET(References!$AB$23,0,$Z$38,INDEX(PxTxValid,,$Z$38+1))</f>
        <v>#REF!</v>
      </c>
      <c r="AD38" s="338">
        <f t="shared" ref="AD38:AI47" ca="1" si="38">IF($AB38&lt;&gt;0,INDEX(PxTxPhase1,$AB38,AD$35),0)</f>
        <v>0</v>
      </c>
      <c r="AE38" s="338">
        <f t="shared" ca="1" si="38"/>
        <v>0</v>
      </c>
      <c r="AF38" s="338">
        <f t="shared" ca="1" si="38"/>
        <v>0</v>
      </c>
      <c r="AG38" s="338">
        <f t="shared" ca="1" si="38"/>
        <v>0</v>
      </c>
      <c r="AH38" s="338">
        <f t="shared" ca="1" si="38"/>
        <v>0</v>
      </c>
      <c r="AI38" s="338">
        <f t="shared" ca="1" si="38"/>
        <v>0</v>
      </c>
      <c r="AJ38" s="338">
        <f t="shared" ref="AJ38:AO47" ca="1" si="39">IF($AB38&lt;&gt;0,INDEX(PxTxPhase2,$AB38,AJ$35),0)</f>
        <v>0</v>
      </c>
      <c r="AK38" s="338">
        <f t="shared" ca="1" si="39"/>
        <v>0</v>
      </c>
      <c r="AL38" s="338">
        <f t="shared" ca="1" si="39"/>
        <v>0</v>
      </c>
      <c r="AM38" s="338">
        <f t="shared" ca="1" si="39"/>
        <v>0</v>
      </c>
      <c r="AN38" s="338">
        <f t="shared" ca="1" si="39"/>
        <v>0</v>
      </c>
      <c r="AO38" s="338">
        <f t="shared" ca="1" si="39"/>
        <v>0</v>
      </c>
      <c r="AP38" s="91"/>
      <c r="AQ38" s="91"/>
      <c r="AR38" s="91"/>
      <c r="AS38" s="91"/>
      <c r="AT38" s="91"/>
      <c r="AU38" s="91"/>
    </row>
    <row r="39" spans="1:47" ht="14.25" customHeight="1" outlineLevel="1" x14ac:dyDescent="0.2">
      <c r="A39" s="149"/>
      <c r="B39" s="149"/>
      <c r="C39" s="352">
        <v>2</v>
      </c>
      <c r="D39" s="672"/>
      <c r="E39" s="800"/>
      <c r="F39" s="787"/>
      <c r="G39" s="69" t="str">
        <f t="shared" si="29"/>
        <v/>
      </c>
      <c r="H39" s="69" t="str">
        <f t="shared" si="30"/>
        <v/>
      </c>
      <c r="I39" s="233"/>
      <c r="J39" s="69" t="str">
        <f t="shared" si="31"/>
        <v/>
      </c>
      <c r="K39" s="496"/>
      <c r="L39" s="496"/>
      <c r="M39" s="705"/>
      <c r="N39" s="705"/>
      <c r="O39" s="706"/>
      <c r="P39" s="719">
        <f t="shared" si="32"/>
        <v>0</v>
      </c>
      <c r="Q39" s="707"/>
      <c r="R39" s="355"/>
      <c r="S39" s="707"/>
      <c r="T39" s="708"/>
      <c r="V39" s="352">
        <f>V38</f>
        <v>1</v>
      </c>
      <c r="W39" s="352">
        <f t="shared" si="33"/>
        <v>0</v>
      </c>
      <c r="X39" s="95" t="str">
        <f t="shared" si="34"/>
        <v>** NOT USED **</v>
      </c>
      <c r="Y39" s="106">
        <f t="shared" si="35"/>
        <v>0</v>
      </c>
      <c r="Z39" s="598">
        <f t="shared" si="36"/>
        <v>0</v>
      </c>
      <c r="AA39" s="598">
        <f ca="1">IF(T39&lt;&gt;"",MATCH(T39,OFFSET(References!$AB$23,0,Z39,PxTxCount),0),0)</f>
        <v>0</v>
      </c>
      <c r="AB39" s="598">
        <f t="shared" ca="1" si="37"/>
        <v>0</v>
      </c>
      <c r="AC39" s="346" t="e">
        <f ca="1">OFFSET(References!$AB$23,0,$Z$39,INDEX(PxTxValid,,$Z$39+1))</f>
        <v>#REF!</v>
      </c>
      <c r="AD39" s="338">
        <f t="shared" ca="1" si="38"/>
        <v>0</v>
      </c>
      <c r="AE39" s="338">
        <f t="shared" ca="1" si="38"/>
        <v>0</v>
      </c>
      <c r="AF39" s="338">
        <f t="shared" ca="1" si="38"/>
        <v>0</v>
      </c>
      <c r="AG39" s="338">
        <f t="shared" ca="1" si="38"/>
        <v>0</v>
      </c>
      <c r="AH39" s="338">
        <f t="shared" ca="1" si="38"/>
        <v>0</v>
      </c>
      <c r="AI39" s="338">
        <f t="shared" ca="1" si="38"/>
        <v>0</v>
      </c>
      <c r="AJ39" s="338">
        <f t="shared" ca="1" si="39"/>
        <v>0</v>
      </c>
      <c r="AK39" s="338">
        <f t="shared" ca="1" si="39"/>
        <v>0</v>
      </c>
      <c r="AL39" s="338">
        <f t="shared" ca="1" si="39"/>
        <v>0</v>
      </c>
      <c r="AM39" s="338">
        <f t="shared" ca="1" si="39"/>
        <v>0</v>
      </c>
      <c r="AN39" s="338">
        <f t="shared" ca="1" si="39"/>
        <v>0</v>
      </c>
      <c r="AO39" s="338">
        <f t="shared" ca="1" si="39"/>
        <v>0</v>
      </c>
      <c r="AP39" s="91"/>
      <c r="AQ39" s="91"/>
      <c r="AR39" s="91"/>
      <c r="AS39" s="91"/>
      <c r="AT39" s="91"/>
      <c r="AU39" s="91"/>
    </row>
    <row r="40" spans="1:47" ht="14.25" customHeight="1" outlineLevel="1" x14ac:dyDescent="0.2">
      <c r="A40" s="149"/>
      <c r="B40" s="149"/>
      <c r="C40" s="352">
        <v>3</v>
      </c>
      <c r="D40" s="672"/>
      <c r="E40" s="800"/>
      <c r="F40" s="800"/>
      <c r="G40" s="69" t="str">
        <f t="shared" si="29"/>
        <v/>
      </c>
      <c r="H40" s="69" t="str">
        <f t="shared" si="30"/>
        <v/>
      </c>
      <c r="I40" s="233"/>
      <c r="J40" s="69" t="str">
        <f t="shared" si="31"/>
        <v/>
      </c>
      <c r="K40" s="496"/>
      <c r="L40" s="496"/>
      <c r="M40" s="705"/>
      <c r="N40" s="705"/>
      <c r="O40" s="706"/>
      <c r="P40" s="719">
        <f t="shared" si="32"/>
        <v>0</v>
      </c>
      <c r="Q40" s="707"/>
      <c r="R40" s="355"/>
      <c r="S40" s="707"/>
      <c r="T40" s="708"/>
      <c r="V40" s="352">
        <f t="shared" ref="V40:V47" si="40">V39</f>
        <v>1</v>
      </c>
      <c r="W40" s="352">
        <f t="shared" si="33"/>
        <v>0</v>
      </c>
      <c r="X40" s="95" t="str">
        <f t="shared" si="34"/>
        <v>** NOT USED **</v>
      </c>
      <c r="Y40" s="106">
        <f t="shared" si="35"/>
        <v>0</v>
      </c>
      <c r="Z40" s="598">
        <f t="shared" si="36"/>
        <v>0</v>
      </c>
      <c r="AA40" s="598">
        <f ca="1">IF(T40&lt;&gt;"",MATCH(T40,OFFSET(References!$AB$23,0,Z40,PxTxCount),0),0)</f>
        <v>0</v>
      </c>
      <c r="AB40" s="598">
        <f t="shared" ca="1" si="37"/>
        <v>0</v>
      </c>
      <c r="AC40" s="346" t="e">
        <f ca="1">OFFSET(References!$AB$23,0,$Z$40,INDEX(PxTxValid,,$Z$40+1))</f>
        <v>#REF!</v>
      </c>
      <c r="AD40" s="338">
        <f t="shared" ca="1" si="38"/>
        <v>0</v>
      </c>
      <c r="AE40" s="338">
        <f t="shared" ca="1" si="38"/>
        <v>0</v>
      </c>
      <c r="AF40" s="338">
        <f t="shared" ca="1" si="38"/>
        <v>0</v>
      </c>
      <c r="AG40" s="338">
        <f t="shared" ca="1" si="38"/>
        <v>0</v>
      </c>
      <c r="AH40" s="338">
        <f t="shared" ca="1" si="38"/>
        <v>0</v>
      </c>
      <c r="AI40" s="338">
        <f t="shared" ca="1" si="38"/>
        <v>0</v>
      </c>
      <c r="AJ40" s="338">
        <f t="shared" ca="1" si="39"/>
        <v>0</v>
      </c>
      <c r="AK40" s="338">
        <f t="shared" ca="1" si="39"/>
        <v>0</v>
      </c>
      <c r="AL40" s="338">
        <f t="shared" ca="1" si="39"/>
        <v>0</v>
      </c>
      <c r="AM40" s="338">
        <f t="shared" ca="1" si="39"/>
        <v>0</v>
      </c>
      <c r="AN40" s="338">
        <f t="shared" ca="1" si="39"/>
        <v>0</v>
      </c>
      <c r="AO40" s="338">
        <f t="shared" ca="1" si="39"/>
        <v>0</v>
      </c>
      <c r="AP40" s="91"/>
      <c r="AQ40" s="91"/>
      <c r="AR40" s="91"/>
      <c r="AS40" s="91"/>
      <c r="AT40" s="91"/>
      <c r="AU40" s="91"/>
    </row>
    <row r="41" spans="1:47" ht="14.25" customHeight="1" outlineLevel="1" x14ac:dyDescent="0.2">
      <c r="A41" s="149"/>
      <c r="B41" s="149"/>
      <c r="C41" s="352">
        <v>4</v>
      </c>
      <c r="D41" s="672"/>
      <c r="E41" s="800"/>
      <c r="F41" s="800"/>
      <c r="G41" s="69" t="str">
        <f t="shared" si="29"/>
        <v/>
      </c>
      <c r="H41" s="69" t="str">
        <f t="shared" si="30"/>
        <v/>
      </c>
      <c r="I41" s="233"/>
      <c r="J41" s="69" t="str">
        <f t="shared" si="31"/>
        <v/>
      </c>
      <c r="K41" s="496"/>
      <c r="L41" s="496"/>
      <c r="M41" s="705"/>
      <c r="N41" s="705"/>
      <c r="O41" s="706"/>
      <c r="P41" s="719">
        <f t="shared" si="32"/>
        <v>0</v>
      </c>
      <c r="Q41" s="707"/>
      <c r="R41" s="355"/>
      <c r="S41" s="707"/>
      <c r="T41" s="708"/>
      <c r="V41" s="352">
        <f t="shared" si="40"/>
        <v>1</v>
      </c>
      <c r="W41" s="352">
        <f t="shared" si="33"/>
        <v>0</v>
      </c>
      <c r="X41" s="95" t="str">
        <f t="shared" si="34"/>
        <v>** NOT USED **</v>
      </c>
      <c r="Y41" s="106">
        <f t="shared" si="35"/>
        <v>0</v>
      </c>
      <c r="Z41" s="598">
        <f t="shared" si="36"/>
        <v>0</v>
      </c>
      <c r="AA41" s="598">
        <f ca="1">IF(T41&lt;&gt;"",MATCH(T41,OFFSET(References!$AB$23,0,Z41,PxTxCount),0),0)</f>
        <v>0</v>
      </c>
      <c r="AB41" s="598">
        <f t="shared" ca="1" si="37"/>
        <v>0</v>
      </c>
      <c r="AC41" s="346" t="e">
        <f ca="1">OFFSET(References!$AB$23,0,$Z$41,INDEX(PxTxValid,,$Z$41+1))</f>
        <v>#REF!</v>
      </c>
      <c r="AD41" s="338">
        <f t="shared" ca="1" si="38"/>
        <v>0</v>
      </c>
      <c r="AE41" s="338">
        <f t="shared" ca="1" si="38"/>
        <v>0</v>
      </c>
      <c r="AF41" s="338">
        <f t="shared" ca="1" si="38"/>
        <v>0</v>
      </c>
      <c r="AG41" s="338">
        <f t="shared" ca="1" si="38"/>
        <v>0</v>
      </c>
      <c r="AH41" s="338">
        <f t="shared" ca="1" si="38"/>
        <v>0</v>
      </c>
      <c r="AI41" s="338">
        <f t="shared" ca="1" si="38"/>
        <v>0</v>
      </c>
      <c r="AJ41" s="338">
        <f t="shared" ca="1" si="39"/>
        <v>0</v>
      </c>
      <c r="AK41" s="338">
        <f t="shared" ca="1" si="39"/>
        <v>0</v>
      </c>
      <c r="AL41" s="338">
        <f t="shared" ca="1" si="39"/>
        <v>0</v>
      </c>
      <c r="AM41" s="338">
        <f t="shared" ca="1" si="39"/>
        <v>0</v>
      </c>
      <c r="AN41" s="338">
        <f t="shared" ca="1" si="39"/>
        <v>0</v>
      </c>
      <c r="AO41" s="338">
        <f t="shared" ca="1" si="39"/>
        <v>0</v>
      </c>
      <c r="AP41" s="91"/>
      <c r="AQ41" s="91"/>
      <c r="AR41" s="91"/>
      <c r="AS41" s="91"/>
      <c r="AT41" s="91"/>
      <c r="AU41" s="91"/>
    </row>
    <row r="42" spans="1:47" ht="14.25" customHeight="1" outlineLevel="1" x14ac:dyDescent="0.2">
      <c r="A42" s="149"/>
      <c r="B42" s="149"/>
      <c r="C42" s="352">
        <v>5</v>
      </c>
      <c r="D42" s="672"/>
      <c r="E42" s="800"/>
      <c r="F42" s="800"/>
      <c r="G42" s="69" t="str">
        <f t="shared" si="29"/>
        <v/>
      </c>
      <c r="H42" s="69" t="str">
        <f t="shared" si="30"/>
        <v/>
      </c>
      <c r="I42" s="233"/>
      <c r="J42" s="69" t="str">
        <f t="shared" si="31"/>
        <v/>
      </c>
      <c r="K42" s="496"/>
      <c r="L42" s="496"/>
      <c r="M42" s="705"/>
      <c r="N42" s="705"/>
      <c r="O42" s="706"/>
      <c r="P42" s="719">
        <f t="shared" si="32"/>
        <v>0</v>
      </c>
      <c r="Q42" s="707"/>
      <c r="R42" s="355"/>
      <c r="S42" s="707"/>
      <c r="T42" s="708"/>
      <c r="V42" s="352">
        <f t="shared" si="40"/>
        <v>1</v>
      </c>
      <c r="W42" s="352">
        <f t="shared" si="33"/>
        <v>0</v>
      </c>
      <c r="X42" s="95" t="str">
        <f t="shared" si="34"/>
        <v>** NOT USED **</v>
      </c>
      <c r="Y42" s="106">
        <f t="shared" si="35"/>
        <v>0</v>
      </c>
      <c r="Z42" s="598">
        <f t="shared" si="36"/>
        <v>0</v>
      </c>
      <c r="AA42" s="598">
        <f ca="1">IF(T42&lt;&gt;"",MATCH(T42,OFFSET(References!$AB$23,0,Z42,PxTxCount),0),0)</f>
        <v>0</v>
      </c>
      <c r="AB42" s="598">
        <f t="shared" ca="1" si="37"/>
        <v>0</v>
      </c>
      <c r="AC42" s="346" t="e">
        <f ca="1">OFFSET(References!$AB$23,0,$Z$42,INDEX(PxTxValid,,$Z$42+1))</f>
        <v>#REF!</v>
      </c>
      <c r="AD42" s="338">
        <f t="shared" ca="1" si="38"/>
        <v>0</v>
      </c>
      <c r="AE42" s="338">
        <f t="shared" ca="1" si="38"/>
        <v>0</v>
      </c>
      <c r="AF42" s="338">
        <f t="shared" ca="1" si="38"/>
        <v>0</v>
      </c>
      <c r="AG42" s="338">
        <f t="shared" ca="1" si="38"/>
        <v>0</v>
      </c>
      <c r="AH42" s="338">
        <f t="shared" ca="1" si="38"/>
        <v>0</v>
      </c>
      <c r="AI42" s="338">
        <f t="shared" ca="1" si="38"/>
        <v>0</v>
      </c>
      <c r="AJ42" s="338">
        <f t="shared" ca="1" si="39"/>
        <v>0</v>
      </c>
      <c r="AK42" s="338">
        <f t="shared" ca="1" si="39"/>
        <v>0</v>
      </c>
      <c r="AL42" s="338">
        <f t="shared" ca="1" si="39"/>
        <v>0</v>
      </c>
      <c r="AM42" s="338">
        <f t="shared" ca="1" si="39"/>
        <v>0</v>
      </c>
      <c r="AN42" s="338">
        <f t="shared" ca="1" si="39"/>
        <v>0</v>
      </c>
      <c r="AO42" s="338">
        <f t="shared" ca="1" si="39"/>
        <v>0</v>
      </c>
      <c r="AP42" s="91"/>
      <c r="AQ42" s="91"/>
      <c r="AR42" s="91"/>
      <c r="AS42" s="91"/>
      <c r="AT42" s="91"/>
      <c r="AU42" s="91"/>
    </row>
    <row r="43" spans="1:47" ht="14.25" customHeight="1" outlineLevel="1" x14ac:dyDescent="0.2">
      <c r="A43" s="149"/>
      <c r="B43" s="149"/>
      <c r="C43" s="352">
        <v>6</v>
      </c>
      <c r="D43" s="672"/>
      <c r="E43" s="800"/>
      <c r="F43" s="800"/>
      <c r="G43" s="69" t="str">
        <f t="shared" si="29"/>
        <v/>
      </c>
      <c r="H43" s="69" t="str">
        <f t="shared" si="30"/>
        <v/>
      </c>
      <c r="I43" s="233"/>
      <c r="J43" s="69" t="str">
        <f t="shared" si="31"/>
        <v/>
      </c>
      <c r="K43" s="496"/>
      <c r="L43" s="496"/>
      <c r="M43" s="705"/>
      <c r="N43" s="705"/>
      <c r="O43" s="706"/>
      <c r="P43" s="719">
        <f t="shared" si="32"/>
        <v>0</v>
      </c>
      <c r="Q43" s="707"/>
      <c r="R43" s="355"/>
      <c r="S43" s="707"/>
      <c r="T43" s="708"/>
      <c r="V43" s="352">
        <f t="shared" si="40"/>
        <v>1</v>
      </c>
      <c r="W43" s="352">
        <f t="shared" si="33"/>
        <v>0</v>
      </c>
      <c r="X43" s="95" t="str">
        <f t="shared" si="34"/>
        <v>** NOT USED **</v>
      </c>
      <c r="Y43" s="106">
        <f t="shared" si="35"/>
        <v>0</v>
      </c>
      <c r="Z43" s="598">
        <f t="shared" si="36"/>
        <v>0</v>
      </c>
      <c r="AA43" s="598">
        <f ca="1">IF(T43&lt;&gt;"",MATCH(T43,OFFSET(References!$AB$23,0,Z43,PxTxCount),0),0)</f>
        <v>0</v>
      </c>
      <c r="AB43" s="598">
        <f t="shared" ca="1" si="37"/>
        <v>0</v>
      </c>
      <c r="AC43" s="346" t="e">
        <f ca="1">OFFSET(References!$AB$23,0,$Z$43,INDEX(PxTxValid,,$Z$43+1))</f>
        <v>#REF!</v>
      </c>
      <c r="AD43" s="338">
        <f t="shared" ca="1" si="38"/>
        <v>0</v>
      </c>
      <c r="AE43" s="338">
        <f t="shared" ca="1" si="38"/>
        <v>0</v>
      </c>
      <c r="AF43" s="338">
        <f t="shared" ca="1" si="38"/>
        <v>0</v>
      </c>
      <c r="AG43" s="338">
        <f t="shared" ca="1" si="38"/>
        <v>0</v>
      </c>
      <c r="AH43" s="338">
        <f t="shared" ca="1" si="38"/>
        <v>0</v>
      </c>
      <c r="AI43" s="338">
        <f t="shared" ca="1" si="38"/>
        <v>0</v>
      </c>
      <c r="AJ43" s="338">
        <f t="shared" ca="1" si="39"/>
        <v>0</v>
      </c>
      <c r="AK43" s="338">
        <f t="shared" ca="1" si="39"/>
        <v>0</v>
      </c>
      <c r="AL43" s="338">
        <f t="shared" ca="1" si="39"/>
        <v>0</v>
      </c>
      <c r="AM43" s="338">
        <f t="shared" ca="1" si="39"/>
        <v>0</v>
      </c>
      <c r="AN43" s="338">
        <f t="shared" ca="1" si="39"/>
        <v>0</v>
      </c>
      <c r="AO43" s="338">
        <f t="shared" ca="1" si="39"/>
        <v>0</v>
      </c>
      <c r="AP43" s="91"/>
      <c r="AQ43" s="91"/>
      <c r="AR43" s="91"/>
      <c r="AS43" s="91"/>
      <c r="AT43" s="91"/>
      <c r="AU43" s="91"/>
    </row>
    <row r="44" spans="1:47" ht="14.25" customHeight="1" outlineLevel="1" x14ac:dyDescent="0.2">
      <c r="A44" s="149"/>
      <c r="B44" s="149"/>
      <c r="C44" s="352">
        <v>7</v>
      </c>
      <c r="D44" s="672"/>
      <c r="E44" s="800"/>
      <c r="F44" s="800"/>
      <c r="G44" s="69" t="str">
        <f t="shared" si="29"/>
        <v/>
      </c>
      <c r="H44" s="69" t="str">
        <f t="shared" si="30"/>
        <v/>
      </c>
      <c r="I44" s="233"/>
      <c r="J44" s="69" t="str">
        <f t="shared" si="31"/>
        <v/>
      </c>
      <c r="K44" s="496"/>
      <c r="L44" s="496"/>
      <c r="M44" s="705"/>
      <c r="N44" s="705"/>
      <c r="O44" s="706"/>
      <c r="P44" s="719">
        <f t="shared" si="32"/>
        <v>0</v>
      </c>
      <c r="Q44" s="707"/>
      <c r="R44" s="355"/>
      <c r="S44" s="707"/>
      <c r="T44" s="708"/>
      <c r="V44" s="352">
        <f t="shared" si="40"/>
        <v>1</v>
      </c>
      <c r="W44" s="352">
        <f t="shared" si="33"/>
        <v>0</v>
      </c>
      <c r="X44" s="95" t="str">
        <f t="shared" si="34"/>
        <v>** NOT USED **</v>
      </c>
      <c r="Y44" s="106">
        <f t="shared" si="35"/>
        <v>0</v>
      </c>
      <c r="Z44" s="598">
        <f t="shared" si="36"/>
        <v>0</v>
      </c>
      <c r="AA44" s="598">
        <f ca="1">IF(T44&lt;&gt;"",MATCH(T44,OFFSET(References!$AB$23,0,Z44,PxTxCount),0),0)</f>
        <v>0</v>
      </c>
      <c r="AB44" s="598">
        <f t="shared" ca="1" si="37"/>
        <v>0</v>
      </c>
      <c r="AC44" s="346" t="e">
        <f ca="1">OFFSET(References!$AB$23,0,$Z$44,INDEX(PxTxValid,,$Z$44+1))</f>
        <v>#REF!</v>
      </c>
      <c r="AD44" s="338">
        <f t="shared" ca="1" si="38"/>
        <v>0</v>
      </c>
      <c r="AE44" s="338">
        <f t="shared" ca="1" si="38"/>
        <v>0</v>
      </c>
      <c r="AF44" s="338">
        <f t="shared" ca="1" si="38"/>
        <v>0</v>
      </c>
      <c r="AG44" s="338">
        <f t="shared" ca="1" si="38"/>
        <v>0</v>
      </c>
      <c r="AH44" s="338">
        <f t="shared" ca="1" si="38"/>
        <v>0</v>
      </c>
      <c r="AI44" s="338">
        <f t="shared" ca="1" si="38"/>
        <v>0</v>
      </c>
      <c r="AJ44" s="338">
        <f t="shared" ca="1" si="39"/>
        <v>0</v>
      </c>
      <c r="AK44" s="338">
        <f t="shared" ca="1" si="39"/>
        <v>0</v>
      </c>
      <c r="AL44" s="338">
        <f t="shared" ca="1" si="39"/>
        <v>0</v>
      </c>
      <c r="AM44" s="338">
        <f t="shared" ca="1" si="39"/>
        <v>0</v>
      </c>
      <c r="AN44" s="338">
        <f t="shared" ca="1" si="39"/>
        <v>0</v>
      </c>
      <c r="AO44" s="338">
        <f t="shared" ca="1" si="39"/>
        <v>0</v>
      </c>
      <c r="AP44" s="91"/>
      <c r="AQ44" s="91"/>
      <c r="AR44" s="91"/>
      <c r="AS44" s="91"/>
      <c r="AT44" s="91"/>
      <c r="AU44" s="91"/>
    </row>
    <row r="45" spans="1:47" ht="14.25" customHeight="1" outlineLevel="1" x14ac:dyDescent="0.2">
      <c r="A45" s="149"/>
      <c r="B45" s="149"/>
      <c r="C45" s="352">
        <v>8</v>
      </c>
      <c r="D45" s="672"/>
      <c r="E45" s="800"/>
      <c r="F45" s="800"/>
      <c r="G45" s="69" t="str">
        <f t="shared" si="29"/>
        <v/>
      </c>
      <c r="H45" s="69" t="str">
        <f t="shared" si="30"/>
        <v/>
      </c>
      <c r="I45" s="233"/>
      <c r="J45" s="69" t="str">
        <f t="shared" si="31"/>
        <v/>
      </c>
      <c r="K45" s="496"/>
      <c r="L45" s="496"/>
      <c r="M45" s="705"/>
      <c r="N45" s="705"/>
      <c r="O45" s="706"/>
      <c r="P45" s="719">
        <f t="shared" si="32"/>
        <v>0</v>
      </c>
      <c r="Q45" s="707"/>
      <c r="R45" s="355"/>
      <c r="S45" s="707"/>
      <c r="T45" s="708"/>
      <c r="V45" s="352">
        <f t="shared" si="40"/>
        <v>1</v>
      </c>
      <c r="W45" s="352">
        <f t="shared" si="33"/>
        <v>0</v>
      </c>
      <c r="X45" s="95" t="str">
        <f t="shared" si="34"/>
        <v>** NOT USED **</v>
      </c>
      <c r="Y45" s="106">
        <f t="shared" si="35"/>
        <v>0</v>
      </c>
      <c r="Z45" s="598">
        <f t="shared" si="36"/>
        <v>0</v>
      </c>
      <c r="AA45" s="598">
        <f ca="1">IF(T45&lt;&gt;"",MATCH(T45,OFFSET(References!$AB$23,0,Z45,PxTxCount),0),0)</f>
        <v>0</v>
      </c>
      <c r="AB45" s="598">
        <f t="shared" ca="1" si="37"/>
        <v>0</v>
      </c>
      <c r="AC45" s="346" t="e">
        <f ca="1">OFFSET(References!$AB$23,0,$Z$45,INDEX(PxTxValid,,$Z$45+1))</f>
        <v>#REF!</v>
      </c>
      <c r="AD45" s="338">
        <f t="shared" ca="1" si="38"/>
        <v>0</v>
      </c>
      <c r="AE45" s="338">
        <f t="shared" ca="1" si="38"/>
        <v>0</v>
      </c>
      <c r="AF45" s="338">
        <f t="shared" ca="1" si="38"/>
        <v>0</v>
      </c>
      <c r="AG45" s="338">
        <f t="shared" ca="1" si="38"/>
        <v>0</v>
      </c>
      <c r="AH45" s="338">
        <f t="shared" ca="1" si="38"/>
        <v>0</v>
      </c>
      <c r="AI45" s="338">
        <f t="shared" ca="1" si="38"/>
        <v>0</v>
      </c>
      <c r="AJ45" s="338">
        <f t="shared" ca="1" si="39"/>
        <v>0</v>
      </c>
      <c r="AK45" s="338">
        <f t="shared" ca="1" si="39"/>
        <v>0</v>
      </c>
      <c r="AL45" s="338">
        <f t="shared" ca="1" si="39"/>
        <v>0</v>
      </c>
      <c r="AM45" s="338">
        <f t="shared" ca="1" si="39"/>
        <v>0</v>
      </c>
      <c r="AN45" s="338">
        <f t="shared" ca="1" si="39"/>
        <v>0</v>
      </c>
      <c r="AO45" s="338">
        <f t="shared" ca="1" si="39"/>
        <v>0</v>
      </c>
      <c r="AP45" s="91"/>
      <c r="AQ45" s="91"/>
      <c r="AR45" s="91"/>
      <c r="AS45" s="91"/>
      <c r="AT45" s="91"/>
      <c r="AU45" s="91"/>
    </row>
    <row r="46" spans="1:47" ht="14.25" customHeight="1" outlineLevel="1" x14ac:dyDescent="0.2">
      <c r="A46" s="149"/>
      <c r="B46" s="149"/>
      <c r="C46" s="352">
        <v>9</v>
      </c>
      <c r="D46" s="672"/>
      <c r="E46" s="800"/>
      <c r="F46" s="800"/>
      <c r="G46" s="69" t="str">
        <f t="shared" si="29"/>
        <v/>
      </c>
      <c r="H46" s="69" t="str">
        <f t="shared" si="30"/>
        <v/>
      </c>
      <c r="I46" s="233"/>
      <c r="J46" s="69" t="str">
        <f t="shared" si="31"/>
        <v/>
      </c>
      <c r="K46" s="496"/>
      <c r="L46" s="496"/>
      <c r="M46" s="705"/>
      <c r="N46" s="705"/>
      <c r="O46" s="706"/>
      <c r="P46" s="719">
        <f t="shared" si="32"/>
        <v>0</v>
      </c>
      <c r="Q46" s="707"/>
      <c r="R46" s="355"/>
      <c r="S46" s="707"/>
      <c r="T46" s="708"/>
      <c r="V46" s="352">
        <f t="shared" si="40"/>
        <v>1</v>
      </c>
      <c r="W46" s="352">
        <f t="shared" si="33"/>
        <v>0</v>
      </c>
      <c r="X46" s="95" t="str">
        <f t="shared" si="34"/>
        <v>** NOT USED **</v>
      </c>
      <c r="Y46" s="106">
        <f t="shared" si="35"/>
        <v>0</v>
      </c>
      <c r="Z46" s="598">
        <f t="shared" si="36"/>
        <v>0</v>
      </c>
      <c r="AA46" s="598">
        <f ca="1">IF(T46&lt;&gt;"",MATCH(T46,OFFSET(References!$AB$23,0,Z46,PxTxCount),0),0)</f>
        <v>0</v>
      </c>
      <c r="AB46" s="598">
        <f t="shared" ca="1" si="37"/>
        <v>0</v>
      </c>
      <c r="AC46" s="346" t="e">
        <f ca="1">OFFSET(References!$AB$23,0,$Z$46,INDEX(PxTxValid,,$Z$46+1))</f>
        <v>#REF!</v>
      </c>
      <c r="AD46" s="338">
        <f t="shared" ca="1" si="38"/>
        <v>0</v>
      </c>
      <c r="AE46" s="338">
        <f t="shared" ca="1" si="38"/>
        <v>0</v>
      </c>
      <c r="AF46" s="338">
        <f t="shared" ca="1" si="38"/>
        <v>0</v>
      </c>
      <c r="AG46" s="338">
        <f t="shared" ca="1" si="38"/>
        <v>0</v>
      </c>
      <c r="AH46" s="338">
        <f t="shared" ca="1" si="38"/>
        <v>0</v>
      </c>
      <c r="AI46" s="338">
        <f t="shared" ca="1" si="38"/>
        <v>0</v>
      </c>
      <c r="AJ46" s="338">
        <f t="shared" ca="1" si="39"/>
        <v>0</v>
      </c>
      <c r="AK46" s="338">
        <f t="shared" ca="1" si="39"/>
        <v>0</v>
      </c>
      <c r="AL46" s="338">
        <f t="shared" ca="1" si="39"/>
        <v>0</v>
      </c>
      <c r="AM46" s="338">
        <f t="shared" ca="1" si="39"/>
        <v>0</v>
      </c>
      <c r="AN46" s="338">
        <f t="shared" ca="1" si="39"/>
        <v>0</v>
      </c>
      <c r="AO46" s="338">
        <f t="shared" ca="1" si="39"/>
        <v>0</v>
      </c>
      <c r="AP46" s="91"/>
      <c r="AQ46" s="91"/>
      <c r="AR46" s="91"/>
      <c r="AS46" s="91"/>
      <c r="AT46" s="91"/>
      <c r="AU46" s="91"/>
    </row>
    <row r="47" spans="1:47" ht="14.25" customHeight="1" outlineLevel="1" x14ac:dyDescent="0.2">
      <c r="A47" s="149"/>
      <c r="B47" s="149"/>
      <c r="C47" s="352">
        <v>10</v>
      </c>
      <c r="D47" s="672"/>
      <c r="E47" s="800"/>
      <c r="F47" s="800"/>
      <c r="G47" s="69" t="str">
        <f t="shared" si="29"/>
        <v/>
      </c>
      <c r="H47" s="69" t="str">
        <f t="shared" si="30"/>
        <v/>
      </c>
      <c r="I47" s="233"/>
      <c r="J47" s="69" t="str">
        <f t="shared" si="31"/>
        <v/>
      </c>
      <c r="K47" s="496"/>
      <c r="L47" s="496"/>
      <c r="M47" s="705"/>
      <c r="N47" s="705"/>
      <c r="O47" s="706"/>
      <c r="P47" s="719">
        <f t="shared" si="32"/>
        <v>0</v>
      </c>
      <c r="Q47" s="707"/>
      <c r="R47" s="355"/>
      <c r="S47" s="707"/>
      <c r="T47" s="708"/>
      <c r="V47" s="352">
        <f t="shared" si="40"/>
        <v>1</v>
      </c>
      <c r="W47" s="352">
        <f t="shared" si="33"/>
        <v>0</v>
      </c>
      <c r="X47" s="95" t="str">
        <f t="shared" si="34"/>
        <v>** NOT USED **</v>
      </c>
      <c r="Y47" s="106">
        <f t="shared" si="35"/>
        <v>0</v>
      </c>
      <c r="Z47" s="598">
        <f t="shared" si="36"/>
        <v>0</v>
      </c>
      <c r="AA47" s="598">
        <f ca="1">IF(T47&lt;&gt;"",MATCH(T47,OFFSET(References!$AB$23,0,Z47,PxTxCount),0),0)</f>
        <v>0</v>
      </c>
      <c r="AB47" s="598">
        <f t="shared" ca="1" si="37"/>
        <v>0</v>
      </c>
      <c r="AC47" s="346" t="e">
        <f ca="1">OFFSET(References!$AB$23,0,$Z$47,INDEX(PxTxValid,,$Z$47+1))</f>
        <v>#REF!</v>
      </c>
      <c r="AD47" s="338">
        <f t="shared" ca="1" si="38"/>
        <v>0</v>
      </c>
      <c r="AE47" s="338">
        <f t="shared" ca="1" si="38"/>
        <v>0</v>
      </c>
      <c r="AF47" s="338">
        <f t="shared" ca="1" si="38"/>
        <v>0</v>
      </c>
      <c r="AG47" s="338">
        <f t="shared" ca="1" si="38"/>
        <v>0</v>
      </c>
      <c r="AH47" s="338">
        <f t="shared" ca="1" si="38"/>
        <v>0</v>
      </c>
      <c r="AI47" s="338">
        <f t="shared" ca="1" si="38"/>
        <v>0</v>
      </c>
      <c r="AJ47" s="338">
        <f t="shared" ca="1" si="39"/>
        <v>0</v>
      </c>
      <c r="AK47" s="338">
        <f t="shared" ca="1" si="39"/>
        <v>0</v>
      </c>
      <c r="AL47" s="338">
        <f t="shared" ca="1" si="39"/>
        <v>0</v>
      </c>
      <c r="AM47" s="338">
        <f t="shared" ca="1" si="39"/>
        <v>0</v>
      </c>
      <c r="AN47" s="338">
        <f t="shared" ca="1" si="39"/>
        <v>0</v>
      </c>
      <c r="AO47" s="338">
        <f t="shared" ca="1" si="39"/>
        <v>0</v>
      </c>
      <c r="AP47" s="91"/>
      <c r="AQ47" s="91"/>
      <c r="AR47" s="91"/>
      <c r="AS47" s="91"/>
      <c r="AT47" s="91"/>
      <c r="AU47" s="91"/>
    </row>
    <row r="48" spans="1:47" outlineLevel="1" x14ac:dyDescent="0.2">
      <c r="A48" s="149"/>
      <c r="B48" s="149"/>
      <c r="C48" s="149"/>
      <c r="D48" s="688"/>
      <c r="E48" s="688"/>
      <c r="F48" s="688"/>
      <c r="G48" s="688"/>
      <c r="H48" s="688"/>
      <c r="I48" s="688"/>
      <c r="J48" s="688"/>
      <c r="K48" s="688"/>
      <c r="L48" s="688"/>
      <c r="M48" s="688"/>
      <c r="N48" s="688"/>
      <c r="O48" s="688"/>
      <c r="P48" s="688"/>
      <c r="Q48" s="149"/>
      <c r="R48" s="149"/>
      <c r="S48" s="149"/>
      <c r="T48" s="149"/>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row>
    <row r="49" spans="1:47" x14ac:dyDescent="0.2">
      <c r="A49" s="149"/>
      <c r="B49" s="149"/>
      <c r="C49" s="149"/>
      <c r="D49" s="688"/>
      <c r="E49" s="688"/>
      <c r="F49" s="688"/>
      <c r="G49" s="688"/>
      <c r="H49" s="688"/>
      <c r="I49" s="688"/>
      <c r="J49" s="688"/>
      <c r="K49" s="688"/>
      <c r="L49" s="688"/>
      <c r="M49" s="688"/>
      <c r="N49" s="688"/>
      <c r="O49" s="688"/>
      <c r="P49" s="688"/>
      <c r="Q49" s="688"/>
      <c r="R49" s="688"/>
      <c r="S49" s="688"/>
      <c r="T49" s="688"/>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row>
    <row r="50" spans="1:47" ht="15.75" x14ac:dyDescent="0.2">
      <c r="A50" s="152"/>
      <c r="B50" s="152"/>
      <c r="C50" s="152"/>
      <c r="D50" s="110" t="s">
        <v>953</v>
      </c>
      <c r="E50" s="689"/>
      <c r="F50" s="154"/>
      <c r="G50" s="154"/>
      <c r="H50" s="154"/>
      <c r="I50" s="154"/>
      <c r="J50" s="154"/>
      <c r="K50" s="154"/>
      <c r="L50" s="154"/>
      <c r="M50" s="154"/>
      <c r="N50" s="154"/>
      <c r="O50" s="154"/>
      <c r="P50" s="154"/>
      <c r="Q50" s="154"/>
      <c r="R50" s="154"/>
      <c r="S50" s="154"/>
      <c r="T50" s="154"/>
      <c r="V50" s="91"/>
      <c r="W50" s="685"/>
      <c r="X50" s="685"/>
      <c r="Y50" s="685"/>
      <c r="Z50" s="685"/>
      <c r="AA50" s="685"/>
      <c r="AB50" s="685"/>
      <c r="AC50" s="685"/>
      <c r="AD50" s="685"/>
      <c r="AE50" s="685"/>
      <c r="AF50" s="685"/>
      <c r="AG50" s="685"/>
      <c r="AH50" s="685"/>
      <c r="AI50" s="685"/>
      <c r="AJ50" s="685"/>
      <c r="AK50" s="685"/>
      <c r="AL50" s="685"/>
      <c r="AM50" s="685"/>
      <c r="AN50" s="685"/>
      <c r="AO50" s="685"/>
      <c r="AP50" s="685"/>
      <c r="AQ50" s="685"/>
      <c r="AR50" s="685"/>
      <c r="AS50" s="685"/>
      <c r="AT50" s="685"/>
      <c r="AU50" s="685"/>
    </row>
    <row r="51" spans="1:47" outlineLevel="2" x14ac:dyDescent="0.2">
      <c r="A51" s="149"/>
      <c r="B51" s="149"/>
      <c r="C51" s="149"/>
      <c r="D51" s="149"/>
      <c r="E51" s="149"/>
      <c r="F51" s="149"/>
      <c r="G51" s="149"/>
      <c r="H51" s="149"/>
      <c r="I51" s="149"/>
      <c r="J51" s="149"/>
      <c r="K51" s="149"/>
      <c r="L51" s="149"/>
      <c r="M51" s="149"/>
      <c r="N51" s="149"/>
      <c r="O51" s="149"/>
      <c r="P51" s="149"/>
      <c r="Q51" s="149"/>
      <c r="R51" s="149"/>
      <c r="S51" s="149"/>
      <c r="T51" s="149"/>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row>
    <row r="52" spans="1:47" ht="25.5" outlineLevel="2" x14ac:dyDescent="0.2">
      <c r="A52" s="149"/>
      <c r="B52" s="149"/>
      <c r="C52" s="149"/>
      <c r="D52" s="854" t="s">
        <v>346</v>
      </c>
      <c r="E52" s="854"/>
      <c r="F52" s="854"/>
      <c r="G52" s="854" t="s">
        <v>926</v>
      </c>
      <c r="H52" s="855"/>
      <c r="I52" s="855"/>
      <c r="J52" s="90" t="s">
        <v>349</v>
      </c>
      <c r="K52" s="149"/>
      <c r="L52" s="149"/>
      <c r="M52" s="149"/>
      <c r="N52" s="149"/>
      <c r="O52" s="149"/>
      <c r="P52" s="149"/>
      <c r="Q52" s="149"/>
      <c r="R52" s="149"/>
      <c r="S52" s="149"/>
      <c r="T52" s="149"/>
      <c r="V52" s="335" t="s">
        <v>281</v>
      </c>
      <c r="W52" s="335" t="s">
        <v>886</v>
      </c>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row>
    <row r="53" spans="1:47" outlineLevel="2" x14ac:dyDescent="0.2">
      <c r="A53" s="149"/>
      <c r="B53" s="149"/>
      <c r="C53" s="352">
        <v>1</v>
      </c>
      <c r="D53" s="853" t="str">
        <f t="shared" ref="D53:D62" si="41">INDEX(MBSNamesNew,C53)</f>
        <v>** NOT USED **</v>
      </c>
      <c r="E53" s="853"/>
      <c r="F53" s="853"/>
      <c r="G53" s="856"/>
      <c r="H53" s="857"/>
      <c r="I53" s="857"/>
      <c r="J53" s="92" t="str">
        <f t="shared" ref="J53:J62" si="42">IF(W38=2,IF(AND(D53&lt;&gt;MsgNotUsed,G53=""),"All scripts","Specific medicine"),IF(W38=1,"All patients",""))</f>
        <v/>
      </c>
      <c r="K53" s="149"/>
      <c r="L53" s="149"/>
      <c r="M53" s="149"/>
      <c r="N53" s="149"/>
      <c r="O53" s="149"/>
      <c r="P53" s="149"/>
      <c r="Q53" s="149"/>
      <c r="R53" s="149"/>
      <c r="S53" s="149"/>
      <c r="T53" s="149"/>
      <c r="V53" s="83">
        <f t="shared" ref="V53:V62" si="43">IF(OR(D53=MsgNotUsed,W38=1),0,1)</f>
        <v>0</v>
      </c>
      <c r="W53" s="83" t="str">
        <f t="shared" ref="W53:W62" si="44">IF(G53&lt;&gt;"",MATCH(G53,NamesNewTx,0),IF(J53="All scripts",21,""))</f>
        <v/>
      </c>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row>
    <row r="54" spans="1:47" outlineLevel="2" x14ac:dyDescent="0.2">
      <c r="A54" s="149"/>
      <c r="B54" s="149"/>
      <c r="C54" s="352">
        <v>2</v>
      </c>
      <c r="D54" s="853" t="str">
        <f t="shared" si="41"/>
        <v>** NOT USED **</v>
      </c>
      <c r="E54" s="853"/>
      <c r="F54" s="853"/>
      <c r="G54" s="856"/>
      <c r="H54" s="857"/>
      <c r="I54" s="857"/>
      <c r="J54" s="92" t="str">
        <f t="shared" si="42"/>
        <v/>
      </c>
      <c r="K54" s="149"/>
      <c r="L54" s="149"/>
      <c r="M54" s="149"/>
      <c r="N54" s="149"/>
      <c r="O54" s="149"/>
      <c r="P54" s="149"/>
      <c r="Q54" s="149"/>
      <c r="R54" s="149"/>
      <c r="S54" s="149"/>
      <c r="T54" s="149"/>
      <c r="V54" s="83">
        <f t="shared" si="43"/>
        <v>0</v>
      </c>
      <c r="W54" s="83" t="str">
        <f t="shared" si="44"/>
        <v/>
      </c>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row>
    <row r="55" spans="1:47" outlineLevel="2" x14ac:dyDescent="0.2">
      <c r="A55" s="149"/>
      <c r="B55" s="149"/>
      <c r="C55" s="352">
        <v>3</v>
      </c>
      <c r="D55" s="853" t="str">
        <f t="shared" si="41"/>
        <v>** NOT USED **</v>
      </c>
      <c r="E55" s="853"/>
      <c r="F55" s="853"/>
      <c r="G55" s="856"/>
      <c r="H55" s="857"/>
      <c r="I55" s="857"/>
      <c r="J55" s="92" t="str">
        <f t="shared" si="42"/>
        <v/>
      </c>
      <c r="K55" s="149"/>
      <c r="L55" s="149"/>
      <c r="M55" s="149"/>
      <c r="N55" s="149"/>
      <c r="O55" s="149"/>
      <c r="P55" s="149"/>
      <c r="Q55" s="149"/>
      <c r="R55" s="149"/>
      <c r="S55" s="149"/>
      <c r="T55" s="149"/>
      <c r="V55" s="83">
        <f t="shared" si="43"/>
        <v>0</v>
      </c>
      <c r="W55" s="83" t="str">
        <f t="shared" si="44"/>
        <v/>
      </c>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row>
    <row r="56" spans="1:47" outlineLevel="2" x14ac:dyDescent="0.2">
      <c r="A56" s="149"/>
      <c r="B56" s="149"/>
      <c r="C56" s="352">
        <v>4</v>
      </c>
      <c r="D56" s="853" t="str">
        <f t="shared" si="41"/>
        <v>** NOT USED **</v>
      </c>
      <c r="E56" s="853"/>
      <c r="F56" s="853"/>
      <c r="G56" s="856"/>
      <c r="H56" s="857"/>
      <c r="I56" s="857"/>
      <c r="J56" s="92" t="str">
        <f t="shared" si="42"/>
        <v/>
      </c>
      <c r="K56" s="149"/>
      <c r="L56" s="149"/>
      <c r="M56" s="149"/>
      <c r="N56" s="149"/>
      <c r="O56" s="149"/>
      <c r="P56" s="149"/>
      <c r="Q56" s="149"/>
      <c r="R56" s="149"/>
      <c r="S56" s="149"/>
      <c r="T56" s="149"/>
      <c r="V56" s="83">
        <f t="shared" si="43"/>
        <v>0</v>
      </c>
      <c r="W56" s="83" t="str">
        <f t="shared" si="44"/>
        <v/>
      </c>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row>
    <row r="57" spans="1:47" outlineLevel="2" x14ac:dyDescent="0.2">
      <c r="A57" s="149"/>
      <c r="B57" s="149"/>
      <c r="C57" s="352">
        <v>5</v>
      </c>
      <c r="D57" s="853" t="str">
        <f t="shared" si="41"/>
        <v>** NOT USED **</v>
      </c>
      <c r="E57" s="853"/>
      <c r="F57" s="853"/>
      <c r="G57" s="856"/>
      <c r="H57" s="857"/>
      <c r="I57" s="857"/>
      <c r="J57" s="92" t="str">
        <f t="shared" si="42"/>
        <v/>
      </c>
      <c r="K57" s="149"/>
      <c r="L57" s="149"/>
      <c r="M57" s="149"/>
      <c r="N57" s="149"/>
      <c r="O57" s="149"/>
      <c r="P57" s="149"/>
      <c r="Q57" s="149"/>
      <c r="R57" s="149"/>
      <c r="S57" s="149"/>
      <c r="T57" s="149"/>
      <c r="V57" s="83">
        <f t="shared" si="43"/>
        <v>0</v>
      </c>
      <c r="W57" s="83" t="str">
        <f t="shared" si="44"/>
        <v/>
      </c>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row>
    <row r="58" spans="1:47" outlineLevel="2" x14ac:dyDescent="0.2">
      <c r="A58" s="149"/>
      <c r="B58" s="149"/>
      <c r="C58" s="352">
        <v>6</v>
      </c>
      <c r="D58" s="853" t="str">
        <f t="shared" si="41"/>
        <v>** NOT USED **</v>
      </c>
      <c r="E58" s="853"/>
      <c r="F58" s="853"/>
      <c r="G58" s="856"/>
      <c r="H58" s="857"/>
      <c r="I58" s="857"/>
      <c r="J58" s="92" t="str">
        <f t="shared" si="42"/>
        <v/>
      </c>
      <c r="K58" s="149"/>
      <c r="L58" s="149"/>
      <c r="M58" s="149"/>
      <c r="N58" s="149"/>
      <c r="O58" s="149"/>
      <c r="P58" s="149"/>
      <c r="Q58" s="149"/>
      <c r="R58" s="149"/>
      <c r="S58" s="149"/>
      <c r="T58" s="149"/>
      <c r="V58" s="83">
        <f t="shared" si="43"/>
        <v>0</v>
      </c>
      <c r="W58" s="83" t="str">
        <f t="shared" si="44"/>
        <v/>
      </c>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row>
    <row r="59" spans="1:47" outlineLevel="2" x14ac:dyDescent="0.2">
      <c r="A59" s="149"/>
      <c r="B59" s="149"/>
      <c r="C59" s="352">
        <v>7</v>
      </c>
      <c r="D59" s="853" t="str">
        <f t="shared" si="41"/>
        <v>** NOT USED **</v>
      </c>
      <c r="E59" s="853"/>
      <c r="F59" s="853"/>
      <c r="G59" s="856"/>
      <c r="H59" s="857"/>
      <c r="I59" s="857"/>
      <c r="J59" s="92" t="str">
        <f t="shared" si="42"/>
        <v/>
      </c>
      <c r="K59" s="149"/>
      <c r="L59" s="149"/>
      <c r="M59" s="149"/>
      <c r="N59" s="149"/>
      <c r="O59" s="149"/>
      <c r="P59" s="149"/>
      <c r="Q59" s="149"/>
      <c r="R59" s="149"/>
      <c r="S59" s="149"/>
      <c r="T59" s="149"/>
      <c r="V59" s="83">
        <f t="shared" si="43"/>
        <v>0</v>
      </c>
      <c r="W59" s="83" t="str">
        <f t="shared" si="44"/>
        <v/>
      </c>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row>
    <row r="60" spans="1:47" outlineLevel="2" x14ac:dyDescent="0.2">
      <c r="A60" s="149"/>
      <c r="B60" s="149"/>
      <c r="C60" s="352">
        <v>8</v>
      </c>
      <c r="D60" s="853" t="str">
        <f t="shared" si="41"/>
        <v>** NOT USED **</v>
      </c>
      <c r="E60" s="853"/>
      <c r="F60" s="853"/>
      <c r="G60" s="856"/>
      <c r="H60" s="857"/>
      <c r="I60" s="857"/>
      <c r="J60" s="92" t="str">
        <f t="shared" si="42"/>
        <v/>
      </c>
      <c r="K60" s="149"/>
      <c r="L60" s="149"/>
      <c r="M60" s="149"/>
      <c r="N60" s="149"/>
      <c r="O60" s="149"/>
      <c r="P60" s="149"/>
      <c r="Q60" s="149"/>
      <c r="R60" s="149"/>
      <c r="S60" s="149"/>
      <c r="T60" s="149"/>
      <c r="V60" s="83">
        <f t="shared" si="43"/>
        <v>0</v>
      </c>
      <c r="W60" s="83" t="str">
        <f t="shared" si="44"/>
        <v/>
      </c>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row>
    <row r="61" spans="1:47" outlineLevel="2" x14ac:dyDescent="0.2">
      <c r="A61" s="149"/>
      <c r="B61" s="149"/>
      <c r="C61" s="352">
        <v>9</v>
      </c>
      <c r="D61" s="853" t="str">
        <f t="shared" si="41"/>
        <v>** NOT USED **</v>
      </c>
      <c r="E61" s="853"/>
      <c r="F61" s="853"/>
      <c r="G61" s="856"/>
      <c r="H61" s="857"/>
      <c r="I61" s="857"/>
      <c r="J61" s="92" t="str">
        <f t="shared" si="42"/>
        <v/>
      </c>
      <c r="K61" s="149"/>
      <c r="L61" s="149"/>
      <c r="M61" s="149"/>
      <c r="N61" s="149"/>
      <c r="O61" s="149"/>
      <c r="P61" s="149"/>
      <c r="Q61" s="149"/>
      <c r="R61" s="149"/>
      <c r="S61" s="149"/>
      <c r="T61" s="149"/>
      <c r="V61" s="83">
        <f t="shared" si="43"/>
        <v>0</v>
      </c>
      <c r="W61" s="83" t="str">
        <f t="shared" si="44"/>
        <v/>
      </c>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row>
    <row r="62" spans="1:47" outlineLevel="2" x14ac:dyDescent="0.2">
      <c r="A62" s="149"/>
      <c r="B62" s="149"/>
      <c r="C62" s="352">
        <v>10</v>
      </c>
      <c r="D62" s="853" t="str">
        <f t="shared" si="41"/>
        <v>** NOT USED **</v>
      </c>
      <c r="E62" s="853"/>
      <c r="F62" s="853"/>
      <c r="G62" s="856"/>
      <c r="H62" s="857"/>
      <c r="I62" s="857"/>
      <c r="J62" s="92" t="str">
        <f t="shared" si="42"/>
        <v/>
      </c>
      <c r="K62" s="149"/>
      <c r="L62" s="149"/>
      <c r="M62" s="149"/>
      <c r="N62" s="149"/>
      <c r="O62" s="149"/>
      <c r="P62" s="149"/>
      <c r="Q62" s="149"/>
      <c r="R62" s="149"/>
      <c r="S62" s="149"/>
      <c r="T62" s="149"/>
      <c r="V62" s="83">
        <f t="shared" si="43"/>
        <v>0</v>
      </c>
      <c r="W62" s="83" t="str">
        <f t="shared" si="44"/>
        <v/>
      </c>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row>
    <row r="63" spans="1:47" outlineLevel="2" x14ac:dyDescent="0.2">
      <c r="A63" s="149"/>
      <c r="B63" s="149"/>
      <c r="C63" s="149"/>
      <c r="D63" s="164"/>
      <c r="E63" s="690"/>
      <c r="F63" s="149"/>
      <c r="G63" s="149"/>
      <c r="H63" s="149"/>
      <c r="I63" s="149"/>
      <c r="J63" s="149"/>
      <c r="K63" s="149"/>
      <c r="L63" s="149"/>
      <c r="M63" s="149"/>
      <c r="N63" s="149"/>
      <c r="O63" s="149"/>
      <c r="P63" s="149"/>
      <c r="Q63" s="149"/>
      <c r="R63" s="149"/>
      <c r="S63" s="149"/>
      <c r="T63" s="149"/>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row>
    <row r="64" spans="1:47" outlineLevel="2" x14ac:dyDescent="0.2">
      <c r="A64" s="586"/>
      <c r="B64" s="586"/>
      <c r="C64" s="586"/>
      <c r="D64" s="586" t="s">
        <v>341</v>
      </c>
      <c r="E64" s="586"/>
      <c r="F64" s="586"/>
      <c r="G64" s="586"/>
      <c r="H64" s="586"/>
      <c r="I64" s="586"/>
      <c r="J64" s="586"/>
      <c r="K64" s="586"/>
      <c r="L64" s="586"/>
      <c r="M64" s="586"/>
      <c r="N64" s="586"/>
      <c r="O64" s="586"/>
      <c r="P64" s="586"/>
      <c r="Q64" s="586"/>
      <c r="R64" s="586"/>
      <c r="S64" s="586"/>
      <c r="T64" s="586"/>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row>
    <row r="65" spans="1:47" outlineLevel="1" x14ac:dyDescent="0.2">
      <c r="A65" s="586"/>
      <c r="B65" s="586"/>
      <c r="C65" s="586"/>
      <c r="D65" s="586"/>
      <c r="E65" s="586"/>
      <c r="F65" s="586"/>
      <c r="G65" s="586"/>
      <c r="H65" s="586"/>
      <c r="I65" s="586"/>
      <c r="J65" s="586"/>
      <c r="K65" s="586"/>
      <c r="L65" s="586"/>
      <c r="M65" s="586"/>
      <c r="N65" s="586"/>
      <c r="O65" s="586"/>
      <c r="P65" s="586"/>
      <c r="Q65" s="586"/>
      <c r="R65" s="586"/>
      <c r="S65" s="586"/>
      <c r="T65" s="586"/>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row>
    <row r="66" spans="1:47" ht="15.75" outlineLevel="1" x14ac:dyDescent="0.2">
      <c r="A66" s="586"/>
      <c r="B66" s="586"/>
      <c r="C66" s="352">
        <v>1</v>
      </c>
      <c r="D66" s="110" t="str">
        <f>INDEX(MBSNamesNew,C66)</f>
        <v>** NOT USED **</v>
      </c>
      <c r="E66" s="110"/>
      <c r="F66" s="154"/>
      <c r="G66" s="154"/>
      <c r="H66" s="154"/>
      <c r="I66" s="154"/>
      <c r="J66" s="782" t="str">
        <f>IF(D66&lt;&gt;MsgNotUsed,"Co-payment group " &amp; K38,"")</f>
        <v/>
      </c>
      <c r="K66" s="782"/>
      <c r="L66" s="154"/>
      <c r="M66" s="154"/>
      <c r="N66" s="154"/>
      <c r="O66" s="154"/>
      <c r="P66" s="154"/>
      <c r="Q66" s="154"/>
      <c r="R66" s="154"/>
      <c r="S66" s="154"/>
      <c r="T66" s="154"/>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row>
    <row r="67" spans="1:47" s="688" customFormat="1" outlineLevel="2" x14ac:dyDescent="0.2">
      <c r="A67" s="668"/>
      <c r="B67" s="668"/>
      <c r="C67" s="668"/>
      <c r="D67" s="668"/>
      <c r="E67" s="668"/>
      <c r="F67" s="691">
        <v>2</v>
      </c>
      <c r="G67" s="691">
        <v>3</v>
      </c>
      <c r="H67" s="691">
        <v>4</v>
      </c>
      <c r="I67" s="691">
        <v>5</v>
      </c>
      <c r="J67" s="691">
        <v>6</v>
      </c>
      <c r="K67" s="691">
        <v>7</v>
      </c>
      <c r="L67" s="691"/>
      <c r="M67" s="668"/>
      <c r="N67" s="668"/>
      <c r="O67" s="668"/>
      <c r="P67" s="668"/>
      <c r="Q67" s="668"/>
      <c r="R67" s="668"/>
      <c r="S67" s="668"/>
      <c r="T67" s="668"/>
    </row>
    <row r="68" spans="1:47" ht="15" outlineLevel="2" x14ac:dyDescent="0.2">
      <c r="A68" s="586"/>
      <c r="B68" s="586"/>
      <c r="C68" s="586"/>
      <c r="D68" s="681" t="s">
        <v>0</v>
      </c>
      <c r="E68" s="681"/>
      <c r="F68" s="671">
        <f>FirstYear</f>
        <v>0</v>
      </c>
      <c r="G68" s="671">
        <f>F68+1</f>
        <v>1</v>
      </c>
      <c r="H68" s="671">
        <f>G68+1</f>
        <v>2</v>
      </c>
      <c r="I68" s="671">
        <f>H68+1</f>
        <v>3</v>
      </c>
      <c r="J68" s="671">
        <f>I68+1</f>
        <v>4</v>
      </c>
      <c r="K68" s="671">
        <f>J68+1</f>
        <v>5</v>
      </c>
      <c r="M68" s="149"/>
      <c r="N68" s="692"/>
      <c r="O68" s="692"/>
      <c r="P68" s="692"/>
      <c r="Q68" s="99"/>
      <c r="R68" s="99"/>
      <c r="S68" s="99"/>
      <c r="T68" s="99"/>
      <c r="V68" s="99"/>
      <c r="W68" s="99"/>
      <c r="X68" s="9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row>
    <row r="69" spans="1:47" s="688" customFormat="1" outlineLevel="2" x14ac:dyDescent="0.2">
      <c r="A69" s="586"/>
      <c r="B69" s="586"/>
      <c r="C69" s="586"/>
      <c r="D69" s="586"/>
      <c r="E69" s="590" t="s">
        <v>269</v>
      </c>
      <c r="F69" s="397">
        <f t="shared" ref="F69:K69" si="45">F70*$P38</f>
        <v>0</v>
      </c>
      <c r="G69" s="397">
        <f t="shared" si="45"/>
        <v>0</v>
      </c>
      <c r="H69" s="397">
        <f t="shared" si="45"/>
        <v>0</v>
      </c>
      <c r="I69" s="397">
        <f t="shared" si="45"/>
        <v>0</v>
      </c>
      <c r="J69" s="397">
        <f t="shared" si="45"/>
        <v>0</v>
      </c>
      <c r="K69" s="397">
        <f t="shared" si="45"/>
        <v>0</v>
      </c>
      <c r="M69" s="693"/>
      <c r="N69" s="684"/>
      <c r="O69" s="684"/>
      <c r="P69" s="684"/>
      <c r="Q69" s="694"/>
      <c r="R69" s="694"/>
      <c r="S69" s="694"/>
      <c r="T69" s="694"/>
      <c r="V69" s="97">
        <f>FirstYear</f>
        <v>0</v>
      </c>
      <c r="W69" s="96">
        <f>IF(F70&lt;&gt;0,F70-F73,0)</f>
        <v>0</v>
      </c>
      <c r="X69" s="695"/>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row>
    <row r="70" spans="1:47" s="688" customFormat="1" outlineLevel="2" x14ac:dyDescent="0.2">
      <c r="A70" s="586"/>
      <c r="B70" s="586"/>
      <c r="C70" s="83" t="str">
        <f>W53</f>
        <v/>
      </c>
      <c r="D70" s="586"/>
      <c r="E70" s="85" t="s">
        <v>80</v>
      </c>
      <c r="F70" s="86">
        <f t="shared" ref="F70:K70" si="46">IF($W$38=2,$N$38*IF($C70&lt;&gt;"",INDEX(PBSScriptsNew,$C70,F67),0),IF($Y38&lt;&gt;0,$M$38*INDEX(MBSPBSInc,$C66,($Y38-1)*7+F67),0))*$V$38</f>
        <v>0</v>
      </c>
      <c r="G70" s="86">
        <f t="shared" si="46"/>
        <v>0</v>
      </c>
      <c r="H70" s="86">
        <f t="shared" si="46"/>
        <v>0</v>
      </c>
      <c r="I70" s="86">
        <f t="shared" si="46"/>
        <v>0</v>
      </c>
      <c r="J70" s="86">
        <f t="shared" si="46"/>
        <v>0</v>
      </c>
      <c r="K70" s="86">
        <f t="shared" si="46"/>
        <v>0</v>
      </c>
      <c r="M70" s="693"/>
      <c r="N70" s="684"/>
      <c r="O70" s="684"/>
      <c r="P70" s="684"/>
      <c r="Q70" s="694"/>
      <c r="R70" s="694"/>
      <c r="S70" s="694"/>
      <c r="T70" s="694"/>
      <c r="V70" s="97">
        <f>V69+1</f>
        <v>1</v>
      </c>
      <c r="W70" s="96">
        <f>IF(G70&lt;&gt;0,G70-G73,0)</f>
        <v>0</v>
      </c>
      <c r="X70" s="695"/>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row>
    <row r="71" spans="1:47" s="688" customFormat="1" outlineLevel="2" x14ac:dyDescent="0.2">
      <c r="A71" s="586"/>
      <c r="B71" s="83">
        <v>5</v>
      </c>
      <c r="C71" s="83">
        <v>6</v>
      </c>
      <c r="D71" s="586"/>
      <c r="E71" s="696" t="s">
        <v>146</v>
      </c>
      <c r="F71" s="86" t="str">
        <f t="shared" ref="F71:K74" si="47">IF(INDEX(MBSItemsInc,$C$66,1)&lt;&gt;"",F$70*INDEX(MBSItemsInc,$C$66,$B71)*INDEX(MBSItemsInc,$C$66,$C71),"")</f>
        <v/>
      </c>
      <c r="G71" s="86" t="str">
        <f t="shared" si="47"/>
        <v/>
      </c>
      <c r="H71" s="86" t="str">
        <f t="shared" si="47"/>
        <v/>
      </c>
      <c r="I71" s="86" t="str">
        <f t="shared" si="47"/>
        <v/>
      </c>
      <c r="J71" s="86" t="str">
        <f t="shared" si="47"/>
        <v/>
      </c>
      <c r="K71" s="86" t="str">
        <f t="shared" si="47"/>
        <v/>
      </c>
      <c r="M71" s="586"/>
      <c r="N71" s="697"/>
      <c r="O71" s="697"/>
      <c r="P71" s="697"/>
      <c r="Q71" s="694"/>
      <c r="R71" s="694"/>
      <c r="S71" s="694"/>
      <c r="T71" s="694"/>
      <c r="V71" s="97">
        <f>V70+1</f>
        <v>2</v>
      </c>
      <c r="W71" s="96">
        <f>IF(H70&lt;&gt;0,H70-H73,0)</f>
        <v>0</v>
      </c>
      <c r="X71" s="695"/>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row>
    <row r="72" spans="1:47" s="688" customFormat="1" outlineLevel="2" x14ac:dyDescent="0.2">
      <c r="A72" s="586"/>
      <c r="B72" s="83">
        <v>5</v>
      </c>
      <c r="C72" s="83">
        <v>7</v>
      </c>
      <c r="D72" s="586"/>
      <c r="E72" s="696" t="s">
        <v>147</v>
      </c>
      <c r="F72" s="86" t="str">
        <f t="shared" si="47"/>
        <v/>
      </c>
      <c r="G72" s="86" t="str">
        <f t="shared" si="47"/>
        <v/>
      </c>
      <c r="H72" s="86" t="str">
        <f t="shared" si="47"/>
        <v/>
      </c>
      <c r="I72" s="86" t="str">
        <f t="shared" si="47"/>
        <v/>
      </c>
      <c r="J72" s="86" t="str">
        <f t="shared" si="47"/>
        <v/>
      </c>
      <c r="K72" s="86" t="str">
        <f t="shared" si="47"/>
        <v/>
      </c>
      <c r="M72" s="586"/>
      <c r="N72" s="697"/>
      <c r="O72" s="697"/>
      <c r="P72" s="697"/>
      <c r="Q72" s="694"/>
      <c r="R72" s="694"/>
      <c r="S72" s="694"/>
      <c r="T72" s="694"/>
      <c r="V72" s="97">
        <f>V71+1</f>
        <v>3</v>
      </c>
      <c r="W72" s="96">
        <f>IF(I70&lt;&gt;0,I70-I73,0)</f>
        <v>0</v>
      </c>
      <c r="X72" s="695"/>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row>
    <row r="73" spans="1:47" s="688" customFormat="1" outlineLevel="2" x14ac:dyDescent="0.2">
      <c r="A73" s="586"/>
      <c r="B73" s="83">
        <v>4</v>
      </c>
      <c r="C73" s="83">
        <v>6</v>
      </c>
      <c r="D73" s="586"/>
      <c r="E73" s="696" t="s">
        <v>148</v>
      </c>
      <c r="F73" s="86" t="str">
        <f t="shared" si="47"/>
        <v/>
      </c>
      <c r="G73" s="86" t="str">
        <f t="shared" si="47"/>
        <v/>
      </c>
      <c r="H73" s="86" t="str">
        <f t="shared" si="47"/>
        <v/>
      </c>
      <c r="I73" s="86" t="str">
        <f t="shared" si="47"/>
        <v/>
      </c>
      <c r="J73" s="86" t="str">
        <f t="shared" si="47"/>
        <v/>
      </c>
      <c r="K73" s="86" t="str">
        <f t="shared" si="47"/>
        <v/>
      </c>
      <c r="M73" s="586"/>
      <c r="N73" s="697"/>
      <c r="O73" s="697"/>
      <c r="P73" s="697"/>
      <c r="Q73" s="694"/>
      <c r="R73" s="694"/>
      <c r="S73" s="694"/>
      <c r="T73" s="694"/>
      <c r="V73" s="97">
        <f>V72+1</f>
        <v>4</v>
      </c>
      <c r="W73" s="96">
        <f>IF(J70&lt;&gt;0,J70-J73,0)</f>
        <v>0</v>
      </c>
      <c r="X73" s="695"/>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69"/>
    </row>
    <row r="74" spans="1:47" s="688" customFormat="1" ht="12.75" customHeight="1" outlineLevel="2" x14ac:dyDescent="0.2">
      <c r="A74" s="586"/>
      <c r="B74" s="83">
        <v>4</v>
      </c>
      <c r="C74" s="83">
        <v>7</v>
      </c>
      <c r="D74" s="586"/>
      <c r="E74" s="698" t="s">
        <v>149</v>
      </c>
      <c r="F74" s="86" t="str">
        <f t="shared" si="47"/>
        <v/>
      </c>
      <c r="G74" s="86" t="str">
        <f t="shared" si="47"/>
        <v/>
      </c>
      <c r="H74" s="86" t="str">
        <f t="shared" si="47"/>
        <v/>
      </c>
      <c r="I74" s="86" t="str">
        <f t="shared" si="47"/>
        <v/>
      </c>
      <c r="J74" s="86" t="str">
        <f t="shared" si="47"/>
        <v/>
      </c>
      <c r="K74" s="86" t="str">
        <f t="shared" si="47"/>
        <v/>
      </c>
      <c r="M74" s="586"/>
      <c r="N74" s="697"/>
      <c r="O74" s="697"/>
      <c r="P74" s="697"/>
      <c r="Q74" s="694"/>
      <c r="R74" s="694"/>
      <c r="S74" s="694"/>
      <c r="T74" s="694"/>
      <c r="V74" s="97">
        <f>V73+1</f>
        <v>5</v>
      </c>
      <c r="W74" s="96">
        <f>IF(K70&lt;&gt;0,K70-K73,0)</f>
        <v>0</v>
      </c>
      <c r="X74" s="695"/>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row>
    <row r="75" spans="1:47" s="688" customFormat="1" outlineLevel="2" x14ac:dyDescent="0.2">
      <c r="A75" s="586"/>
      <c r="B75" s="586"/>
      <c r="C75" s="586"/>
      <c r="D75" s="183"/>
      <c r="E75" s="183"/>
      <c r="F75" s="699"/>
      <c r="G75" s="699"/>
      <c r="H75" s="699"/>
      <c r="I75" s="699"/>
      <c r="J75" s="699"/>
      <c r="K75" s="699"/>
      <c r="M75" s="586"/>
      <c r="N75" s="350"/>
      <c r="O75" s="350"/>
      <c r="P75" s="350"/>
      <c r="Q75" s="164"/>
      <c r="R75" s="164"/>
      <c r="S75" s="164"/>
      <c r="T75" s="164"/>
      <c r="V75" s="98"/>
      <c r="W75" s="98"/>
      <c r="X75" s="98"/>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row>
    <row r="76" spans="1:47" ht="15.75" outlineLevel="2" x14ac:dyDescent="0.2">
      <c r="A76" s="586"/>
      <c r="B76" s="586"/>
      <c r="C76" s="586"/>
      <c r="D76" s="681" t="s">
        <v>1</v>
      </c>
      <c r="E76" s="681"/>
      <c r="F76" s="671">
        <f>FirstYear</f>
        <v>0</v>
      </c>
      <c r="G76" s="671">
        <f>F76+1</f>
        <v>1</v>
      </c>
      <c r="H76" s="671">
        <f>G76+1</f>
        <v>2</v>
      </c>
      <c r="I76" s="671">
        <f>H76+1</f>
        <v>3</v>
      </c>
      <c r="J76" s="671">
        <f>I76+1</f>
        <v>4</v>
      </c>
      <c r="K76" s="671">
        <f>J76+1</f>
        <v>5</v>
      </c>
      <c r="M76" s="586"/>
      <c r="N76" s="700"/>
      <c r="O76" s="700"/>
      <c r="P76" s="700"/>
      <c r="Q76" s="164"/>
      <c r="R76" s="164"/>
      <c r="S76" s="164"/>
      <c r="T76" s="164"/>
      <c r="V76" s="98"/>
      <c r="W76" s="98"/>
      <c r="X76" s="98"/>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row>
    <row r="77" spans="1:47" s="688" customFormat="1" outlineLevel="2" x14ac:dyDescent="0.2">
      <c r="A77" s="586"/>
      <c r="B77" s="586"/>
      <c r="C77" s="586"/>
      <c r="D77" s="586"/>
      <c r="E77" s="590" t="s">
        <v>269</v>
      </c>
      <c r="F77" s="397">
        <f t="shared" ref="F77:K77" si="48">F78*$P38</f>
        <v>0</v>
      </c>
      <c r="G77" s="397">
        <f t="shared" si="48"/>
        <v>0</v>
      </c>
      <c r="H77" s="397">
        <f t="shared" si="48"/>
        <v>0</v>
      </c>
      <c r="I77" s="397">
        <f t="shared" si="48"/>
        <v>0</v>
      </c>
      <c r="J77" s="397">
        <f t="shared" si="48"/>
        <v>0</v>
      </c>
      <c r="K77" s="397">
        <f t="shared" si="48"/>
        <v>0</v>
      </c>
      <c r="M77" s="586"/>
      <c r="N77" s="350"/>
      <c r="O77" s="350"/>
      <c r="P77" s="350"/>
      <c r="Q77" s="164"/>
      <c r="R77" s="164"/>
      <c r="S77" s="164"/>
      <c r="T77" s="164"/>
      <c r="V77" s="98"/>
      <c r="W77" s="98"/>
      <c r="X77" s="98"/>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row>
    <row r="78" spans="1:47" s="688" customFormat="1" outlineLevel="2" x14ac:dyDescent="0.2">
      <c r="A78" s="586"/>
      <c r="B78" s="586"/>
      <c r="C78" s="83" t="str">
        <f>W53</f>
        <v/>
      </c>
      <c r="D78" s="586"/>
      <c r="E78" s="85" t="s">
        <v>80</v>
      </c>
      <c r="F78" s="86">
        <f t="shared" ref="F78:K78" si="49">IF($W$38=2,$N$38*IF($C78&lt;&gt;"",INDEX(RPBSScriptsNew,$C78,F67),0),IF($Y38&lt;&gt;0,$M$38*INDEX(MBSRPBSInc,$C66,($Y38-1)*7+F67),0))*$V$38</f>
        <v>0</v>
      </c>
      <c r="G78" s="86">
        <f t="shared" si="49"/>
        <v>0</v>
      </c>
      <c r="H78" s="86">
        <f t="shared" si="49"/>
        <v>0</v>
      </c>
      <c r="I78" s="86">
        <f t="shared" si="49"/>
        <v>0</v>
      </c>
      <c r="J78" s="86">
        <f t="shared" si="49"/>
        <v>0</v>
      </c>
      <c r="K78" s="86">
        <f t="shared" si="49"/>
        <v>0</v>
      </c>
      <c r="M78" s="586"/>
      <c r="N78" s="350"/>
      <c r="O78" s="350"/>
      <c r="P78" s="350"/>
      <c r="Q78" s="164"/>
      <c r="R78" s="164"/>
      <c r="S78" s="164"/>
      <c r="T78" s="164"/>
      <c r="V78" s="98"/>
      <c r="W78" s="98"/>
      <c r="X78" s="98"/>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69"/>
    </row>
    <row r="79" spans="1:47" s="688" customFormat="1" outlineLevel="2" x14ac:dyDescent="0.2">
      <c r="A79" s="586"/>
      <c r="B79" s="83">
        <v>5</v>
      </c>
      <c r="C79" s="83">
        <v>6</v>
      </c>
      <c r="D79" s="586"/>
      <c r="E79" s="696" t="s">
        <v>146</v>
      </c>
      <c r="F79" s="86" t="str">
        <f t="shared" ref="F79:K82" si="50">IF(INDEX(MBSItemsInc,$C$66,1)&lt;&gt;"",F$78*INDEX(MBSItemsInc,$C$66,$B79)*INDEX(MBSItemsInc,$C$66,$C79),"")</f>
        <v/>
      </c>
      <c r="G79" s="86" t="str">
        <f t="shared" si="50"/>
        <v/>
      </c>
      <c r="H79" s="86" t="str">
        <f t="shared" si="50"/>
        <v/>
      </c>
      <c r="I79" s="86" t="str">
        <f t="shared" si="50"/>
        <v/>
      </c>
      <c r="J79" s="86" t="str">
        <f t="shared" si="50"/>
        <v/>
      </c>
      <c r="K79" s="86" t="str">
        <f t="shared" si="50"/>
        <v/>
      </c>
      <c r="M79" s="586"/>
      <c r="N79" s="350"/>
      <c r="O79" s="350"/>
      <c r="P79" s="350"/>
      <c r="Q79" s="164"/>
      <c r="R79" s="164"/>
      <c r="S79" s="164"/>
      <c r="T79" s="164"/>
      <c r="V79" s="98"/>
      <c r="W79" s="98"/>
      <c r="X79" s="98"/>
      <c r="Y79" s="669"/>
      <c r="Z79" s="669"/>
      <c r="AA79" s="669"/>
      <c r="AB79" s="669"/>
      <c r="AC79" s="669"/>
      <c r="AD79" s="669"/>
      <c r="AE79" s="669"/>
      <c r="AF79" s="669"/>
      <c r="AG79" s="669"/>
      <c r="AH79" s="669"/>
      <c r="AI79" s="669"/>
      <c r="AJ79" s="669"/>
      <c r="AK79" s="669"/>
      <c r="AL79" s="669"/>
      <c r="AM79" s="669"/>
      <c r="AN79" s="669"/>
      <c r="AO79" s="669"/>
      <c r="AP79" s="669"/>
      <c r="AQ79" s="669"/>
      <c r="AR79" s="669"/>
      <c r="AS79" s="669"/>
      <c r="AT79" s="669"/>
      <c r="AU79" s="669"/>
    </row>
    <row r="80" spans="1:47" s="688" customFormat="1" outlineLevel="2" x14ac:dyDescent="0.2">
      <c r="A80" s="586"/>
      <c r="B80" s="83">
        <v>5</v>
      </c>
      <c r="C80" s="83">
        <v>7</v>
      </c>
      <c r="D80" s="586"/>
      <c r="E80" s="696" t="s">
        <v>147</v>
      </c>
      <c r="F80" s="86" t="str">
        <f t="shared" si="50"/>
        <v/>
      </c>
      <c r="G80" s="86" t="str">
        <f t="shared" si="50"/>
        <v/>
      </c>
      <c r="H80" s="86" t="str">
        <f t="shared" si="50"/>
        <v/>
      </c>
      <c r="I80" s="86" t="str">
        <f t="shared" si="50"/>
        <v/>
      </c>
      <c r="J80" s="86" t="str">
        <f t="shared" si="50"/>
        <v/>
      </c>
      <c r="K80" s="86" t="str">
        <f t="shared" si="50"/>
        <v/>
      </c>
      <c r="M80" s="586"/>
      <c r="N80" s="350"/>
      <c r="O80" s="350"/>
      <c r="P80" s="350"/>
      <c r="Q80" s="164"/>
      <c r="R80" s="164"/>
      <c r="S80" s="164"/>
      <c r="T80" s="164"/>
      <c r="V80" s="98"/>
      <c r="W80" s="98"/>
      <c r="X80" s="98"/>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row>
    <row r="81" spans="1:47" s="688" customFormat="1" outlineLevel="2" x14ac:dyDescent="0.2">
      <c r="A81" s="586"/>
      <c r="B81" s="83">
        <v>4</v>
      </c>
      <c r="C81" s="83">
        <v>6</v>
      </c>
      <c r="D81" s="586"/>
      <c r="E81" s="696" t="s">
        <v>148</v>
      </c>
      <c r="F81" s="86" t="str">
        <f t="shared" si="50"/>
        <v/>
      </c>
      <c r="G81" s="86" t="str">
        <f t="shared" si="50"/>
        <v/>
      </c>
      <c r="H81" s="86" t="str">
        <f t="shared" si="50"/>
        <v/>
      </c>
      <c r="I81" s="86" t="str">
        <f t="shared" si="50"/>
        <v/>
      </c>
      <c r="J81" s="86" t="str">
        <f t="shared" si="50"/>
        <v/>
      </c>
      <c r="K81" s="86" t="str">
        <f t="shared" si="50"/>
        <v/>
      </c>
      <c r="M81" s="586"/>
      <c r="N81" s="350"/>
      <c r="O81" s="350"/>
      <c r="P81" s="350"/>
      <c r="Q81" s="164"/>
      <c r="R81" s="164"/>
      <c r="S81" s="164"/>
      <c r="T81" s="164"/>
      <c r="V81" s="98"/>
      <c r="W81" s="98"/>
      <c r="X81" s="98"/>
      <c r="Y81" s="669"/>
      <c r="Z81" s="669"/>
      <c r="AA81" s="669"/>
      <c r="AB81" s="669"/>
      <c r="AC81" s="669"/>
      <c r="AD81" s="669"/>
      <c r="AE81" s="669"/>
      <c r="AF81" s="669"/>
      <c r="AG81" s="669"/>
      <c r="AH81" s="669"/>
      <c r="AI81" s="669"/>
      <c r="AJ81" s="669"/>
      <c r="AK81" s="669"/>
      <c r="AL81" s="669"/>
      <c r="AM81" s="669"/>
      <c r="AN81" s="669"/>
      <c r="AO81" s="669"/>
      <c r="AP81" s="669"/>
      <c r="AQ81" s="669"/>
      <c r="AR81" s="669"/>
      <c r="AS81" s="669"/>
      <c r="AT81" s="669"/>
      <c r="AU81" s="669"/>
    </row>
    <row r="82" spans="1:47" s="688" customFormat="1" outlineLevel="2" x14ac:dyDescent="0.2">
      <c r="A82" s="586"/>
      <c r="B82" s="83">
        <v>4</v>
      </c>
      <c r="C82" s="83">
        <v>7</v>
      </c>
      <c r="D82" s="586"/>
      <c r="E82" s="698" t="s">
        <v>149</v>
      </c>
      <c r="F82" s="86" t="str">
        <f t="shared" si="50"/>
        <v/>
      </c>
      <c r="G82" s="86" t="str">
        <f t="shared" si="50"/>
        <v/>
      </c>
      <c r="H82" s="86" t="str">
        <f t="shared" si="50"/>
        <v/>
      </c>
      <c r="I82" s="86" t="str">
        <f t="shared" si="50"/>
        <v/>
      </c>
      <c r="J82" s="86" t="str">
        <f t="shared" si="50"/>
        <v/>
      </c>
      <c r="K82" s="86" t="str">
        <f t="shared" si="50"/>
        <v/>
      </c>
      <c r="M82" s="586"/>
      <c r="N82" s="350"/>
      <c r="O82" s="350"/>
      <c r="P82" s="350"/>
      <c r="Q82" s="164"/>
      <c r="R82" s="164"/>
      <c r="S82" s="164"/>
      <c r="T82" s="164"/>
      <c r="V82" s="98"/>
      <c r="W82" s="98"/>
      <c r="X82" s="98"/>
      <c r="Y82" s="669"/>
      <c r="Z82" s="669"/>
      <c r="AA82" s="669"/>
      <c r="AB82" s="669"/>
      <c r="AC82" s="669"/>
      <c r="AD82" s="669"/>
      <c r="AE82" s="669"/>
      <c r="AF82" s="669"/>
      <c r="AG82" s="669"/>
      <c r="AH82" s="669"/>
      <c r="AI82" s="669"/>
      <c r="AJ82" s="669"/>
      <c r="AK82" s="669"/>
      <c r="AL82" s="669"/>
      <c r="AM82" s="669"/>
      <c r="AN82" s="669"/>
      <c r="AO82" s="669"/>
      <c r="AP82" s="669"/>
      <c r="AQ82" s="669"/>
      <c r="AR82" s="669"/>
      <c r="AS82" s="669"/>
      <c r="AT82" s="669"/>
      <c r="AU82" s="669"/>
    </row>
    <row r="83" spans="1:47" s="688" customFormat="1" outlineLevel="1" x14ac:dyDescent="0.2">
      <c r="A83" s="586"/>
      <c r="B83" s="586"/>
      <c r="C83" s="586"/>
      <c r="D83" s="183"/>
      <c r="E83" s="183"/>
      <c r="F83" s="586"/>
      <c r="G83" s="586"/>
      <c r="H83" s="586"/>
      <c r="I83" s="586"/>
      <c r="J83" s="586"/>
      <c r="K83" s="586"/>
      <c r="L83" s="586"/>
      <c r="M83" s="586"/>
      <c r="N83" s="350"/>
      <c r="O83" s="350"/>
      <c r="P83" s="350"/>
      <c r="Q83" s="164"/>
      <c r="R83" s="164"/>
      <c r="S83" s="164"/>
      <c r="T83" s="164"/>
      <c r="V83" s="98"/>
      <c r="W83" s="98"/>
      <c r="X83" s="98"/>
      <c r="Y83" s="669"/>
      <c r="Z83" s="669"/>
      <c r="AA83" s="669"/>
      <c r="AB83" s="669"/>
      <c r="AC83" s="669"/>
      <c r="AD83" s="669"/>
      <c r="AE83" s="669"/>
      <c r="AF83" s="669"/>
      <c r="AG83" s="669"/>
      <c r="AH83" s="669"/>
      <c r="AI83" s="669"/>
      <c r="AJ83" s="669"/>
      <c r="AK83" s="669"/>
      <c r="AL83" s="669"/>
      <c r="AM83" s="669"/>
      <c r="AN83" s="669"/>
      <c r="AO83" s="669"/>
      <c r="AP83" s="669"/>
      <c r="AQ83" s="669"/>
      <c r="AR83" s="669"/>
      <c r="AS83" s="669"/>
      <c r="AT83" s="669"/>
      <c r="AU83" s="669"/>
    </row>
    <row r="84" spans="1:47" ht="15.75" outlineLevel="1" x14ac:dyDescent="0.2">
      <c r="A84" s="586"/>
      <c r="B84" s="586"/>
      <c r="C84" s="352">
        <v>2</v>
      </c>
      <c r="D84" s="110" t="str">
        <f>INDEX(MBSNamesNew,C84)</f>
        <v>** NOT USED **</v>
      </c>
      <c r="E84" s="110"/>
      <c r="F84" s="154"/>
      <c r="G84" s="154"/>
      <c r="H84" s="154"/>
      <c r="I84" s="154"/>
      <c r="J84" s="782" t="str">
        <f>IF(D84&lt;&gt;MsgNotUsed,"Co-payment group " &amp; K39,"")</f>
        <v/>
      </c>
      <c r="K84" s="782"/>
      <c r="L84" s="154"/>
      <c r="M84" s="154"/>
      <c r="N84" s="154"/>
      <c r="O84" s="154"/>
      <c r="P84" s="154"/>
      <c r="Q84" s="154"/>
      <c r="R84" s="154"/>
      <c r="S84" s="154"/>
      <c r="T84" s="154"/>
      <c r="V84" s="98"/>
      <c r="W84" s="98"/>
      <c r="X84" s="98"/>
      <c r="Y84" s="669"/>
      <c r="Z84" s="669"/>
      <c r="AA84" s="669"/>
      <c r="AB84" s="669"/>
      <c r="AC84" s="669"/>
      <c r="AD84" s="669"/>
      <c r="AE84" s="669"/>
      <c r="AF84" s="669"/>
      <c r="AG84" s="669"/>
      <c r="AH84" s="669"/>
      <c r="AI84" s="669"/>
      <c r="AJ84" s="669"/>
      <c r="AK84" s="669"/>
      <c r="AL84" s="669"/>
      <c r="AM84" s="669"/>
      <c r="AN84" s="669"/>
      <c r="AO84" s="669"/>
      <c r="AP84" s="669"/>
      <c r="AQ84" s="669"/>
      <c r="AR84" s="669"/>
      <c r="AS84" s="669"/>
      <c r="AT84" s="669"/>
      <c r="AU84" s="669"/>
    </row>
    <row r="85" spans="1:47" s="688" customFormat="1" outlineLevel="2" x14ac:dyDescent="0.2">
      <c r="A85" s="586"/>
      <c r="B85" s="586"/>
      <c r="C85" s="586"/>
      <c r="D85" s="668"/>
      <c r="E85" s="668"/>
      <c r="F85" s="691">
        <v>2</v>
      </c>
      <c r="G85" s="691">
        <v>3</v>
      </c>
      <c r="H85" s="691">
        <v>4</v>
      </c>
      <c r="I85" s="691">
        <v>5</v>
      </c>
      <c r="J85" s="691">
        <v>6</v>
      </c>
      <c r="K85" s="691">
        <v>7</v>
      </c>
      <c r="L85" s="691"/>
      <c r="M85" s="668"/>
      <c r="N85" s="668"/>
      <c r="O85" s="668"/>
      <c r="P85" s="668"/>
      <c r="Q85" s="668"/>
      <c r="R85" s="668"/>
      <c r="S85" s="668"/>
      <c r="T85" s="668"/>
      <c r="V85" s="98"/>
      <c r="W85" s="98"/>
      <c r="X85" s="98"/>
      <c r="Y85" s="669"/>
      <c r="Z85" s="669"/>
      <c r="AA85" s="669"/>
      <c r="AB85" s="669"/>
      <c r="AC85" s="669"/>
      <c r="AD85" s="669"/>
      <c r="AE85" s="669"/>
      <c r="AF85" s="669"/>
      <c r="AG85" s="669"/>
      <c r="AH85" s="669"/>
      <c r="AI85" s="669"/>
      <c r="AJ85" s="669"/>
      <c r="AK85" s="669"/>
      <c r="AL85" s="669"/>
      <c r="AM85" s="669"/>
      <c r="AN85" s="669"/>
      <c r="AO85" s="669"/>
      <c r="AP85" s="669"/>
      <c r="AQ85" s="669"/>
      <c r="AR85" s="669"/>
      <c r="AS85" s="669"/>
      <c r="AT85" s="669"/>
      <c r="AU85" s="669"/>
    </row>
    <row r="86" spans="1:47" ht="15" outlineLevel="2" x14ac:dyDescent="0.2">
      <c r="A86" s="586"/>
      <c r="B86" s="586"/>
      <c r="C86" s="586"/>
      <c r="D86" s="681" t="s">
        <v>0</v>
      </c>
      <c r="E86" s="681"/>
      <c r="F86" s="671">
        <f>FirstYear</f>
        <v>0</v>
      </c>
      <c r="G86" s="671">
        <f>F86+1</f>
        <v>1</v>
      </c>
      <c r="H86" s="671">
        <f>G86+1</f>
        <v>2</v>
      </c>
      <c r="I86" s="671">
        <f>H86+1</f>
        <v>3</v>
      </c>
      <c r="J86" s="671">
        <f>I86+1</f>
        <v>4</v>
      </c>
      <c r="K86" s="671">
        <f>J86+1</f>
        <v>5</v>
      </c>
      <c r="M86" s="149"/>
      <c r="N86" s="692"/>
      <c r="O86" s="692"/>
      <c r="P86" s="692"/>
      <c r="Q86" s="99"/>
      <c r="R86" s="99"/>
      <c r="S86" s="99"/>
      <c r="T86" s="99"/>
      <c r="V86" s="99"/>
      <c r="W86" s="99"/>
      <c r="X86" s="99"/>
      <c r="Y86" s="669"/>
      <c r="Z86" s="669"/>
      <c r="AA86" s="669"/>
      <c r="AB86" s="669"/>
      <c r="AC86" s="669"/>
      <c r="AD86" s="669"/>
      <c r="AE86" s="669"/>
      <c r="AF86" s="669"/>
      <c r="AG86" s="669"/>
      <c r="AH86" s="669"/>
      <c r="AI86" s="669"/>
      <c r="AJ86" s="669"/>
      <c r="AK86" s="669"/>
      <c r="AL86" s="669"/>
      <c r="AM86" s="669"/>
      <c r="AN86" s="669"/>
      <c r="AO86" s="669"/>
      <c r="AP86" s="669"/>
      <c r="AQ86" s="669"/>
      <c r="AR86" s="669"/>
      <c r="AS86" s="669"/>
      <c r="AT86" s="669"/>
      <c r="AU86" s="669"/>
    </row>
    <row r="87" spans="1:47" s="688" customFormat="1" outlineLevel="2" x14ac:dyDescent="0.2">
      <c r="A87" s="586"/>
      <c r="B87" s="586"/>
      <c r="C87" s="586"/>
      <c r="D87" s="586"/>
      <c r="E87" s="590" t="s">
        <v>269</v>
      </c>
      <c r="F87" s="397">
        <f t="shared" ref="F87:K87" si="51">F88*$P39</f>
        <v>0</v>
      </c>
      <c r="G87" s="397">
        <f t="shared" si="51"/>
        <v>0</v>
      </c>
      <c r="H87" s="397">
        <f t="shared" si="51"/>
        <v>0</v>
      </c>
      <c r="I87" s="397">
        <f t="shared" si="51"/>
        <v>0</v>
      </c>
      <c r="J87" s="397">
        <f t="shared" si="51"/>
        <v>0</v>
      </c>
      <c r="K87" s="397">
        <f t="shared" si="51"/>
        <v>0</v>
      </c>
      <c r="M87" s="586"/>
      <c r="N87" s="692"/>
      <c r="O87" s="692"/>
      <c r="P87" s="692"/>
      <c r="Q87" s="99"/>
      <c r="R87" s="99"/>
      <c r="S87" s="99"/>
      <c r="T87" s="99"/>
      <c r="V87" s="97">
        <f>FirstYear</f>
        <v>0</v>
      </c>
      <c r="W87" s="96">
        <f>IF(F88&lt;&gt;0,F88-F91,0)</f>
        <v>0</v>
      </c>
      <c r="X87" s="99"/>
      <c r="Y87" s="669"/>
      <c r="Z87" s="669"/>
      <c r="AA87" s="669"/>
      <c r="AB87" s="669"/>
      <c r="AC87" s="669"/>
      <c r="AD87" s="669"/>
      <c r="AE87" s="669"/>
      <c r="AF87" s="669"/>
      <c r="AG87" s="669"/>
      <c r="AH87" s="669"/>
      <c r="AI87" s="669"/>
      <c r="AJ87" s="669"/>
      <c r="AK87" s="669"/>
      <c r="AL87" s="669"/>
      <c r="AM87" s="669"/>
      <c r="AN87" s="669"/>
      <c r="AO87" s="669"/>
      <c r="AP87" s="669"/>
      <c r="AQ87" s="669"/>
      <c r="AR87" s="669"/>
      <c r="AS87" s="669"/>
      <c r="AT87" s="669"/>
      <c r="AU87" s="669"/>
    </row>
    <row r="88" spans="1:47" s="688" customFormat="1" outlineLevel="2" x14ac:dyDescent="0.2">
      <c r="A88" s="586"/>
      <c r="B88" s="586"/>
      <c r="C88" s="83" t="str">
        <f>W54</f>
        <v/>
      </c>
      <c r="D88" s="586"/>
      <c r="E88" s="85" t="s">
        <v>80</v>
      </c>
      <c r="F88" s="86">
        <f t="shared" ref="F88:K88" si="52">IF($W$39=2,$N$39*IF($C88&lt;&gt;"",INDEX(PBSScriptsNew,$C88,F85),0),IF($Y39&lt;&gt;0,$M$39*INDEX(MBSPBSInc,$C84,($Y39-1)*7+F67),0))*$V$39</f>
        <v>0</v>
      </c>
      <c r="G88" s="86">
        <f t="shared" si="52"/>
        <v>0</v>
      </c>
      <c r="H88" s="86">
        <f t="shared" si="52"/>
        <v>0</v>
      </c>
      <c r="I88" s="86">
        <f t="shared" si="52"/>
        <v>0</v>
      </c>
      <c r="J88" s="86">
        <f t="shared" si="52"/>
        <v>0</v>
      </c>
      <c r="K88" s="86">
        <f t="shared" si="52"/>
        <v>0</v>
      </c>
      <c r="M88" s="693"/>
      <c r="N88" s="684"/>
      <c r="O88" s="684"/>
      <c r="P88" s="684"/>
      <c r="Q88" s="694"/>
      <c r="R88" s="694"/>
      <c r="S88" s="694"/>
      <c r="T88" s="694"/>
      <c r="V88" s="97">
        <f>V87+1</f>
        <v>1</v>
      </c>
      <c r="W88" s="96">
        <f>IF(G88&lt;&gt;0,G88-G91,0)</f>
        <v>0</v>
      </c>
      <c r="X88" s="695"/>
      <c r="Y88" s="669"/>
      <c r="Z88" s="669"/>
      <c r="AA88" s="669"/>
      <c r="AB88" s="669"/>
      <c r="AC88" s="669"/>
      <c r="AD88" s="669"/>
      <c r="AE88" s="669"/>
      <c r="AF88" s="669"/>
      <c r="AG88" s="669"/>
      <c r="AH88" s="669"/>
      <c r="AI88" s="669"/>
      <c r="AJ88" s="669"/>
      <c r="AK88" s="669"/>
      <c r="AL88" s="669"/>
      <c r="AM88" s="669"/>
      <c r="AN88" s="669"/>
      <c r="AO88" s="669"/>
      <c r="AP88" s="669"/>
      <c r="AQ88" s="669"/>
      <c r="AR88" s="669"/>
      <c r="AS88" s="669"/>
      <c r="AT88" s="669"/>
      <c r="AU88" s="669"/>
    </row>
    <row r="89" spans="1:47" s="688" customFormat="1" outlineLevel="2" x14ac:dyDescent="0.2">
      <c r="A89" s="586"/>
      <c r="B89" s="83">
        <v>5</v>
      </c>
      <c r="C89" s="83">
        <v>6</v>
      </c>
      <c r="D89" s="586"/>
      <c r="E89" s="696" t="s">
        <v>146</v>
      </c>
      <c r="F89" s="86" t="str">
        <f t="shared" ref="F89:K92" si="53">IF(INDEX(MBSItemsInc,$C$84,1)&lt;&gt;"",F$88*INDEX(MBSItemsInc,$C$84,$B89)*INDEX(MBSItemsInc,$C$84,$C89),"")</f>
        <v/>
      </c>
      <c r="G89" s="86" t="str">
        <f t="shared" si="53"/>
        <v/>
      </c>
      <c r="H89" s="86" t="str">
        <f t="shared" si="53"/>
        <v/>
      </c>
      <c r="I89" s="86" t="str">
        <f t="shared" si="53"/>
        <v/>
      </c>
      <c r="J89" s="86" t="str">
        <f t="shared" si="53"/>
        <v/>
      </c>
      <c r="K89" s="86" t="str">
        <f t="shared" si="53"/>
        <v/>
      </c>
      <c r="M89" s="586"/>
      <c r="N89" s="697"/>
      <c r="O89" s="697"/>
      <c r="P89" s="697"/>
      <c r="Q89" s="694"/>
      <c r="R89" s="694"/>
      <c r="S89" s="694"/>
      <c r="T89" s="694"/>
      <c r="V89" s="97">
        <f>V88+1</f>
        <v>2</v>
      </c>
      <c r="W89" s="96">
        <f>IF(H88&lt;&gt;0,H88-H91,0)</f>
        <v>0</v>
      </c>
      <c r="X89" s="695"/>
      <c r="Y89" s="669"/>
      <c r="Z89" s="669"/>
      <c r="AA89" s="669"/>
      <c r="AB89" s="669"/>
      <c r="AC89" s="669"/>
      <c r="AD89" s="669"/>
      <c r="AE89" s="669"/>
      <c r="AF89" s="669"/>
      <c r="AG89" s="669"/>
      <c r="AH89" s="669"/>
      <c r="AI89" s="669"/>
      <c r="AJ89" s="669"/>
      <c r="AK89" s="669"/>
      <c r="AL89" s="669"/>
      <c r="AM89" s="669"/>
      <c r="AN89" s="669"/>
      <c r="AO89" s="669"/>
      <c r="AP89" s="669"/>
      <c r="AQ89" s="669"/>
      <c r="AR89" s="669"/>
      <c r="AS89" s="669"/>
      <c r="AT89" s="669"/>
      <c r="AU89" s="669"/>
    </row>
    <row r="90" spans="1:47" s="688" customFormat="1" outlineLevel="2" x14ac:dyDescent="0.2">
      <c r="A90" s="586"/>
      <c r="B90" s="83">
        <v>5</v>
      </c>
      <c r="C90" s="83">
        <v>7</v>
      </c>
      <c r="D90" s="586"/>
      <c r="E90" s="696" t="s">
        <v>147</v>
      </c>
      <c r="F90" s="86" t="str">
        <f t="shared" si="53"/>
        <v/>
      </c>
      <c r="G90" s="86" t="str">
        <f t="shared" si="53"/>
        <v/>
      </c>
      <c r="H90" s="86" t="str">
        <f t="shared" si="53"/>
        <v/>
      </c>
      <c r="I90" s="86" t="str">
        <f t="shared" si="53"/>
        <v/>
      </c>
      <c r="J90" s="86" t="str">
        <f t="shared" si="53"/>
        <v/>
      </c>
      <c r="K90" s="86" t="str">
        <f t="shared" si="53"/>
        <v/>
      </c>
      <c r="M90" s="586"/>
      <c r="N90" s="697"/>
      <c r="O90" s="697"/>
      <c r="P90" s="697"/>
      <c r="Q90" s="694"/>
      <c r="R90" s="694"/>
      <c r="S90" s="694"/>
      <c r="T90" s="694"/>
      <c r="V90" s="97">
        <f>V89+1</f>
        <v>3</v>
      </c>
      <c r="W90" s="96">
        <f>IF(I88&lt;&gt;0,I88-I91,0)</f>
        <v>0</v>
      </c>
      <c r="X90" s="695"/>
      <c r="Y90" s="669"/>
      <c r="Z90" s="669"/>
      <c r="AA90" s="669"/>
      <c r="AB90" s="669"/>
      <c r="AC90" s="669"/>
      <c r="AD90" s="669"/>
      <c r="AE90" s="669"/>
      <c r="AF90" s="669"/>
      <c r="AG90" s="669"/>
      <c r="AH90" s="669"/>
      <c r="AI90" s="669"/>
      <c r="AJ90" s="669"/>
      <c r="AK90" s="669"/>
      <c r="AL90" s="669"/>
      <c r="AM90" s="669"/>
      <c r="AN90" s="669"/>
      <c r="AO90" s="669"/>
      <c r="AP90" s="669"/>
      <c r="AQ90" s="669"/>
      <c r="AR90" s="669"/>
      <c r="AS90" s="669"/>
      <c r="AT90" s="669"/>
      <c r="AU90" s="669"/>
    </row>
    <row r="91" spans="1:47" s="688" customFormat="1" outlineLevel="2" x14ac:dyDescent="0.2">
      <c r="A91" s="586"/>
      <c r="B91" s="83">
        <v>4</v>
      </c>
      <c r="C91" s="83">
        <v>6</v>
      </c>
      <c r="D91" s="586"/>
      <c r="E91" s="696" t="s">
        <v>148</v>
      </c>
      <c r="F91" s="86" t="str">
        <f t="shared" si="53"/>
        <v/>
      </c>
      <c r="G91" s="86" t="str">
        <f t="shared" si="53"/>
        <v/>
      </c>
      <c r="H91" s="86" t="str">
        <f t="shared" si="53"/>
        <v/>
      </c>
      <c r="I91" s="86" t="str">
        <f t="shared" si="53"/>
        <v/>
      </c>
      <c r="J91" s="86" t="str">
        <f t="shared" si="53"/>
        <v/>
      </c>
      <c r="K91" s="86" t="str">
        <f t="shared" si="53"/>
        <v/>
      </c>
      <c r="M91" s="586"/>
      <c r="N91" s="697"/>
      <c r="O91" s="697"/>
      <c r="P91" s="697"/>
      <c r="Q91" s="694"/>
      <c r="R91" s="694"/>
      <c r="S91" s="694"/>
      <c r="T91" s="694"/>
      <c r="V91" s="97">
        <f>V90+1</f>
        <v>4</v>
      </c>
      <c r="W91" s="96">
        <f>IF(J88&lt;&gt;0,J88-J91,0)</f>
        <v>0</v>
      </c>
      <c r="X91" s="695"/>
      <c r="Y91" s="669"/>
      <c r="Z91" s="669"/>
      <c r="AA91" s="669"/>
      <c r="AB91" s="669"/>
      <c r="AC91" s="669"/>
      <c r="AD91" s="669"/>
      <c r="AE91" s="669"/>
      <c r="AF91" s="669"/>
      <c r="AG91" s="669"/>
      <c r="AH91" s="669"/>
      <c r="AI91" s="669"/>
      <c r="AJ91" s="669"/>
      <c r="AK91" s="669"/>
      <c r="AL91" s="669"/>
      <c r="AM91" s="669"/>
      <c r="AN91" s="669"/>
      <c r="AO91" s="669"/>
      <c r="AP91" s="669"/>
      <c r="AQ91" s="669"/>
      <c r="AR91" s="669"/>
      <c r="AS91" s="669"/>
      <c r="AT91" s="669"/>
      <c r="AU91" s="669"/>
    </row>
    <row r="92" spans="1:47" s="688" customFormat="1" ht="15" customHeight="1" outlineLevel="2" x14ac:dyDescent="0.2">
      <c r="A92" s="586"/>
      <c r="B92" s="83">
        <v>4</v>
      </c>
      <c r="C92" s="83">
        <v>7</v>
      </c>
      <c r="D92" s="586"/>
      <c r="E92" s="698" t="s">
        <v>149</v>
      </c>
      <c r="F92" s="86" t="str">
        <f t="shared" si="53"/>
        <v/>
      </c>
      <c r="G92" s="86" t="str">
        <f t="shared" si="53"/>
        <v/>
      </c>
      <c r="H92" s="86" t="str">
        <f t="shared" si="53"/>
        <v/>
      </c>
      <c r="I92" s="86" t="str">
        <f t="shared" si="53"/>
        <v/>
      </c>
      <c r="J92" s="86" t="str">
        <f t="shared" si="53"/>
        <v/>
      </c>
      <c r="K92" s="86" t="str">
        <f t="shared" si="53"/>
        <v/>
      </c>
      <c r="M92" s="586"/>
      <c r="N92" s="697"/>
      <c r="O92" s="697"/>
      <c r="P92" s="697"/>
      <c r="Q92" s="694"/>
      <c r="R92" s="694"/>
      <c r="S92" s="694"/>
      <c r="T92" s="694"/>
      <c r="V92" s="97">
        <f>V91+1</f>
        <v>5</v>
      </c>
      <c r="W92" s="96">
        <f>IF(K88&lt;&gt;0,K88-K91,0)</f>
        <v>0</v>
      </c>
      <c r="X92" s="695"/>
      <c r="Y92" s="669"/>
      <c r="Z92" s="669"/>
      <c r="AA92" s="669"/>
      <c r="AB92" s="669"/>
      <c r="AC92" s="669"/>
      <c r="AD92" s="669"/>
      <c r="AE92" s="669"/>
      <c r="AF92" s="669"/>
      <c r="AG92" s="669"/>
      <c r="AH92" s="669"/>
      <c r="AI92" s="669"/>
      <c r="AJ92" s="669"/>
      <c r="AK92" s="669"/>
      <c r="AL92" s="669"/>
      <c r="AM92" s="669"/>
      <c r="AN92" s="669"/>
      <c r="AO92" s="669"/>
      <c r="AP92" s="669"/>
      <c r="AQ92" s="669"/>
      <c r="AR92" s="669"/>
      <c r="AS92" s="669"/>
      <c r="AT92" s="669"/>
      <c r="AU92" s="669"/>
    </row>
    <row r="93" spans="1:47" s="688" customFormat="1" outlineLevel="2" x14ac:dyDescent="0.2">
      <c r="A93" s="586"/>
      <c r="B93" s="586"/>
      <c r="C93" s="586"/>
      <c r="D93" s="183"/>
      <c r="E93" s="183"/>
      <c r="F93" s="586"/>
      <c r="G93" s="586"/>
      <c r="H93" s="586"/>
      <c r="I93" s="586"/>
      <c r="J93" s="586"/>
      <c r="K93" s="586"/>
      <c r="M93" s="586"/>
      <c r="N93" s="350"/>
      <c r="O93" s="350"/>
      <c r="P93" s="350"/>
      <c r="Q93" s="164"/>
      <c r="R93" s="164"/>
      <c r="S93" s="164"/>
      <c r="T93" s="164"/>
      <c r="V93" s="98"/>
      <c r="W93" s="98"/>
      <c r="X93" s="98"/>
      <c r="Y93" s="669"/>
      <c r="Z93" s="669"/>
      <c r="AA93" s="669"/>
      <c r="AB93" s="669"/>
      <c r="AC93" s="669"/>
      <c r="AD93" s="669"/>
      <c r="AE93" s="669"/>
      <c r="AF93" s="669"/>
      <c r="AG93" s="669"/>
      <c r="AH93" s="669"/>
      <c r="AI93" s="669"/>
      <c r="AJ93" s="669"/>
      <c r="AK93" s="669"/>
      <c r="AL93" s="669"/>
      <c r="AM93" s="669"/>
      <c r="AN93" s="669"/>
      <c r="AO93" s="669"/>
      <c r="AP93" s="669"/>
      <c r="AQ93" s="669"/>
      <c r="AR93" s="669"/>
      <c r="AS93" s="669"/>
      <c r="AT93" s="669"/>
      <c r="AU93" s="669"/>
    </row>
    <row r="94" spans="1:47" ht="15.75" outlineLevel="2" x14ac:dyDescent="0.2">
      <c r="A94" s="586"/>
      <c r="B94" s="586"/>
      <c r="C94" s="586"/>
      <c r="D94" s="681" t="s">
        <v>1</v>
      </c>
      <c r="E94" s="681"/>
      <c r="F94" s="671">
        <f>FirstYear</f>
        <v>0</v>
      </c>
      <c r="G94" s="671">
        <f>F94+1</f>
        <v>1</v>
      </c>
      <c r="H94" s="671">
        <f>G94+1</f>
        <v>2</v>
      </c>
      <c r="I94" s="671">
        <f>H94+1</f>
        <v>3</v>
      </c>
      <c r="J94" s="671">
        <f>I94+1</f>
        <v>4</v>
      </c>
      <c r="K94" s="671">
        <f>J94+1</f>
        <v>5</v>
      </c>
      <c r="M94" s="586"/>
      <c r="N94" s="700"/>
      <c r="O94" s="700"/>
      <c r="P94" s="700"/>
      <c r="Q94" s="164"/>
      <c r="R94" s="164"/>
      <c r="S94" s="164"/>
      <c r="T94" s="164"/>
      <c r="V94" s="98"/>
      <c r="W94" s="98"/>
      <c r="X94" s="98"/>
      <c r="Y94" s="669"/>
      <c r="Z94" s="669"/>
      <c r="AA94" s="669"/>
      <c r="AB94" s="669"/>
      <c r="AC94" s="669"/>
      <c r="AD94" s="669"/>
      <c r="AE94" s="669"/>
      <c r="AF94" s="669"/>
      <c r="AG94" s="669"/>
      <c r="AH94" s="669"/>
      <c r="AI94" s="669"/>
      <c r="AJ94" s="669"/>
      <c r="AK94" s="669"/>
      <c r="AL94" s="669"/>
      <c r="AM94" s="669"/>
      <c r="AN94" s="669"/>
      <c r="AO94" s="669"/>
      <c r="AP94" s="669"/>
      <c r="AQ94" s="669"/>
      <c r="AR94" s="669"/>
      <c r="AS94" s="669"/>
      <c r="AT94" s="669"/>
      <c r="AU94" s="669"/>
    </row>
    <row r="95" spans="1:47" s="688" customFormat="1" outlineLevel="2" x14ac:dyDescent="0.2">
      <c r="A95" s="586"/>
      <c r="B95" s="586"/>
      <c r="C95" s="586"/>
      <c r="D95" s="586"/>
      <c r="E95" s="590" t="s">
        <v>269</v>
      </c>
      <c r="F95" s="397">
        <f t="shared" ref="F95:K95" si="54">F96*$P39</f>
        <v>0</v>
      </c>
      <c r="G95" s="397">
        <f t="shared" si="54"/>
        <v>0</v>
      </c>
      <c r="H95" s="397">
        <f t="shared" si="54"/>
        <v>0</v>
      </c>
      <c r="I95" s="397">
        <f t="shared" si="54"/>
        <v>0</v>
      </c>
      <c r="J95" s="397">
        <f t="shared" si="54"/>
        <v>0</v>
      </c>
      <c r="K95" s="397">
        <f t="shared" si="54"/>
        <v>0</v>
      </c>
      <c r="M95" s="586"/>
      <c r="N95" s="350"/>
      <c r="O95" s="350"/>
      <c r="P95" s="350"/>
      <c r="Q95" s="164"/>
      <c r="R95" s="164"/>
      <c r="S95" s="164"/>
      <c r="T95" s="164"/>
      <c r="V95" s="98"/>
      <c r="W95" s="98"/>
      <c r="X95" s="98"/>
      <c r="Y95" s="669"/>
      <c r="Z95" s="669"/>
      <c r="AA95" s="669"/>
      <c r="AB95" s="669"/>
      <c r="AC95" s="669"/>
      <c r="AD95" s="669"/>
      <c r="AE95" s="669"/>
      <c r="AF95" s="669"/>
      <c r="AG95" s="669"/>
      <c r="AH95" s="669"/>
      <c r="AI95" s="669"/>
      <c r="AJ95" s="669"/>
      <c r="AK95" s="669"/>
      <c r="AL95" s="669"/>
      <c r="AM95" s="669"/>
      <c r="AN95" s="669"/>
      <c r="AO95" s="669"/>
      <c r="AP95" s="669"/>
      <c r="AQ95" s="669"/>
      <c r="AR95" s="669"/>
      <c r="AS95" s="669"/>
      <c r="AT95" s="669"/>
      <c r="AU95" s="669"/>
    </row>
    <row r="96" spans="1:47" s="688" customFormat="1" outlineLevel="2" x14ac:dyDescent="0.2">
      <c r="A96" s="586"/>
      <c r="B96" s="586"/>
      <c r="C96" s="83" t="str">
        <f>W54</f>
        <v/>
      </c>
      <c r="D96" s="586"/>
      <c r="E96" s="85" t="s">
        <v>80</v>
      </c>
      <c r="F96" s="86">
        <f t="shared" ref="F96:K96" si="55">IF($W$39=2,$N$39*IF($C96&lt;&gt;"",INDEX(RPBSScriptsNew,$C96,F85),0),IF($Y39&lt;&gt;0,$M$39*INDEX(MBSRPBSInc,$C84,($Y39-1)*7+F85),0))*$V$39</f>
        <v>0</v>
      </c>
      <c r="G96" s="86">
        <f t="shared" si="55"/>
        <v>0</v>
      </c>
      <c r="H96" s="86">
        <f t="shared" si="55"/>
        <v>0</v>
      </c>
      <c r="I96" s="86">
        <f t="shared" si="55"/>
        <v>0</v>
      </c>
      <c r="J96" s="86">
        <f t="shared" si="55"/>
        <v>0</v>
      </c>
      <c r="K96" s="86">
        <f t="shared" si="55"/>
        <v>0</v>
      </c>
      <c r="M96" s="586"/>
      <c r="N96" s="350"/>
      <c r="O96" s="350"/>
      <c r="P96" s="350"/>
      <c r="Q96" s="164"/>
      <c r="R96" s="164"/>
      <c r="S96" s="164"/>
      <c r="T96" s="164"/>
      <c r="V96" s="98"/>
      <c r="W96" s="98"/>
      <c r="X96" s="98"/>
      <c r="Y96" s="669"/>
      <c r="Z96" s="669"/>
      <c r="AA96" s="669"/>
      <c r="AB96" s="669"/>
      <c r="AC96" s="669"/>
      <c r="AD96" s="669"/>
      <c r="AE96" s="669"/>
      <c r="AF96" s="669"/>
      <c r="AG96" s="669"/>
      <c r="AH96" s="669"/>
      <c r="AI96" s="669"/>
      <c r="AJ96" s="669"/>
      <c r="AK96" s="669"/>
      <c r="AL96" s="669"/>
      <c r="AM96" s="669"/>
      <c r="AN96" s="669"/>
      <c r="AO96" s="669"/>
      <c r="AP96" s="669"/>
      <c r="AQ96" s="669"/>
      <c r="AR96" s="669"/>
      <c r="AS96" s="669"/>
      <c r="AT96" s="669"/>
      <c r="AU96" s="669"/>
    </row>
    <row r="97" spans="1:47" s="688" customFormat="1" outlineLevel="2" x14ac:dyDescent="0.2">
      <c r="A97" s="586"/>
      <c r="B97" s="83">
        <v>5</v>
      </c>
      <c r="C97" s="83">
        <v>6</v>
      </c>
      <c r="D97" s="586"/>
      <c r="E97" s="696" t="s">
        <v>146</v>
      </c>
      <c r="F97" s="86" t="str">
        <f t="shared" ref="F97:K100" si="56">IF(INDEX(MBSItemsInc,$C$84,1)&lt;&gt;"",F$96*INDEX(MBSItemsInc,$C$84,$B97)*INDEX(MBSItemsInc,$C$84,$C97),"")</f>
        <v/>
      </c>
      <c r="G97" s="86" t="str">
        <f t="shared" si="56"/>
        <v/>
      </c>
      <c r="H97" s="86" t="str">
        <f t="shared" si="56"/>
        <v/>
      </c>
      <c r="I97" s="86" t="str">
        <f t="shared" si="56"/>
        <v/>
      </c>
      <c r="J97" s="86" t="str">
        <f t="shared" si="56"/>
        <v/>
      </c>
      <c r="K97" s="86" t="str">
        <f t="shared" si="56"/>
        <v/>
      </c>
      <c r="M97" s="586"/>
      <c r="N97" s="350"/>
      <c r="O97" s="350"/>
      <c r="P97" s="350"/>
      <c r="Q97" s="164"/>
      <c r="R97" s="164"/>
      <c r="S97" s="164"/>
      <c r="T97" s="164"/>
      <c r="V97" s="98"/>
      <c r="W97" s="98"/>
      <c r="X97" s="98"/>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69"/>
    </row>
    <row r="98" spans="1:47" s="688" customFormat="1" outlineLevel="2" x14ac:dyDescent="0.2">
      <c r="A98" s="586"/>
      <c r="B98" s="83">
        <v>5</v>
      </c>
      <c r="C98" s="83">
        <v>7</v>
      </c>
      <c r="D98" s="586"/>
      <c r="E98" s="696" t="s">
        <v>147</v>
      </c>
      <c r="F98" s="86" t="str">
        <f t="shared" si="56"/>
        <v/>
      </c>
      <c r="G98" s="86" t="str">
        <f t="shared" si="56"/>
        <v/>
      </c>
      <c r="H98" s="86" t="str">
        <f t="shared" si="56"/>
        <v/>
      </c>
      <c r="I98" s="86" t="str">
        <f t="shared" si="56"/>
        <v/>
      </c>
      <c r="J98" s="86" t="str">
        <f t="shared" si="56"/>
        <v/>
      </c>
      <c r="K98" s="86" t="str">
        <f t="shared" si="56"/>
        <v/>
      </c>
      <c r="M98" s="586"/>
      <c r="N98" s="350"/>
      <c r="O98" s="350"/>
      <c r="P98" s="350"/>
      <c r="Q98" s="164"/>
      <c r="R98" s="164"/>
      <c r="S98" s="164"/>
      <c r="T98" s="164"/>
      <c r="V98" s="98"/>
      <c r="W98" s="98"/>
      <c r="X98" s="98"/>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row>
    <row r="99" spans="1:47" s="688" customFormat="1" outlineLevel="2" x14ac:dyDescent="0.2">
      <c r="A99" s="586"/>
      <c r="B99" s="83">
        <v>4</v>
      </c>
      <c r="C99" s="83">
        <v>6</v>
      </c>
      <c r="D99" s="586"/>
      <c r="E99" s="696" t="s">
        <v>148</v>
      </c>
      <c r="F99" s="86" t="str">
        <f t="shared" si="56"/>
        <v/>
      </c>
      <c r="G99" s="86" t="str">
        <f t="shared" si="56"/>
        <v/>
      </c>
      <c r="H99" s="86" t="str">
        <f t="shared" si="56"/>
        <v/>
      </c>
      <c r="I99" s="86" t="str">
        <f t="shared" si="56"/>
        <v/>
      </c>
      <c r="J99" s="86" t="str">
        <f t="shared" si="56"/>
        <v/>
      </c>
      <c r="K99" s="86" t="str">
        <f t="shared" si="56"/>
        <v/>
      </c>
      <c r="M99" s="586"/>
      <c r="N99" s="350"/>
      <c r="O99" s="350"/>
      <c r="P99" s="350"/>
      <c r="Q99" s="164"/>
      <c r="R99" s="164"/>
      <c r="S99" s="164"/>
      <c r="T99" s="164"/>
      <c r="V99" s="98"/>
      <c r="W99" s="98"/>
      <c r="X99" s="98"/>
      <c r="Y99" s="669"/>
      <c r="Z99" s="669"/>
      <c r="AA99" s="669"/>
      <c r="AB99" s="669"/>
      <c r="AC99" s="669"/>
      <c r="AD99" s="669"/>
      <c r="AE99" s="669"/>
      <c r="AF99" s="669"/>
      <c r="AG99" s="669"/>
      <c r="AH99" s="669"/>
      <c r="AI99" s="669"/>
      <c r="AJ99" s="669"/>
      <c r="AK99" s="669"/>
      <c r="AL99" s="669"/>
      <c r="AM99" s="669"/>
      <c r="AN99" s="669"/>
      <c r="AO99" s="669"/>
      <c r="AP99" s="669"/>
      <c r="AQ99" s="669"/>
      <c r="AR99" s="669"/>
      <c r="AS99" s="669"/>
      <c r="AT99" s="669"/>
      <c r="AU99" s="669"/>
    </row>
    <row r="100" spans="1:47" s="688" customFormat="1" outlineLevel="2" x14ac:dyDescent="0.2">
      <c r="A100" s="586"/>
      <c r="B100" s="83">
        <v>4</v>
      </c>
      <c r="C100" s="83">
        <v>7</v>
      </c>
      <c r="D100" s="586"/>
      <c r="E100" s="698" t="s">
        <v>149</v>
      </c>
      <c r="F100" s="86" t="str">
        <f t="shared" si="56"/>
        <v/>
      </c>
      <c r="G100" s="86" t="str">
        <f t="shared" si="56"/>
        <v/>
      </c>
      <c r="H100" s="86" t="str">
        <f t="shared" si="56"/>
        <v/>
      </c>
      <c r="I100" s="86" t="str">
        <f t="shared" si="56"/>
        <v/>
      </c>
      <c r="J100" s="86" t="str">
        <f t="shared" si="56"/>
        <v/>
      </c>
      <c r="K100" s="86" t="str">
        <f t="shared" si="56"/>
        <v/>
      </c>
      <c r="M100" s="586"/>
      <c r="N100" s="350"/>
      <c r="O100" s="350"/>
      <c r="P100" s="350"/>
      <c r="Q100" s="164"/>
      <c r="R100" s="164"/>
      <c r="S100" s="164"/>
      <c r="T100" s="164"/>
      <c r="V100" s="98"/>
      <c r="W100" s="98"/>
      <c r="X100" s="98"/>
      <c r="Y100" s="669"/>
      <c r="Z100" s="669"/>
      <c r="AA100" s="669"/>
      <c r="AB100" s="669"/>
      <c r="AC100" s="669"/>
      <c r="AD100" s="669"/>
      <c r="AE100" s="669"/>
      <c r="AF100" s="669"/>
      <c r="AG100" s="669"/>
      <c r="AH100" s="669"/>
      <c r="AI100" s="669"/>
      <c r="AJ100" s="669"/>
      <c r="AK100" s="669"/>
      <c r="AL100" s="669"/>
      <c r="AM100" s="669"/>
      <c r="AN100" s="669"/>
      <c r="AO100" s="669"/>
      <c r="AP100" s="669"/>
      <c r="AQ100" s="669"/>
      <c r="AR100" s="669"/>
      <c r="AS100" s="669"/>
      <c r="AT100" s="669"/>
      <c r="AU100" s="669"/>
    </row>
    <row r="101" spans="1:47" s="688" customFormat="1" outlineLevel="1" x14ac:dyDescent="0.2">
      <c r="A101" s="586"/>
      <c r="B101" s="586"/>
      <c r="C101" s="586"/>
      <c r="D101" s="183"/>
      <c r="E101" s="183"/>
      <c r="F101" s="586"/>
      <c r="G101" s="586"/>
      <c r="H101" s="586"/>
      <c r="I101" s="586"/>
      <c r="J101" s="586"/>
      <c r="K101" s="586"/>
      <c r="L101" s="586"/>
      <c r="M101" s="586"/>
      <c r="N101" s="350"/>
      <c r="O101" s="350"/>
      <c r="P101" s="350"/>
      <c r="Q101" s="164"/>
      <c r="R101" s="164"/>
      <c r="S101" s="164"/>
      <c r="T101" s="164"/>
      <c r="V101" s="98"/>
      <c r="W101" s="98"/>
      <c r="X101" s="98"/>
      <c r="Y101" s="669"/>
      <c r="Z101" s="669"/>
      <c r="AA101" s="669"/>
      <c r="AB101" s="669"/>
      <c r="AC101" s="669"/>
      <c r="AD101" s="669"/>
      <c r="AE101" s="669"/>
      <c r="AF101" s="669"/>
      <c r="AG101" s="669"/>
      <c r="AH101" s="669"/>
      <c r="AI101" s="669"/>
      <c r="AJ101" s="669"/>
      <c r="AK101" s="669"/>
      <c r="AL101" s="669"/>
      <c r="AM101" s="669"/>
      <c r="AN101" s="669"/>
      <c r="AO101" s="669"/>
      <c r="AP101" s="669"/>
      <c r="AQ101" s="669"/>
      <c r="AR101" s="669"/>
      <c r="AS101" s="669"/>
      <c r="AT101" s="669"/>
      <c r="AU101" s="669"/>
    </row>
    <row r="102" spans="1:47" ht="15.75" outlineLevel="1" x14ac:dyDescent="0.2">
      <c r="A102" s="586"/>
      <c r="B102" s="586"/>
      <c r="C102" s="352">
        <v>3</v>
      </c>
      <c r="D102" s="110" t="str">
        <f>INDEX(MBSNamesNew,C102)</f>
        <v>** NOT USED **</v>
      </c>
      <c r="E102" s="110"/>
      <c r="F102" s="154"/>
      <c r="G102" s="154"/>
      <c r="H102" s="154"/>
      <c r="I102" s="154"/>
      <c r="J102" s="782" t="str">
        <f>IF(D102&lt;&gt;MsgNotUsed,"Co-payment group " &amp; K40,"")</f>
        <v/>
      </c>
      <c r="K102" s="782"/>
      <c r="L102" s="154"/>
      <c r="M102" s="154"/>
      <c r="N102" s="154"/>
      <c r="O102" s="154"/>
      <c r="P102" s="154"/>
      <c r="Q102" s="154"/>
      <c r="R102" s="154"/>
      <c r="S102" s="154"/>
      <c r="T102" s="154"/>
      <c r="V102" s="98"/>
      <c r="W102" s="98"/>
      <c r="X102" s="98"/>
      <c r="Y102" s="669"/>
      <c r="Z102" s="669"/>
      <c r="AA102" s="669"/>
      <c r="AB102" s="669"/>
      <c r="AC102" s="669"/>
      <c r="AD102" s="669"/>
      <c r="AE102" s="669"/>
      <c r="AF102" s="669"/>
      <c r="AG102" s="669"/>
      <c r="AH102" s="669"/>
      <c r="AI102" s="669"/>
      <c r="AJ102" s="669"/>
      <c r="AK102" s="669"/>
      <c r="AL102" s="669"/>
      <c r="AM102" s="669"/>
      <c r="AN102" s="669"/>
      <c r="AO102" s="669"/>
      <c r="AP102" s="669"/>
      <c r="AQ102" s="669"/>
      <c r="AR102" s="669"/>
      <c r="AS102" s="669"/>
      <c r="AT102" s="669"/>
      <c r="AU102" s="669"/>
    </row>
    <row r="103" spans="1:47" s="688" customFormat="1" outlineLevel="2" x14ac:dyDescent="0.2">
      <c r="A103" s="586"/>
      <c r="B103" s="586"/>
      <c r="C103" s="586"/>
      <c r="D103" s="668"/>
      <c r="E103" s="668"/>
      <c r="F103" s="691">
        <v>2</v>
      </c>
      <c r="G103" s="691">
        <v>3</v>
      </c>
      <c r="H103" s="691">
        <v>4</v>
      </c>
      <c r="I103" s="691">
        <v>5</v>
      </c>
      <c r="J103" s="691">
        <v>6</v>
      </c>
      <c r="K103" s="691">
        <v>7</v>
      </c>
      <c r="L103" s="691"/>
      <c r="M103" s="668"/>
      <c r="N103" s="668"/>
      <c r="O103" s="668"/>
      <c r="P103" s="668"/>
      <c r="Q103" s="668"/>
      <c r="R103" s="668"/>
      <c r="S103" s="668"/>
      <c r="T103" s="668"/>
      <c r="V103" s="98"/>
      <c r="W103" s="98"/>
      <c r="X103" s="98"/>
      <c r="Y103" s="669"/>
      <c r="Z103" s="669"/>
      <c r="AA103" s="669"/>
      <c r="AB103" s="669"/>
      <c r="AC103" s="669"/>
      <c r="AD103" s="669"/>
      <c r="AE103" s="669"/>
      <c r="AF103" s="669"/>
      <c r="AG103" s="669"/>
      <c r="AH103" s="669"/>
      <c r="AI103" s="669"/>
      <c r="AJ103" s="669"/>
      <c r="AK103" s="669"/>
      <c r="AL103" s="669"/>
      <c r="AM103" s="669"/>
      <c r="AN103" s="669"/>
      <c r="AO103" s="669"/>
      <c r="AP103" s="669"/>
      <c r="AQ103" s="669"/>
      <c r="AR103" s="669"/>
      <c r="AS103" s="669"/>
      <c r="AT103" s="669"/>
      <c r="AU103" s="669"/>
    </row>
    <row r="104" spans="1:47" ht="15" outlineLevel="2" x14ac:dyDescent="0.2">
      <c r="A104" s="586"/>
      <c r="B104" s="586"/>
      <c r="C104" s="586"/>
      <c r="D104" s="681" t="s">
        <v>0</v>
      </c>
      <c r="E104" s="681"/>
      <c r="F104" s="671">
        <f>FirstYear</f>
        <v>0</v>
      </c>
      <c r="G104" s="671">
        <f>F104+1</f>
        <v>1</v>
      </c>
      <c r="H104" s="671">
        <f>G104+1</f>
        <v>2</v>
      </c>
      <c r="I104" s="671">
        <f>H104+1</f>
        <v>3</v>
      </c>
      <c r="J104" s="671">
        <f>I104+1</f>
        <v>4</v>
      </c>
      <c r="K104" s="671">
        <f>J104+1</f>
        <v>5</v>
      </c>
      <c r="M104" s="149"/>
      <c r="N104" s="692"/>
      <c r="O104" s="692"/>
      <c r="P104" s="692"/>
      <c r="Q104" s="99"/>
      <c r="R104" s="99"/>
      <c r="S104" s="99"/>
      <c r="T104" s="99"/>
      <c r="V104" s="99"/>
      <c r="W104" s="99"/>
      <c r="X104" s="99"/>
      <c r="Y104" s="669"/>
      <c r="Z104" s="669"/>
      <c r="AA104" s="669"/>
      <c r="AB104" s="669"/>
      <c r="AC104" s="669"/>
      <c r="AD104" s="669"/>
      <c r="AE104" s="669"/>
      <c r="AF104" s="669"/>
      <c r="AG104" s="669"/>
      <c r="AH104" s="669"/>
      <c r="AI104" s="669"/>
      <c r="AJ104" s="669"/>
      <c r="AK104" s="669"/>
      <c r="AL104" s="669"/>
      <c r="AM104" s="669"/>
      <c r="AN104" s="669"/>
      <c r="AO104" s="669"/>
      <c r="AP104" s="669"/>
      <c r="AQ104" s="669"/>
      <c r="AR104" s="669"/>
      <c r="AS104" s="669"/>
      <c r="AT104" s="669"/>
      <c r="AU104" s="669"/>
    </row>
    <row r="105" spans="1:47" outlineLevel="2" x14ac:dyDescent="0.2">
      <c r="A105" s="586"/>
      <c r="B105" s="586"/>
      <c r="C105" s="586"/>
      <c r="D105" s="586"/>
      <c r="E105" s="590" t="s">
        <v>269</v>
      </c>
      <c r="F105" s="397">
        <f t="shared" ref="F105:K105" si="57">F106*$P40</f>
        <v>0</v>
      </c>
      <c r="G105" s="397">
        <f t="shared" si="57"/>
        <v>0</v>
      </c>
      <c r="H105" s="397">
        <f t="shared" si="57"/>
        <v>0</v>
      </c>
      <c r="I105" s="397">
        <f t="shared" si="57"/>
        <v>0</v>
      </c>
      <c r="J105" s="397">
        <f t="shared" si="57"/>
        <v>0</v>
      </c>
      <c r="K105" s="397">
        <f t="shared" si="57"/>
        <v>0</v>
      </c>
      <c r="M105" s="149"/>
      <c r="N105" s="692"/>
      <c r="O105" s="692"/>
      <c r="P105" s="692"/>
      <c r="Q105" s="99"/>
      <c r="R105" s="99"/>
      <c r="S105" s="99"/>
      <c r="T105" s="99"/>
      <c r="V105" s="97">
        <f>FirstYear</f>
        <v>0</v>
      </c>
      <c r="W105" s="96">
        <f>IF(F106&lt;&gt;0,F106-F109,0)</f>
        <v>0</v>
      </c>
      <c r="X105" s="99"/>
      <c r="Y105" s="669"/>
      <c r="Z105" s="669"/>
      <c r="AA105" s="669"/>
      <c r="AB105" s="669"/>
      <c r="AC105" s="669"/>
      <c r="AD105" s="669"/>
      <c r="AE105" s="669"/>
      <c r="AF105" s="669"/>
      <c r="AG105" s="669"/>
      <c r="AH105" s="669"/>
      <c r="AI105" s="669"/>
      <c r="AJ105" s="669"/>
      <c r="AK105" s="669"/>
      <c r="AL105" s="669"/>
      <c r="AM105" s="669"/>
      <c r="AN105" s="669"/>
      <c r="AO105" s="669"/>
      <c r="AP105" s="669"/>
      <c r="AQ105" s="669"/>
      <c r="AR105" s="669"/>
      <c r="AS105" s="669"/>
      <c r="AT105" s="669"/>
      <c r="AU105" s="669"/>
    </row>
    <row r="106" spans="1:47" ht="14.25" outlineLevel="2" x14ac:dyDescent="0.2">
      <c r="A106" s="586"/>
      <c r="B106" s="586"/>
      <c r="C106" s="352" t="str">
        <f>W55</f>
        <v/>
      </c>
      <c r="D106" s="586"/>
      <c r="E106" s="85" t="s">
        <v>80</v>
      </c>
      <c r="F106" s="86">
        <f t="shared" ref="F106:K106" si="58">IF($W$40=2,$N$40*IF($C106&lt;&gt;"",INDEX(PBSScriptsNew,$C106,F103),0),IF($Y40&lt;&gt;0,$M$40*INDEX(MBSPBSInc,$C102,($Y40-1)*7+F103),0))*$V$40</f>
        <v>0</v>
      </c>
      <c r="G106" s="86">
        <f t="shared" si="58"/>
        <v>0</v>
      </c>
      <c r="H106" s="86">
        <f t="shared" si="58"/>
        <v>0</v>
      </c>
      <c r="I106" s="86">
        <f t="shared" si="58"/>
        <v>0</v>
      </c>
      <c r="J106" s="86">
        <f t="shared" si="58"/>
        <v>0</v>
      </c>
      <c r="K106" s="86">
        <f t="shared" si="58"/>
        <v>0</v>
      </c>
      <c r="M106" s="701"/>
      <c r="N106" s="684"/>
      <c r="O106" s="684"/>
      <c r="P106" s="684"/>
      <c r="Q106" s="694"/>
      <c r="R106" s="694"/>
      <c r="S106" s="694"/>
      <c r="T106" s="694"/>
      <c r="V106" s="97">
        <f>V105+1</f>
        <v>1</v>
      </c>
      <c r="W106" s="96">
        <f>IF(G106&lt;&gt;0,G106-G109,0)</f>
        <v>0</v>
      </c>
      <c r="X106" s="695"/>
      <c r="Y106" s="669"/>
      <c r="Z106" s="669"/>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69"/>
    </row>
    <row r="107" spans="1:47" outlineLevel="2" x14ac:dyDescent="0.2">
      <c r="A107" s="586"/>
      <c r="B107" s="352">
        <v>5</v>
      </c>
      <c r="C107" s="352">
        <v>6</v>
      </c>
      <c r="D107" s="586"/>
      <c r="E107" s="696" t="s">
        <v>146</v>
      </c>
      <c r="F107" s="86" t="str">
        <f t="shared" ref="F107:K110" si="59">IF(INDEX(MBSItemsInc,$C$102,1)&lt;&gt;"",F$106*INDEX(MBSItemsInc,$C$102,$B107)*INDEX(MBSItemsInc,$C$102,$C107),"")</f>
        <v/>
      </c>
      <c r="G107" s="86" t="str">
        <f t="shared" si="59"/>
        <v/>
      </c>
      <c r="H107" s="86" t="str">
        <f t="shared" si="59"/>
        <v/>
      </c>
      <c r="I107" s="86" t="str">
        <f t="shared" si="59"/>
        <v/>
      </c>
      <c r="J107" s="86" t="str">
        <f t="shared" si="59"/>
        <v/>
      </c>
      <c r="K107" s="86" t="str">
        <f t="shared" si="59"/>
        <v/>
      </c>
      <c r="M107" s="149"/>
      <c r="N107" s="697"/>
      <c r="O107" s="697"/>
      <c r="P107" s="697"/>
      <c r="Q107" s="694"/>
      <c r="R107" s="694"/>
      <c r="S107" s="694"/>
      <c r="T107" s="694"/>
      <c r="V107" s="97">
        <f>V106+1</f>
        <v>2</v>
      </c>
      <c r="W107" s="96">
        <f>IF(H106&lt;&gt;0,H106-H109,0)</f>
        <v>0</v>
      </c>
      <c r="X107" s="695"/>
      <c r="Y107" s="669"/>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69"/>
    </row>
    <row r="108" spans="1:47" outlineLevel="2" x14ac:dyDescent="0.2">
      <c r="A108" s="586"/>
      <c r="B108" s="352">
        <v>5</v>
      </c>
      <c r="C108" s="352">
        <v>7</v>
      </c>
      <c r="D108" s="586"/>
      <c r="E108" s="696" t="s">
        <v>147</v>
      </c>
      <c r="F108" s="86" t="str">
        <f t="shared" si="59"/>
        <v/>
      </c>
      <c r="G108" s="86" t="str">
        <f t="shared" si="59"/>
        <v/>
      </c>
      <c r="H108" s="86" t="str">
        <f t="shared" si="59"/>
        <v/>
      </c>
      <c r="I108" s="86" t="str">
        <f t="shared" si="59"/>
        <v/>
      </c>
      <c r="J108" s="86" t="str">
        <f t="shared" si="59"/>
        <v/>
      </c>
      <c r="K108" s="86" t="str">
        <f t="shared" si="59"/>
        <v/>
      </c>
      <c r="M108" s="149"/>
      <c r="N108" s="697"/>
      <c r="O108" s="697"/>
      <c r="P108" s="697"/>
      <c r="Q108" s="694"/>
      <c r="R108" s="694"/>
      <c r="S108" s="694"/>
      <c r="T108" s="694"/>
      <c r="V108" s="97">
        <f>V107+1</f>
        <v>3</v>
      </c>
      <c r="W108" s="96">
        <f>IF(I106&lt;&gt;0,I106-I109,0)</f>
        <v>0</v>
      </c>
      <c r="X108" s="695"/>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row>
    <row r="109" spans="1:47" outlineLevel="2" x14ac:dyDescent="0.2">
      <c r="A109" s="586"/>
      <c r="B109" s="352">
        <v>4</v>
      </c>
      <c r="C109" s="352">
        <v>6</v>
      </c>
      <c r="D109" s="586"/>
      <c r="E109" s="696" t="s">
        <v>148</v>
      </c>
      <c r="F109" s="86" t="str">
        <f t="shared" si="59"/>
        <v/>
      </c>
      <c r="G109" s="86" t="str">
        <f t="shared" si="59"/>
        <v/>
      </c>
      <c r="H109" s="86" t="str">
        <f t="shared" si="59"/>
        <v/>
      </c>
      <c r="I109" s="86" t="str">
        <f t="shared" si="59"/>
        <v/>
      </c>
      <c r="J109" s="86" t="str">
        <f t="shared" si="59"/>
        <v/>
      </c>
      <c r="K109" s="86" t="str">
        <f t="shared" si="59"/>
        <v/>
      </c>
      <c r="M109" s="149"/>
      <c r="N109" s="697"/>
      <c r="O109" s="697"/>
      <c r="P109" s="697"/>
      <c r="Q109" s="694"/>
      <c r="R109" s="694"/>
      <c r="S109" s="694"/>
      <c r="T109" s="694"/>
      <c r="V109" s="97">
        <f>V108+1</f>
        <v>4</v>
      </c>
      <c r="W109" s="96">
        <f>IF(J106&lt;&gt;0,J106-J109,0)</f>
        <v>0</v>
      </c>
      <c r="X109" s="695"/>
      <c r="Y109" s="669"/>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69"/>
    </row>
    <row r="110" spans="1:47" ht="12.75" customHeight="1" outlineLevel="2" x14ac:dyDescent="0.2">
      <c r="A110" s="586"/>
      <c r="B110" s="352">
        <v>4</v>
      </c>
      <c r="C110" s="352">
        <v>7</v>
      </c>
      <c r="D110" s="586"/>
      <c r="E110" s="698" t="s">
        <v>149</v>
      </c>
      <c r="F110" s="86" t="str">
        <f t="shared" si="59"/>
        <v/>
      </c>
      <c r="G110" s="86" t="str">
        <f t="shared" si="59"/>
        <v/>
      </c>
      <c r="H110" s="86" t="str">
        <f t="shared" si="59"/>
        <v/>
      </c>
      <c r="I110" s="86" t="str">
        <f t="shared" si="59"/>
        <v/>
      </c>
      <c r="J110" s="86" t="str">
        <f t="shared" si="59"/>
        <v/>
      </c>
      <c r="K110" s="86" t="str">
        <f t="shared" si="59"/>
        <v/>
      </c>
      <c r="M110" s="149"/>
      <c r="N110" s="697"/>
      <c r="O110" s="697"/>
      <c r="P110" s="697"/>
      <c r="Q110" s="694"/>
      <c r="R110" s="694"/>
      <c r="S110" s="694"/>
      <c r="T110" s="694"/>
      <c r="V110" s="97">
        <f>V109+1</f>
        <v>5</v>
      </c>
      <c r="W110" s="96">
        <f>IF(K106&lt;&gt;0,K106-K109,0)</f>
        <v>0</v>
      </c>
      <c r="X110" s="695"/>
      <c r="Y110" s="669"/>
      <c r="Z110" s="669"/>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69"/>
    </row>
    <row r="111" spans="1:47" outlineLevel="2" x14ac:dyDescent="0.2">
      <c r="A111" s="586"/>
      <c r="B111" s="586"/>
      <c r="C111" s="586"/>
      <c r="D111" s="586"/>
      <c r="E111" s="586"/>
      <c r="F111" s="586"/>
      <c r="G111" s="586"/>
      <c r="H111" s="586"/>
      <c r="I111" s="586"/>
      <c r="J111" s="586"/>
      <c r="K111" s="586"/>
      <c r="M111" s="586"/>
      <c r="N111" s="164"/>
      <c r="O111" s="164"/>
      <c r="P111" s="164"/>
      <c r="Q111" s="164"/>
      <c r="R111" s="164"/>
      <c r="S111" s="164"/>
      <c r="T111" s="164"/>
      <c r="V111" s="98"/>
      <c r="W111" s="98"/>
      <c r="X111" s="98"/>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row>
    <row r="112" spans="1:47" ht="15" outlineLevel="2" x14ac:dyDescent="0.2">
      <c r="A112" s="586"/>
      <c r="B112" s="586"/>
      <c r="C112" s="586"/>
      <c r="D112" s="681" t="s">
        <v>1</v>
      </c>
      <c r="E112" s="681"/>
      <c r="F112" s="671">
        <f>FirstYear</f>
        <v>0</v>
      </c>
      <c r="G112" s="671">
        <f>F112+1</f>
        <v>1</v>
      </c>
      <c r="H112" s="671">
        <f>G112+1</f>
        <v>2</v>
      </c>
      <c r="I112" s="671">
        <f>H112+1</f>
        <v>3</v>
      </c>
      <c r="J112" s="671">
        <f>I112+1</f>
        <v>4</v>
      </c>
      <c r="K112" s="671">
        <f>J112+1</f>
        <v>5</v>
      </c>
      <c r="M112" s="586"/>
      <c r="N112" s="164"/>
      <c r="O112" s="164"/>
      <c r="P112" s="164"/>
      <c r="Q112" s="164"/>
      <c r="R112" s="164"/>
      <c r="S112" s="164"/>
      <c r="T112" s="164"/>
      <c r="V112" s="98"/>
      <c r="W112" s="98"/>
      <c r="X112" s="98"/>
      <c r="Y112" s="669"/>
      <c r="Z112" s="669"/>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69"/>
    </row>
    <row r="113" spans="1:47" outlineLevel="2" x14ac:dyDescent="0.2">
      <c r="A113" s="586"/>
      <c r="B113" s="586"/>
      <c r="C113" s="586"/>
      <c r="D113" s="586"/>
      <c r="E113" s="590" t="s">
        <v>269</v>
      </c>
      <c r="F113" s="397">
        <f t="shared" ref="F113:K113" si="60">F114*$P40</f>
        <v>0</v>
      </c>
      <c r="G113" s="397">
        <f t="shared" si="60"/>
        <v>0</v>
      </c>
      <c r="H113" s="397">
        <f t="shared" si="60"/>
        <v>0</v>
      </c>
      <c r="I113" s="397">
        <f t="shared" si="60"/>
        <v>0</v>
      </c>
      <c r="J113" s="397">
        <f t="shared" si="60"/>
        <v>0</v>
      </c>
      <c r="K113" s="397">
        <f t="shared" si="60"/>
        <v>0</v>
      </c>
      <c r="M113" s="586"/>
      <c r="N113" s="164"/>
      <c r="O113" s="164"/>
      <c r="P113" s="164"/>
      <c r="Q113" s="164"/>
      <c r="R113" s="164"/>
      <c r="S113" s="164"/>
      <c r="T113" s="164"/>
      <c r="V113" s="98"/>
      <c r="W113" s="98"/>
      <c r="X113" s="98"/>
      <c r="Y113" s="669"/>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69"/>
    </row>
    <row r="114" spans="1:47" outlineLevel="2" x14ac:dyDescent="0.2">
      <c r="A114" s="586"/>
      <c r="B114" s="586"/>
      <c r="C114" s="352" t="str">
        <f>W55</f>
        <v/>
      </c>
      <c r="D114" s="586"/>
      <c r="E114" s="85" t="s">
        <v>80</v>
      </c>
      <c r="F114" s="86">
        <f t="shared" ref="F114:K114" si="61">IF($W$40=2,$N$40*IF($C114&lt;&gt;"",INDEX(RPBSScriptsNew,$C114,F103),0),IF($Y40&lt;&gt;0,$M$40*INDEX(MBSRPBSInc,$C102,($Y40-1)*7+F103),0))*$V$40</f>
        <v>0</v>
      </c>
      <c r="G114" s="86">
        <f t="shared" si="61"/>
        <v>0</v>
      </c>
      <c r="H114" s="86">
        <f t="shared" si="61"/>
        <v>0</v>
      </c>
      <c r="I114" s="86">
        <f t="shared" si="61"/>
        <v>0</v>
      </c>
      <c r="J114" s="86">
        <f t="shared" si="61"/>
        <v>0</v>
      </c>
      <c r="K114" s="86">
        <f t="shared" si="61"/>
        <v>0</v>
      </c>
      <c r="M114" s="586"/>
      <c r="N114" s="164"/>
      <c r="O114" s="164"/>
      <c r="P114" s="164"/>
      <c r="Q114" s="164"/>
      <c r="R114" s="164"/>
      <c r="S114" s="164"/>
      <c r="T114" s="164"/>
      <c r="V114" s="98"/>
      <c r="W114" s="98"/>
      <c r="X114" s="98"/>
      <c r="Y114" s="669"/>
      <c r="Z114" s="669"/>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69"/>
    </row>
    <row r="115" spans="1:47" outlineLevel="2" x14ac:dyDescent="0.2">
      <c r="A115" s="586"/>
      <c r="B115" s="352">
        <v>5</v>
      </c>
      <c r="C115" s="352">
        <v>6</v>
      </c>
      <c r="D115" s="586"/>
      <c r="E115" s="696" t="s">
        <v>146</v>
      </c>
      <c r="F115" s="86" t="str">
        <f t="shared" ref="F115:K118" si="62">IF(INDEX(MBSItemsInc,$C$102,1)&lt;&gt;"",F$114*INDEX(MBSItemsInc,$C$102,$B115)*INDEX(MBSItemsInc,$C$102,$C115),"")</f>
        <v/>
      </c>
      <c r="G115" s="86" t="str">
        <f t="shared" si="62"/>
        <v/>
      </c>
      <c r="H115" s="86" t="str">
        <f t="shared" si="62"/>
        <v/>
      </c>
      <c r="I115" s="86" t="str">
        <f t="shared" si="62"/>
        <v/>
      </c>
      <c r="J115" s="86" t="str">
        <f t="shared" si="62"/>
        <v/>
      </c>
      <c r="K115" s="86" t="str">
        <f t="shared" si="62"/>
        <v/>
      </c>
      <c r="M115" s="586"/>
      <c r="N115" s="164"/>
      <c r="O115" s="164"/>
      <c r="P115" s="164"/>
      <c r="Q115" s="164"/>
      <c r="R115" s="164"/>
      <c r="S115" s="164"/>
      <c r="T115" s="164"/>
      <c r="V115" s="98"/>
      <c r="W115" s="98"/>
      <c r="X115" s="98"/>
      <c r="Y115" s="669"/>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69"/>
    </row>
    <row r="116" spans="1:47" outlineLevel="2" x14ac:dyDescent="0.2">
      <c r="A116" s="586"/>
      <c r="B116" s="352">
        <v>5</v>
      </c>
      <c r="C116" s="352">
        <v>7</v>
      </c>
      <c r="D116" s="586"/>
      <c r="E116" s="696" t="s">
        <v>147</v>
      </c>
      <c r="F116" s="86" t="str">
        <f t="shared" si="62"/>
        <v/>
      </c>
      <c r="G116" s="86" t="str">
        <f t="shared" si="62"/>
        <v/>
      </c>
      <c r="H116" s="86" t="str">
        <f t="shared" si="62"/>
        <v/>
      </c>
      <c r="I116" s="86" t="str">
        <f t="shared" si="62"/>
        <v/>
      </c>
      <c r="J116" s="86" t="str">
        <f t="shared" si="62"/>
        <v/>
      </c>
      <c r="K116" s="86" t="str">
        <f t="shared" si="62"/>
        <v/>
      </c>
      <c r="M116" s="586"/>
      <c r="N116" s="164"/>
      <c r="O116" s="164"/>
      <c r="P116" s="164"/>
      <c r="Q116" s="164"/>
      <c r="R116" s="164"/>
      <c r="S116" s="164"/>
      <c r="T116" s="164"/>
      <c r="V116" s="98"/>
      <c r="W116" s="98"/>
      <c r="X116" s="98"/>
      <c r="Y116" s="669"/>
      <c r="Z116" s="669"/>
      <c r="AA116" s="669"/>
      <c r="AB116" s="669"/>
      <c r="AC116" s="669"/>
      <c r="AD116" s="669"/>
      <c r="AE116" s="669"/>
      <c r="AF116" s="669"/>
      <c r="AG116" s="669"/>
      <c r="AH116" s="669"/>
      <c r="AI116" s="669"/>
      <c r="AJ116" s="669"/>
      <c r="AK116" s="669"/>
      <c r="AL116" s="669"/>
      <c r="AM116" s="669"/>
      <c r="AN116" s="669"/>
      <c r="AO116" s="669"/>
      <c r="AP116" s="669"/>
      <c r="AQ116" s="669"/>
      <c r="AR116" s="669"/>
      <c r="AS116" s="669"/>
      <c r="AT116" s="669"/>
      <c r="AU116" s="669"/>
    </row>
    <row r="117" spans="1:47" outlineLevel="2" x14ac:dyDescent="0.2">
      <c r="A117" s="586"/>
      <c r="B117" s="352">
        <v>4</v>
      </c>
      <c r="C117" s="352">
        <v>6</v>
      </c>
      <c r="D117" s="586"/>
      <c r="E117" s="696" t="s">
        <v>148</v>
      </c>
      <c r="F117" s="86" t="str">
        <f t="shared" si="62"/>
        <v/>
      </c>
      <c r="G117" s="86" t="str">
        <f t="shared" si="62"/>
        <v/>
      </c>
      <c r="H117" s="86" t="str">
        <f t="shared" si="62"/>
        <v/>
      </c>
      <c r="I117" s="86" t="str">
        <f t="shared" si="62"/>
        <v/>
      </c>
      <c r="J117" s="86" t="str">
        <f t="shared" si="62"/>
        <v/>
      </c>
      <c r="K117" s="86" t="str">
        <f t="shared" si="62"/>
        <v/>
      </c>
      <c r="M117" s="586"/>
      <c r="N117" s="164"/>
      <c r="O117" s="164"/>
      <c r="P117" s="164"/>
      <c r="Q117" s="164"/>
      <c r="R117" s="164"/>
      <c r="S117" s="164"/>
      <c r="T117" s="164"/>
      <c r="V117" s="98"/>
      <c r="W117" s="98"/>
      <c r="X117" s="98"/>
      <c r="Y117" s="669"/>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69"/>
    </row>
    <row r="118" spans="1:47" outlineLevel="2" x14ac:dyDescent="0.2">
      <c r="A118" s="586"/>
      <c r="B118" s="352">
        <v>4</v>
      </c>
      <c r="C118" s="352">
        <v>7</v>
      </c>
      <c r="D118" s="586"/>
      <c r="E118" s="698" t="s">
        <v>149</v>
      </c>
      <c r="F118" s="86" t="str">
        <f t="shared" si="62"/>
        <v/>
      </c>
      <c r="G118" s="86" t="str">
        <f t="shared" si="62"/>
        <v/>
      </c>
      <c r="H118" s="86" t="str">
        <f t="shared" si="62"/>
        <v/>
      </c>
      <c r="I118" s="86" t="str">
        <f t="shared" si="62"/>
        <v/>
      </c>
      <c r="J118" s="86" t="str">
        <f t="shared" si="62"/>
        <v/>
      </c>
      <c r="K118" s="86" t="str">
        <f t="shared" si="62"/>
        <v/>
      </c>
      <c r="M118" s="586"/>
      <c r="N118" s="164"/>
      <c r="O118" s="164"/>
      <c r="P118" s="164"/>
      <c r="Q118" s="164"/>
      <c r="R118" s="164"/>
      <c r="S118" s="164"/>
      <c r="T118" s="164"/>
      <c r="V118" s="98"/>
      <c r="W118" s="98"/>
      <c r="X118" s="98"/>
      <c r="Y118" s="669"/>
      <c r="Z118" s="669"/>
      <c r="AA118" s="669"/>
      <c r="AB118" s="669"/>
      <c r="AC118" s="669"/>
      <c r="AD118" s="669"/>
      <c r="AE118" s="669"/>
      <c r="AF118" s="669"/>
      <c r="AG118" s="669"/>
      <c r="AH118" s="669"/>
      <c r="AI118" s="669"/>
      <c r="AJ118" s="669"/>
      <c r="AK118" s="669"/>
      <c r="AL118" s="669"/>
      <c r="AM118" s="669"/>
      <c r="AN118" s="669"/>
      <c r="AO118" s="669"/>
      <c r="AP118" s="669"/>
      <c r="AQ118" s="669"/>
      <c r="AR118" s="669"/>
      <c r="AS118" s="669"/>
      <c r="AT118" s="669"/>
      <c r="AU118" s="669"/>
    </row>
    <row r="119" spans="1:47" outlineLevel="1" x14ac:dyDescent="0.2">
      <c r="A119" s="586"/>
      <c r="B119" s="586"/>
      <c r="C119" s="586"/>
      <c r="D119" s="586"/>
      <c r="E119" s="586"/>
      <c r="F119" s="586"/>
      <c r="G119" s="586"/>
      <c r="H119" s="586"/>
      <c r="I119" s="586"/>
      <c r="J119" s="586"/>
      <c r="K119" s="586"/>
      <c r="L119" s="586"/>
      <c r="M119" s="586"/>
      <c r="N119" s="164"/>
      <c r="O119" s="164"/>
      <c r="P119" s="164"/>
      <c r="Q119" s="164"/>
      <c r="R119" s="164"/>
      <c r="S119" s="164"/>
      <c r="T119" s="164"/>
      <c r="V119" s="98"/>
      <c r="W119" s="98"/>
      <c r="X119" s="98"/>
      <c r="Y119" s="669"/>
      <c r="Z119" s="669"/>
      <c r="AA119" s="669"/>
      <c r="AB119" s="669"/>
      <c r="AC119" s="669"/>
      <c r="AD119" s="669"/>
      <c r="AE119" s="669"/>
      <c r="AF119" s="669"/>
      <c r="AG119" s="669"/>
      <c r="AH119" s="669"/>
      <c r="AI119" s="669"/>
      <c r="AJ119" s="669"/>
      <c r="AK119" s="669"/>
      <c r="AL119" s="669"/>
      <c r="AM119" s="669"/>
      <c r="AN119" s="669"/>
      <c r="AO119" s="669"/>
      <c r="AP119" s="669"/>
      <c r="AQ119" s="669"/>
      <c r="AR119" s="669"/>
      <c r="AS119" s="669"/>
      <c r="AT119" s="669"/>
      <c r="AU119" s="669"/>
    </row>
    <row r="120" spans="1:47" ht="15.75" outlineLevel="1" x14ac:dyDescent="0.2">
      <c r="A120" s="586"/>
      <c r="B120" s="586"/>
      <c r="C120" s="352">
        <v>4</v>
      </c>
      <c r="D120" s="110" t="str">
        <f>INDEX(MBSNamesNew,C120)</f>
        <v>** NOT USED **</v>
      </c>
      <c r="E120" s="110"/>
      <c r="F120" s="154"/>
      <c r="G120" s="154"/>
      <c r="H120" s="154"/>
      <c r="I120" s="154"/>
      <c r="J120" s="782" t="str">
        <f>IF(D120&lt;&gt;MsgNotUsed,"Co-payment group " &amp; K41,"")</f>
        <v/>
      </c>
      <c r="K120" s="782"/>
      <c r="L120" s="154"/>
      <c r="M120" s="154"/>
      <c r="N120" s="154"/>
      <c r="O120" s="154"/>
      <c r="P120" s="154"/>
      <c r="Q120" s="154"/>
      <c r="R120" s="154"/>
      <c r="S120" s="154"/>
      <c r="T120" s="154"/>
      <c r="V120" s="98"/>
      <c r="W120" s="98"/>
      <c r="X120" s="98"/>
      <c r="Y120" s="669"/>
      <c r="Z120" s="669"/>
      <c r="AA120" s="669"/>
      <c r="AB120" s="669"/>
      <c r="AC120" s="669"/>
      <c r="AD120" s="669"/>
      <c r="AE120" s="669"/>
      <c r="AF120" s="669"/>
      <c r="AG120" s="669"/>
      <c r="AH120" s="669"/>
      <c r="AI120" s="669"/>
      <c r="AJ120" s="669"/>
      <c r="AK120" s="669"/>
      <c r="AL120" s="669"/>
      <c r="AM120" s="669"/>
      <c r="AN120" s="669"/>
      <c r="AO120" s="669"/>
      <c r="AP120" s="669"/>
      <c r="AQ120" s="669"/>
      <c r="AR120" s="669"/>
      <c r="AS120" s="669"/>
      <c r="AT120" s="669"/>
      <c r="AU120" s="669"/>
    </row>
    <row r="121" spans="1:47" outlineLevel="2" x14ac:dyDescent="0.2">
      <c r="A121" s="586"/>
      <c r="B121" s="586"/>
      <c r="C121" s="586"/>
      <c r="D121" s="674"/>
      <c r="E121" s="674"/>
      <c r="F121" s="691">
        <v>2</v>
      </c>
      <c r="G121" s="691">
        <v>3</v>
      </c>
      <c r="H121" s="691">
        <v>4</v>
      </c>
      <c r="I121" s="691">
        <v>5</v>
      </c>
      <c r="J121" s="691">
        <v>6</v>
      </c>
      <c r="K121" s="691">
        <v>7</v>
      </c>
      <c r="L121" s="691"/>
      <c r="M121" s="674"/>
      <c r="N121" s="674"/>
      <c r="O121" s="715"/>
      <c r="P121" s="674"/>
      <c r="Q121" s="674"/>
      <c r="R121" s="674"/>
      <c r="S121" s="674"/>
      <c r="T121" s="674"/>
      <c r="V121" s="98"/>
      <c r="W121" s="98"/>
      <c r="X121" s="98"/>
      <c r="Y121" s="669"/>
      <c r="Z121" s="669"/>
      <c r="AA121" s="669"/>
      <c r="AB121" s="669"/>
      <c r="AC121" s="669"/>
      <c r="AD121" s="669"/>
      <c r="AE121" s="669"/>
      <c r="AF121" s="669"/>
      <c r="AG121" s="669"/>
      <c r="AH121" s="669"/>
      <c r="AI121" s="669"/>
      <c r="AJ121" s="669"/>
      <c r="AK121" s="669"/>
      <c r="AL121" s="669"/>
      <c r="AM121" s="669"/>
      <c r="AN121" s="669"/>
      <c r="AO121" s="669"/>
      <c r="AP121" s="669"/>
      <c r="AQ121" s="669"/>
      <c r="AR121" s="669"/>
      <c r="AS121" s="669"/>
      <c r="AT121" s="669"/>
      <c r="AU121" s="669"/>
    </row>
    <row r="122" spans="1:47" ht="15" outlineLevel="2" x14ac:dyDescent="0.2">
      <c r="A122" s="586"/>
      <c r="B122" s="586"/>
      <c r="C122" s="586"/>
      <c r="D122" s="681" t="s">
        <v>0</v>
      </c>
      <c r="E122" s="681"/>
      <c r="F122" s="671">
        <f>FirstYear</f>
        <v>0</v>
      </c>
      <c r="G122" s="671">
        <f>F122+1</f>
        <v>1</v>
      </c>
      <c r="H122" s="671">
        <f>G122+1</f>
        <v>2</v>
      </c>
      <c r="I122" s="671">
        <f>H122+1</f>
        <v>3</v>
      </c>
      <c r="J122" s="671">
        <f>I122+1</f>
        <v>4</v>
      </c>
      <c r="K122" s="671">
        <f>J122+1</f>
        <v>5</v>
      </c>
      <c r="M122" s="149"/>
      <c r="N122" s="692"/>
      <c r="O122" s="692"/>
      <c r="P122" s="692"/>
      <c r="Q122" s="99"/>
      <c r="R122" s="99"/>
      <c r="S122" s="99"/>
      <c r="T122" s="99"/>
      <c r="V122" s="99"/>
      <c r="W122" s="99"/>
      <c r="X122" s="99"/>
      <c r="Y122" s="669"/>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row>
    <row r="123" spans="1:47" outlineLevel="2" x14ac:dyDescent="0.2">
      <c r="A123" s="586"/>
      <c r="B123" s="586"/>
      <c r="C123" s="586"/>
      <c r="D123" s="586"/>
      <c r="E123" s="590" t="s">
        <v>269</v>
      </c>
      <c r="F123" s="397">
        <f t="shared" ref="F123:K123" si="63">F124*$P41</f>
        <v>0</v>
      </c>
      <c r="G123" s="397">
        <f t="shared" si="63"/>
        <v>0</v>
      </c>
      <c r="H123" s="397">
        <f t="shared" si="63"/>
        <v>0</v>
      </c>
      <c r="I123" s="397">
        <f t="shared" si="63"/>
        <v>0</v>
      </c>
      <c r="J123" s="397">
        <f t="shared" si="63"/>
        <v>0</v>
      </c>
      <c r="K123" s="397">
        <f t="shared" si="63"/>
        <v>0</v>
      </c>
      <c r="M123" s="149"/>
      <c r="N123" s="692"/>
      <c r="O123" s="692"/>
      <c r="P123" s="692"/>
      <c r="Q123" s="99"/>
      <c r="R123" s="99"/>
      <c r="S123" s="99"/>
      <c r="T123" s="99"/>
      <c r="V123" s="97">
        <f>FirstYear</f>
        <v>0</v>
      </c>
      <c r="W123" s="96">
        <f>IF(F124&lt;&gt;0,F124-F127,0)</f>
        <v>0</v>
      </c>
      <c r="X123" s="99"/>
      <c r="Y123" s="669"/>
      <c r="Z123" s="669"/>
      <c r="AA123" s="669"/>
      <c r="AB123" s="669"/>
      <c r="AC123" s="669"/>
      <c r="AD123" s="669"/>
      <c r="AE123" s="669"/>
      <c r="AF123" s="669"/>
      <c r="AG123" s="669"/>
      <c r="AH123" s="669"/>
      <c r="AI123" s="669"/>
      <c r="AJ123" s="669"/>
      <c r="AK123" s="669"/>
      <c r="AL123" s="669"/>
      <c r="AM123" s="669"/>
      <c r="AN123" s="669"/>
      <c r="AO123" s="669"/>
      <c r="AP123" s="669"/>
      <c r="AQ123" s="669"/>
      <c r="AR123" s="669"/>
      <c r="AS123" s="669"/>
      <c r="AT123" s="669"/>
      <c r="AU123" s="669"/>
    </row>
    <row r="124" spans="1:47" ht="14.25" outlineLevel="2" x14ac:dyDescent="0.2">
      <c r="A124" s="586"/>
      <c r="B124" s="586"/>
      <c r="C124" s="352" t="str">
        <f>W56</f>
        <v/>
      </c>
      <c r="D124" s="586"/>
      <c r="E124" s="85" t="s">
        <v>80</v>
      </c>
      <c r="F124" s="86">
        <f t="shared" ref="F124:K124" si="64">IF($W$41=2,$N$41*IF($C124&lt;&gt;"",INDEX(PBSScriptsNew,$C124,F121),0),IF($Y41&lt;&gt;0,$M$41*INDEX(MBSPBSInc,$C120,($Y41-1)*7+F121),0))*$V$41</f>
        <v>0</v>
      </c>
      <c r="G124" s="86">
        <f t="shared" si="64"/>
        <v>0</v>
      </c>
      <c r="H124" s="86">
        <f t="shared" si="64"/>
        <v>0</v>
      </c>
      <c r="I124" s="86">
        <f t="shared" si="64"/>
        <v>0</v>
      </c>
      <c r="J124" s="86">
        <f t="shared" si="64"/>
        <v>0</v>
      </c>
      <c r="K124" s="86">
        <f t="shared" si="64"/>
        <v>0</v>
      </c>
      <c r="M124" s="701"/>
      <c r="N124" s="684"/>
      <c r="O124" s="684"/>
      <c r="P124" s="684"/>
      <c r="Q124" s="694"/>
      <c r="R124" s="694"/>
      <c r="S124" s="694"/>
      <c r="T124" s="694"/>
      <c r="V124" s="97">
        <f>V123+1</f>
        <v>1</v>
      </c>
      <c r="W124" s="96">
        <f>IF(G124&lt;&gt;0,G124-G127,0)</f>
        <v>0</v>
      </c>
      <c r="X124" s="695"/>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row>
    <row r="125" spans="1:47" outlineLevel="2" x14ac:dyDescent="0.2">
      <c r="A125" s="586"/>
      <c r="B125" s="352">
        <v>5</v>
      </c>
      <c r="C125" s="352">
        <v>6</v>
      </c>
      <c r="D125" s="586"/>
      <c r="E125" s="696" t="s">
        <v>81</v>
      </c>
      <c r="F125" s="86" t="str">
        <f t="shared" ref="F125:K128" si="65">IF(INDEX(MBSItemsInc,$C$120,1)&lt;&gt;"",F$124*INDEX(MBSItemsInc,$C$120,$B125)*INDEX(MBSItemsInc,$C$120,$C125),"")</f>
        <v/>
      </c>
      <c r="G125" s="86" t="str">
        <f t="shared" si="65"/>
        <v/>
      </c>
      <c r="H125" s="86" t="str">
        <f t="shared" si="65"/>
        <v/>
      </c>
      <c r="I125" s="86" t="str">
        <f t="shared" si="65"/>
        <v/>
      </c>
      <c r="J125" s="86" t="str">
        <f t="shared" si="65"/>
        <v/>
      </c>
      <c r="K125" s="86" t="str">
        <f t="shared" si="65"/>
        <v/>
      </c>
      <c r="M125" s="149"/>
      <c r="N125" s="697"/>
      <c r="O125" s="697"/>
      <c r="P125" s="697"/>
      <c r="Q125" s="694"/>
      <c r="R125" s="694"/>
      <c r="S125" s="694"/>
      <c r="T125" s="694"/>
      <c r="V125" s="97">
        <f>V124+1</f>
        <v>2</v>
      </c>
      <c r="W125" s="96">
        <f>IF(H124&lt;&gt;0,H124-H127,0)</f>
        <v>0</v>
      </c>
      <c r="X125" s="695"/>
      <c r="Y125" s="669"/>
      <c r="Z125" s="669"/>
      <c r="AA125" s="669"/>
      <c r="AB125" s="669"/>
      <c r="AC125" s="669"/>
      <c r="AD125" s="669"/>
      <c r="AE125" s="669"/>
      <c r="AF125" s="669"/>
      <c r="AG125" s="669"/>
      <c r="AH125" s="669"/>
      <c r="AI125" s="669"/>
      <c r="AJ125" s="669"/>
      <c r="AK125" s="669"/>
      <c r="AL125" s="669"/>
      <c r="AM125" s="669"/>
      <c r="AN125" s="669"/>
      <c r="AO125" s="669"/>
      <c r="AP125" s="669"/>
      <c r="AQ125" s="669"/>
      <c r="AR125" s="669"/>
      <c r="AS125" s="669"/>
      <c r="AT125" s="669"/>
      <c r="AU125" s="669"/>
    </row>
    <row r="126" spans="1:47" outlineLevel="2" x14ac:dyDescent="0.2">
      <c r="A126" s="586"/>
      <c r="B126" s="352">
        <v>5</v>
      </c>
      <c r="C126" s="352">
        <v>7</v>
      </c>
      <c r="D126" s="586"/>
      <c r="E126" s="696" t="s">
        <v>82</v>
      </c>
      <c r="F126" s="86" t="str">
        <f t="shared" si="65"/>
        <v/>
      </c>
      <c r="G126" s="86" t="str">
        <f t="shared" si="65"/>
        <v/>
      </c>
      <c r="H126" s="86" t="str">
        <f t="shared" si="65"/>
        <v/>
      </c>
      <c r="I126" s="86" t="str">
        <f t="shared" si="65"/>
        <v/>
      </c>
      <c r="J126" s="86" t="str">
        <f t="shared" si="65"/>
        <v/>
      </c>
      <c r="K126" s="86" t="str">
        <f t="shared" si="65"/>
        <v/>
      </c>
      <c r="M126" s="149"/>
      <c r="N126" s="697"/>
      <c r="O126" s="697"/>
      <c r="P126" s="697"/>
      <c r="Q126" s="694"/>
      <c r="R126" s="694"/>
      <c r="S126" s="694"/>
      <c r="T126" s="694"/>
      <c r="V126" s="97">
        <f>V125+1</f>
        <v>3</v>
      </c>
      <c r="W126" s="96">
        <f>IF(I124&lt;&gt;0,I124-I127,0)</f>
        <v>0</v>
      </c>
      <c r="X126" s="695"/>
      <c r="Y126" s="669"/>
      <c r="Z126" s="669"/>
      <c r="AA126" s="669"/>
      <c r="AB126" s="669"/>
      <c r="AC126" s="669"/>
      <c r="AD126" s="669"/>
      <c r="AE126" s="669"/>
      <c r="AF126" s="669"/>
      <c r="AG126" s="669"/>
      <c r="AH126" s="669"/>
      <c r="AI126" s="669"/>
      <c r="AJ126" s="669"/>
      <c r="AK126" s="669"/>
      <c r="AL126" s="669"/>
      <c r="AM126" s="669"/>
      <c r="AN126" s="669"/>
      <c r="AO126" s="669"/>
      <c r="AP126" s="669"/>
      <c r="AQ126" s="669"/>
      <c r="AR126" s="669"/>
      <c r="AS126" s="669"/>
      <c r="AT126" s="669"/>
      <c r="AU126" s="669"/>
    </row>
    <row r="127" spans="1:47" outlineLevel="2" x14ac:dyDescent="0.2">
      <c r="A127" s="586"/>
      <c r="B127" s="352">
        <v>4</v>
      </c>
      <c r="C127" s="352">
        <v>6</v>
      </c>
      <c r="D127" s="586"/>
      <c r="E127" s="696" t="s">
        <v>83</v>
      </c>
      <c r="F127" s="86" t="str">
        <f t="shared" si="65"/>
        <v/>
      </c>
      <c r="G127" s="86" t="str">
        <f t="shared" si="65"/>
        <v/>
      </c>
      <c r="H127" s="86" t="str">
        <f t="shared" si="65"/>
        <v/>
      </c>
      <c r="I127" s="86" t="str">
        <f t="shared" si="65"/>
        <v/>
      </c>
      <c r="J127" s="86" t="str">
        <f t="shared" si="65"/>
        <v/>
      </c>
      <c r="K127" s="86" t="str">
        <f t="shared" si="65"/>
        <v/>
      </c>
      <c r="M127" s="149"/>
      <c r="N127" s="697"/>
      <c r="O127" s="697"/>
      <c r="P127" s="697"/>
      <c r="Q127" s="694"/>
      <c r="R127" s="694"/>
      <c r="S127" s="694"/>
      <c r="T127" s="694"/>
      <c r="V127" s="97">
        <f>V126+1</f>
        <v>4</v>
      </c>
      <c r="W127" s="96">
        <f>IF(J124&lt;&gt;0,J124-J127,0)</f>
        <v>0</v>
      </c>
      <c r="X127" s="695"/>
      <c r="Y127" s="669"/>
      <c r="Z127" s="669"/>
      <c r="AA127" s="669"/>
      <c r="AB127" s="669"/>
      <c r="AC127" s="669"/>
      <c r="AD127" s="669"/>
      <c r="AE127" s="669"/>
      <c r="AF127" s="669"/>
      <c r="AG127" s="669"/>
      <c r="AH127" s="669"/>
      <c r="AI127" s="669"/>
      <c r="AJ127" s="669"/>
      <c r="AK127" s="669"/>
      <c r="AL127" s="669"/>
      <c r="AM127" s="669"/>
      <c r="AN127" s="669"/>
      <c r="AO127" s="669"/>
      <c r="AP127" s="669"/>
      <c r="AQ127" s="669"/>
      <c r="AR127" s="669"/>
      <c r="AS127" s="669"/>
      <c r="AT127" s="669"/>
      <c r="AU127" s="669"/>
    </row>
    <row r="128" spans="1:47" ht="12.75" customHeight="1" outlineLevel="2" x14ac:dyDescent="0.2">
      <c r="A128" s="586"/>
      <c r="B128" s="352">
        <v>4</v>
      </c>
      <c r="C128" s="352">
        <v>7</v>
      </c>
      <c r="D128" s="586"/>
      <c r="E128" s="698" t="s">
        <v>84</v>
      </c>
      <c r="F128" s="86" t="str">
        <f t="shared" si="65"/>
        <v/>
      </c>
      <c r="G128" s="86" t="str">
        <f t="shared" si="65"/>
        <v/>
      </c>
      <c r="H128" s="86" t="str">
        <f t="shared" si="65"/>
        <v/>
      </c>
      <c r="I128" s="86" t="str">
        <f t="shared" si="65"/>
        <v/>
      </c>
      <c r="J128" s="86" t="str">
        <f t="shared" si="65"/>
        <v/>
      </c>
      <c r="K128" s="86" t="str">
        <f t="shared" si="65"/>
        <v/>
      </c>
      <c r="M128" s="149"/>
      <c r="N128" s="697"/>
      <c r="O128" s="697"/>
      <c r="P128" s="697"/>
      <c r="Q128" s="694"/>
      <c r="R128" s="694"/>
      <c r="S128" s="694"/>
      <c r="T128" s="694"/>
      <c r="V128" s="97">
        <f>V127+1</f>
        <v>5</v>
      </c>
      <c r="W128" s="96">
        <f>IF(K124&lt;&gt;0,K124-K127,0)</f>
        <v>0</v>
      </c>
      <c r="X128" s="695"/>
      <c r="Y128" s="669"/>
      <c r="Z128" s="669"/>
      <c r="AA128" s="669"/>
      <c r="AB128" s="669"/>
      <c r="AC128" s="669"/>
      <c r="AD128" s="669"/>
      <c r="AE128" s="669"/>
      <c r="AF128" s="669"/>
      <c r="AG128" s="669"/>
      <c r="AH128" s="669"/>
      <c r="AI128" s="669"/>
      <c r="AJ128" s="669"/>
      <c r="AK128" s="669"/>
      <c r="AL128" s="669"/>
      <c r="AM128" s="669"/>
      <c r="AN128" s="669"/>
      <c r="AO128" s="669"/>
      <c r="AP128" s="669"/>
      <c r="AQ128" s="669"/>
      <c r="AR128" s="669"/>
      <c r="AS128" s="669"/>
      <c r="AT128" s="669"/>
      <c r="AU128" s="669"/>
    </row>
    <row r="129" spans="1:47" outlineLevel="2" x14ac:dyDescent="0.2">
      <c r="A129" s="586"/>
      <c r="B129" s="586"/>
      <c r="C129" s="586"/>
      <c r="D129" s="586"/>
      <c r="E129" s="586"/>
      <c r="F129" s="586"/>
      <c r="G129" s="586"/>
      <c r="H129" s="586"/>
      <c r="I129" s="586"/>
      <c r="J129" s="586"/>
      <c r="K129" s="586"/>
      <c r="M129" s="586"/>
      <c r="N129" s="164"/>
      <c r="O129" s="164"/>
      <c r="P129" s="164"/>
      <c r="Q129" s="164"/>
      <c r="R129" s="164"/>
      <c r="S129" s="164"/>
      <c r="T129" s="164"/>
      <c r="V129" s="98"/>
      <c r="W129" s="98"/>
      <c r="X129" s="98"/>
      <c r="Y129" s="669"/>
      <c r="Z129" s="669"/>
      <c r="AA129" s="669"/>
      <c r="AB129" s="669"/>
      <c r="AC129" s="669"/>
      <c r="AD129" s="669"/>
      <c r="AE129" s="669"/>
      <c r="AF129" s="669"/>
      <c r="AG129" s="669"/>
      <c r="AH129" s="669"/>
      <c r="AI129" s="669"/>
      <c r="AJ129" s="669"/>
      <c r="AK129" s="669"/>
      <c r="AL129" s="669"/>
      <c r="AM129" s="669"/>
      <c r="AN129" s="669"/>
      <c r="AO129" s="669"/>
      <c r="AP129" s="669"/>
      <c r="AQ129" s="669"/>
      <c r="AR129" s="669"/>
      <c r="AS129" s="669"/>
      <c r="AT129" s="669"/>
      <c r="AU129" s="669"/>
    </row>
    <row r="130" spans="1:47" ht="15" outlineLevel="2" x14ac:dyDescent="0.2">
      <c r="A130" s="586"/>
      <c r="B130" s="586"/>
      <c r="C130" s="586"/>
      <c r="D130" s="681" t="s">
        <v>1</v>
      </c>
      <c r="E130" s="681"/>
      <c r="F130" s="671">
        <f>FirstYear</f>
        <v>0</v>
      </c>
      <c r="G130" s="671">
        <f>F130+1</f>
        <v>1</v>
      </c>
      <c r="H130" s="671">
        <f>G130+1</f>
        <v>2</v>
      </c>
      <c r="I130" s="671">
        <f>H130+1</f>
        <v>3</v>
      </c>
      <c r="J130" s="671">
        <f>I130+1</f>
        <v>4</v>
      </c>
      <c r="K130" s="671">
        <f>J130+1</f>
        <v>5</v>
      </c>
      <c r="M130" s="586"/>
      <c r="N130" s="164"/>
      <c r="O130" s="164"/>
      <c r="P130" s="164"/>
      <c r="Q130" s="164"/>
      <c r="R130" s="164"/>
      <c r="S130" s="164"/>
      <c r="T130" s="164"/>
      <c r="V130" s="98"/>
      <c r="W130" s="98"/>
      <c r="X130" s="98"/>
      <c r="Y130" s="669"/>
      <c r="Z130" s="669"/>
      <c r="AA130" s="669"/>
      <c r="AB130" s="669"/>
      <c r="AC130" s="669"/>
      <c r="AD130" s="669"/>
      <c r="AE130" s="669"/>
      <c r="AF130" s="669"/>
      <c r="AG130" s="669"/>
      <c r="AH130" s="669"/>
      <c r="AI130" s="669"/>
      <c r="AJ130" s="669"/>
      <c r="AK130" s="669"/>
      <c r="AL130" s="669"/>
      <c r="AM130" s="669"/>
      <c r="AN130" s="669"/>
      <c r="AO130" s="669"/>
      <c r="AP130" s="669"/>
      <c r="AQ130" s="669"/>
      <c r="AR130" s="669"/>
      <c r="AS130" s="669"/>
      <c r="AT130" s="669"/>
      <c r="AU130" s="669"/>
    </row>
    <row r="131" spans="1:47" outlineLevel="2" x14ac:dyDescent="0.2">
      <c r="A131" s="586"/>
      <c r="B131" s="586"/>
      <c r="C131" s="586"/>
      <c r="D131" s="586"/>
      <c r="E131" s="590" t="s">
        <v>269</v>
      </c>
      <c r="F131" s="397">
        <f t="shared" ref="F131:K131" si="66">F132*$P41</f>
        <v>0</v>
      </c>
      <c r="G131" s="397">
        <f t="shared" si="66"/>
        <v>0</v>
      </c>
      <c r="H131" s="397">
        <f t="shared" si="66"/>
        <v>0</v>
      </c>
      <c r="I131" s="397">
        <f t="shared" si="66"/>
        <v>0</v>
      </c>
      <c r="J131" s="397">
        <f t="shared" si="66"/>
        <v>0</v>
      </c>
      <c r="K131" s="397">
        <f t="shared" si="66"/>
        <v>0</v>
      </c>
      <c r="M131" s="586"/>
      <c r="N131" s="164"/>
      <c r="O131" s="164"/>
      <c r="P131" s="164"/>
      <c r="Q131" s="164"/>
      <c r="R131" s="164"/>
      <c r="S131" s="164"/>
      <c r="T131" s="164"/>
      <c r="V131" s="98"/>
      <c r="W131" s="98"/>
      <c r="X131" s="98"/>
      <c r="Y131" s="669"/>
      <c r="Z131" s="669"/>
      <c r="AA131" s="669"/>
      <c r="AB131" s="669"/>
      <c r="AC131" s="669"/>
      <c r="AD131" s="669"/>
      <c r="AE131" s="669"/>
      <c r="AF131" s="669"/>
      <c r="AG131" s="669"/>
      <c r="AH131" s="669"/>
      <c r="AI131" s="669"/>
      <c r="AJ131" s="669"/>
      <c r="AK131" s="669"/>
      <c r="AL131" s="669"/>
      <c r="AM131" s="669"/>
      <c r="AN131" s="669"/>
      <c r="AO131" s="669"/>
      <c r="AP131" s="669"/>
      <c r="AQ131" s="669"/>
      <c r="AR131" s="669"/>
      <c r="AS131" s="669"/>
      <c r="AT131" s="669"/>
      <c r="AU131" s="669"/>
    </row>
    <row r="132" spans="1:47" outlineLevel="2" x14ac:dyDescent="0.2">
      <c r="A132" s="586"/>
      <c r="B132" s="586"/>
      <c r="C132" s="352" t="str">
        <f>W56</f>
        <v/>
      </c>
      <c r="D132" s="586"/>
      <c r="E132" s="85" t="s">
        <v>80</v>
      </c>
      <c r="F132" s="86">
        <f t="shared" ref="F132:K132" si="67">IF($W$41=2,$N$41*IF($C132&lt;&gt;"",INDEX(RPBSScriptsNew,$C132,F121),0),IF($Y41&lt;&gt;0,$M$41*INDEX(MBSRPBSInc,$C120,($Y41-1)*7+F121),0))*$V$41</f>
        <v>0</v>
      </c>
      <c r="G132" s="86">
        <f t="shared" si="67"/>
        <v>0</v>
      </c>
      <c r="H132" s="86">
        <f t="shared" si="67"/>
        <v>0</v>
      </c>
      <c r="I132" s="86">
        <f t="shared" si="67"/>
        <v>0</v>
      </c>
      <c r="J132" s="86">
        <f t="shared" si="67"/>
        <v>0</v>
      </c>
      <c r="K132" s="86">
        <f t="shared" si="67"/>
        <v>0</v>
      </c>
      <c r="M132" s="586"/>
      <c r="N132" s="164"/>
      <c r="O132" s="164"/>
      <c r="P132" s="164"/>
      <c r="Q132" s="164"/>
      <c r="R132" s="164"/>
      <c r="S132" s="164"/>
      <c r="T132" s="164"/>
      <c r="V132" s="98"/>
      <c r="W132" s="98"/>
      <c r="X132" s="98"/>
      <c r="Y132" s="669"/>
      <c r="Z132" s="669"/>
      <c r="AA132" s="669"/>
      <c r="AB132" s="669"/>
      <c r="AC132" s="669"/>
      <c r="AD132" s="669"/>
      <c r="AE132" s="669"/>
      <c r="AF132" s="669"/>
      <c r="AG132" s="669"/>
      <c r="AH132" s="669"/>
      <c r="AI132" s="669"/>
      <c r="AJ132" s="669"/>
      <c r="AK132" s="669"/>
      <c r="AL132" s="669"/>
      <c r="AM132" s="669"/>
      <c r="AN132" s="669"/>
      <c r="AO132" s="669"/>
      <c r="AP132" s="669"/>
      <c r="AQ132" s="669"/>
      <c r="AR132" s="669"/>
      <c r="AS132" s="669"/>
      <c r="AT132" s="669"/>
      <c r="AU132" s="669"/>
    </row>
    <row r="133" spans="1:47" outlineLevel="2" x14ac:dyDescent="0.2">
      <c r="A133" s="586"/>
      <c r="B133" s="352">
        <v>5</v>
      </c>
      <c r="C133" s="352">
        <v>6</v>
      </c>
      <c r="D133" s="586"/>
      <c r="E133" s="696" t="s">
        <v>146</v>
      </c>
      <c r="F133" s="86" t="str">
        <f t="shared" ref="F133:K136" si="68">IF(INDEX(MBSItemsInc,$C$120,1)&lt;&gt;"",F$132*INDEX(MBSItemsInc,$C$120,$B133)*INDEX(MBSItemsInc,$C$120,$C133),"")</f>
        <v/>
      </c>
      <c r="G133" s="86" t="str">
        <f t="shared" si="68"/>
        <v/>
      </c>
      <c r="H133" s="86" t="str">
        <f t="shared" si="68"/>
        <v/>
      </c>
      <c r="I133" s="86" t="str">
        <f t="shared" si="68"/>
        <v/>
      </c>
      <c r="J133" s="86" t="str">
        <f t="shared" si="68"/>
        <v/>
      </c>
      <c r="K133" s="86" t="str">
        <f t="shared" si="68"/>
        <v/>
      </c>
      <c r="M133" s="586"/>
      <c r="N133" s="164"/>
      <c r="O133" s="164"/>
      <c r="P133" s="164"/>
      <c r="Q133" s="164"/>
      <c r="R133" s="164"/>
      <c r="S133" s="164"/>
      <c r="T133" s="164"/>
      <c r="V133" s="98"/>
      <c r="W133" s="98"/>
      <c r="X133" s="98"/>
      <c r="Y133" s="669"/>
      <c r="Z133" s="669"/>
      <c r="AA133" s="669"/>
      <c r="AB133" s="669"/>
      <c r="AC133" s="669"/>
      <c r="AD133" s="669"/>
      <c r="AE133" s="669"/>
      <c r="AF133" s="669"/>
      <c r="AG133" s="669"/>
      <c r="AH133" s="669"/>
      <c r="AI133" s="669"/>
      <c r="AJ133" s="669"/>
      <c r="AK133" s="669"/>
      <c r="AL133" s="669"/>
      <c r="AM133" s="669"/>
      <c r="AN133" s="669"/>
      <c r="AO133" s="669"/>
      <c r="AP133" s="669"/>
      <c r="AQ133" s="669"/>
      <c r="AR133" s="669"/>
      <c r="AS133" s="669"/>
      <c r="AT133" s="669"/>
      <c r="AU133" s="669"/>
    </row>
    <row r="134" spans="1:47" outlineLevel="2" x14ac:dyDescent="0.2">
      <c r="A134" s="586"/>
      <c r="B134" s="352">
        <v>5</v>
      </c>
      <c r="C134" s="352">
        <v>7</v>
      </c>
      <c r="D134" s="586"/>
      <c r="E134" s="696" t="s">
        <v>147</v>
      </c>
      <c r="F134" s="86" t="str">
        <f t="shared" si="68"/>
        <v/>
      </c>
      <c r="G134" s="86" t="str">
        <f t="shared" si="68"/>
        <v/>
      </c>
      <c r="H134" s="86" t="str">
        <f t="shared" si="68"/>
        <v/>
      </c>
      <c r="I134" s="86" t="str">
        <f t="shared" si="68"/>
        <v/>
      </c>
      <c r="J134" s="86" t="str">
        <f t="shared" si="68"/>
        <v/>
      </c>
      <c r="K134" s="86" t="str">
        <f t="shared" si="68"/>
        <v/>
      </c>
      <c r="M134" s="586"/>
      <c r="N134" s="164"/>
      <c r="O134" s="164"/>
      <c r="P134" s="164"/>
      <c r="Q134" s="164"/>
      <c r="R134" s="164"/>
      <c r="S134" s="164"/>
      <c r="T134" s="164"/>
      <c r="V134" s="98"/>
      <c r="W134" s="98"/>
      <c r="X134" s="98"/>
      <c r="Y134" s="669"/>
      <c r="Z134" s="669"/>
      <c r="AA134" s="669"/>
      <c r="AB134" s="669"/>
      <c r="AC134" s="669"/>
      <c r="AD134" s="669"/>
      <c r="AE134" s="669"/>
      <c r="AF134" s="669"/>
      <c r="AG134" s="669"/>
      <c r="AH134" s="669"/>
      <c r="AI134" s="669"/>
      <c r="AJ134" s="669"/>
      <c r="AK134" s="669"/>
      <c r="AL134" s="669"/>
      <c r="AM134" s="669"/>
      <c r="AN134" s="669"/>
      <c r="AO134" s="669"/>
      <c r="AP134" s="669"/>
      <c r="AQ134" s="669"/>
      <c r="AR134" s="669"/>
      <c r="AS134" s="669"/>
      <c r="AT134" s="669"/>
      <c r="AU134" s="669"/>
    </row>
    <row r="135" spans="1:47" outlineLevel="2" x14ac:dyDescent="0.2">
      <c r="A135" s="586"/>
      <c r="B135" s="352">
        <v>4</v>
      </c>
      <c r="C135" s="352">
        <v>6</v>
      </c>
      <c r="D135" s="586"/>
      <c r="E135" s="696" t="s">
        <v>148</v>
      </c>
      <c r="F135" s="86" t="str">
        <f t="shared" si="68"/>
        <v/>
      </c>
      <c r="G135" s="86" t="str">
        <f t="shared" si="68"/>
        <v/>
      </c>
      <c r="H135" s="86" t="str">
        <f t="shared" si="68"/>
        <v/>
      </c>
      <c r="I135" s="86" t="str">
        <f t="shared" si="68"/>
        <v/>
      </c>
      <c r="J135" s="86" t="str">
        <f t="shared" si="68"/>
        <v/>
      </c>
      <c r="K135" s="86" t="str">
        <f t="shared" si="68"/>
        <v/>
      </c>
      <c r="M135" s="586"/>
      <c r="N135" s="164"/>
      <c r="O135" s="164"/>
      <c r="P135" s="164"/>
      <c r="Q135" s="164"/>
      <c r="R135" s="164"/>
      <c r="S135" s="164"/>
      <c r="T135" s="164"/>
      <c r="V135" s="98"/>
      <c r="W135" s="98"/>
      <c r="X135" s="98"/>
      <c r="Y135" s="669"/>
      <c r="Z135" s="669"/>
      <c r="AA135" s="669"/>
      <c r="AB135" s="669"/>
      <c r="AC135" s="669"/>
      <c r="AD135" s="669"/>
      <c r="AE135" s="669"/>
      <c r="AF135" s="669"/>
      <c r="AG135" s="669"/>
      <c r="AH135" s="669"/>
      <c r="AI135" s="669"/>
      <c r="AJ135" s="669"/>
      <c r="AK135" s="669"/>
      <c r="AL135" s="669"/>
      <c r="AM135" s="669"/>
      <c r="AN135" s="669"/>
      <c r="AO135" s="669"/>
      <c r="AP135" s="669"/>
      <c r="AQ135" s="669"/>
      <c r="AR135" s="669"/>
      <c r="AS135" s="669"/>
      <c r="AT135" s="669"/>
      <c r="AU135" s="669"/>
    </row>
    <row r="136" spans="1:47" outlineLevel="2" x14ac:dyDescent="0.2">
      <c r="A136" s="586"/>
      <c r="B136" s="352">
        <v>4</v>
      </c>
      <c r="C136" s="352">
        <v>7</v>
      </c>
      <c r="D136" s="586"/>
      <c r="E136" s="698" t="s">
        <v>149</v>
      </c>
      <c r="F136" s="86" t="str">
        <f t="shared" si="68"/>
        <v/>
      </c>
      <c r="G136" s="86" t="str">
        <f t="shared" si="68"/>
        <v/>
      </c>
      <c r="H136" s="86" t="str">
        <f t="shared" si="68"/>
        <v/>
      </c>
      <c r="I136" s="86" t="str">
        <f t="shared" si="68"/>
        <v/>
      </c>
      <c r="J136" s="86" t="str">
        <f t="shared" si="68"/>
        <v/>
      </c>
      <c r="K136" s="86" t="str">
        <f t="shared" si="68"/>
        <v/>
      </c>
      <c r="M136" s="586"/>
      <c r="N136" s="164"/>
      <c r="O136" s="164"/>
      <c r="P136" s="164"/>
      <c r="Q136" s="164"/>
      <c r="R136" s="164"/>
      <c r="S136" s="164"/>
      <c r="T136" s="164"/>
      <c r="V136" s="98"/>
      <c r="W136" s="98"/>
      <c r="X136" s="98"/>
      <c r="Y136" s="669"/>
      <c r="Z136" s="669"/>
      <c r="AA136" s="669"/>
      <c r="AB136" s="669"/>
      <c r="AC136" s="669"/>
      <c r="AD136" s="669"/>
      <c r="AE136" s="669"/>
      <c r="AF136" s="669"/>
      <c r="AG136" s="669"/>
      <c r="AH136" s="669"/>
      <c r="AI136" s="669"/>
      <c r="AJ136" s="669"/>
      <c r="AK136" s="669"/>
      <c r="AL136" s="669"/>
      <c r="AM136" s="669"/>
      <c r="AN136" s="669"/>
      <c r="AO136" s="669"/>
      <c r="AP136" s="669"/>
      <c r="AQ136" s="669"/>
      <c r="AR136" s="669"/>
      <c r="AS136" s="669"/>
      <c r="AT136" s="669"/>
      <c r="AU136" s="669"/>
    </row>
    <row r="137" spans="1:47" outlineLevel="1" x14ac:dyDescent="0.2">
      <c r="A137" s="586"/>
      <c r="B137" s="586"/>
      <c r="C137" s="586"/>
      <c r="D137" s="586"/>
      <c r="E137" s="586"/>
      <c r="F137" s="586"/>
      <c r="G137" s="586"/>
      <c r="H137" s="586"/>
      <c r="I137" s="586"/>
      <c r="J137" s="586"/>
      <c r="K137" s="586"/>
      <c r="L137" s="586"/>
      <c r="M137" s="586"/>
      <c r="N137" s="164"/>
      <c r="O137" s="164"/>
      <c r="P137" s="164"/>
      <c r="Q137" s="164"/>
      <c r="R137" s="164"/>
      <c r="S137" s="164"/>
      <c r="T137" s="164"/>
      <c r="V137" s="98"/>
      <c r="W137" s="98"/>
      <c r="X137" s="98"/>
      <c r="Y137" s="669"/>
      <c r="Z137" s="669"/>
      <c r="AA137" s="669"/>
      <c r="AB137" s="669"/>
      <c r="AC137" s="669"/>
      <c r="AD137" s="669"/>
      <c r="AE137" s="669"/>
      <c r="AF137" s="669"/>
      <c r="AG137" s="669"/>
      <c r="AH137" s="669"/>
      <c r="AI137" s="669"/>
      <c r="AJ137" s="669"/>
      <c r="AK137" s="669"/>
      <c r="AL137" s="669"/>
      <c r="AM137" s="669"/>
      <c r="AN137" s="669"/>
      <c r="AO137" s="669"/>
      <c r="AP137" s="669"/>
      <c r="AQ137" s="669"/>
      <c r="AR137" s="669"/>
      <c r="AS137" s="669"/>
      <c r="AT137" s="669"/>
      <c r="AU137" s="669"/>
    </row>
    <row r="138" spans="1:47" ht="15.75" outlineLevel="1" x14ac:dyDescent="0.2">
      <c r="A138" s="586"/>
      <c r="B138" s="586"/>
      <c r="C138" s="352">
        <v>5</v>
      </c>
      <c r="D138" s="110" t="str">
        <f>INDEX(MBSNamesNew,C138)</f>
        <v>** NOT USED **</v>
      </c>
      <c r="E138" s="110"/>
      <c r="F138" s="154"/>
      <c r="G138" s="154"/>
      <c r="H138" s="154"/>
      <c r="I138" s="154"/>
      <c r="J138" s="782" t="str">
        <f>IF(D138&lt;&gt;MsgNotUsed,"Co-payment group " &amp; K42,"")</f>
        <v/>
      </c>
      <c r="K138" s="782"/>
      <c r="L138" s="154"/>
      <c r="M138" s="154"/>
      <c r="N138" s="154"/>
      <c r="O138" s="154"/>
      <c r="P138" s="154"/>
      <c r="Q138" s="154"/>
      <c r="R138" s="154"/>
      <c r="S138" s="154"/>
      <c r="T138" s="154"/>
      <c r="V138" s="98"/>
      <c r="W138" s="98"/>
      <c r="X138" s="98"/>
      <c r="Y138" s="669"/>
      <c r="Z138" s="669"/>
      <c r="AA138" s="669"/>
      <c r="AB138" s="669"/>
      <c r="AC138" s="669"/>
      <c r="AD138" s="669"/>
      <c r="AE138" s="669"/>
      <c r="AF138" s="669"/>
      <c r="AG138" s="669"/>
      <c r="AH138" s="669"/>
      <c r="AI138" s="669"/>
      <c r="AJ138" s="669"/>
      <c r="AK138" s="669"/>
      <c r="AL138" s="669"/>
      <c r="AM138" s="669"/>
      <c r="AN138" s="669"/>
      <c r="AO138" s="669"/>
      <c r="AP138" s="669"/>
      <c r="AQ138" s="669"/>
      <c r="AR138" s="669"/>
      <c r="AS138" s="669"/>
      <c r="AT138" s="669"/>
      <c r="AU138" s="669"/>
    </row>
    <row r="139" spans="1:47" outlineLevel="2" x14ac:dyDescent="0.2">
      <c r="A139" s="586"/>
      <c r="B139" s="586"/>
      <c r="C139" s="586"/>
      <c r="D139" s="674"/>
      <c r="E139" s="674"/>
      <c r="F139" s="691">
        <v>2</v>
      </c>
      <c r="G139" s="691">
        <v>3</v>
      </c>
      <c r="H139" s="691">
        <v>4</v>
      </c>
      <c r="I139" s="691">
        <v>5</v>
      </c>
      <c r="J139" s="691">
        <v>6</v>
      </c>
      <c r="K139" s="691">
        <v>7</v>
      </c>
      <c r="L139" s="691"/>
      <c r="M139" s="674"/>
      <c r="N139" s="674"/>
      <c r="O139" s="715"/>
      <c r="P139" s="674"/>
      <c r="Q139" s="674"/>
      <c r="R139" s="674"/>
      <c r="S139" s="674"/>
      <c r="T139" s="674"/>
      <c r="V139" s="98"/>
      <c r="W139" s="98"/>
      <c r="X139" s="98"/>
      <c r="Y139" s="669"/>
      <c r="Z139" s="669"/>
      <c r="AA139" s="669"/>
      <c r="AB139" s="669"/>
      <c r="AC139" s="669"/>
      <c r="AD139" s="669"/>
      <c r="AE139" s="669"/>
      <c r="AF139" s="669"/>
      <c r="AG139" s="669"/>
      <c r="AH139" s="669"/>
      <c r="AI139" s="669"/>
      <c r="AJ139" s="669"/>
      <c r="AK139" s="669"/>
      <c r="AL139" s="669"/>
      <c r="AM139" s="669"/>
      <c r="AN139" s="669"/>
      <c r="AO139" s="669"/>
      <c r="AP139" s="669"/>
      <c r="AQ139" s="669"/>
      <c r="AR139" s="669"/>
      <c r="AS139" s="669"/>
      <c r="AT139" s="669"/>
      <c r="AU139" s="669"/>
    </row>
    <row r="140" spans="1:47" ht="15" outlineLevel="2" x14ac:dyDescent="0.2">
      <c r="A140" s="586"/>
      <c r="B140" s="586"/>
      <c r="C140" s="586"/>
      <c r="D140" s="681" t="s">
        <v>0</v>
      </c>
      <c r="E140" s="681"/>
      <c r="F140" s="671">
        <f>FirstYear</f>
        <v>0</v>
      </c>
      <c r="G140" s="671">
        <f>F140+1</f>
        <v>1</v>
      </c>
      <c r="H140" s="671">
        <f>G140+1</f>
        <v>2</v>
      </c>
      <c r="I140" s="671">
        <f>H140+1</f>
        <v>3</v>
      </c>
      <c r="J140" s="671">
        <f>I140+1</f>
        <v>4</v>
      </c>
      <c r="K140" s="671">
        <f>J140+1</f>
        <v>5</v>
      </c>
      <c r="M140" s="149"/>
      <c r="N140" s="692"/>
      <c r="O140" s="692"/>
      <c r="P140" s="692"/>
      <c r="Q140" s="99"/>
      <c r="R140" s="99"/>
      <c r="S140" s="99"/>
      <c r="T140" s="99"/>
      <c r="V140" s="99"/>
      <c r="W140" s="99"/>
      <c r="X140" s="99"/>
      <c r="Y140" s="669"/>
      <c r="Z140" s="669"/>
      <c r="AA140" s="669"/>
      <c r="AB140" s="669"/>
      <c r="AC140" s="669"/>
      <c r="AD140" s="669"/>
      <c r="AE140" s="669"/>
      <c r="AF140" s="669"/>
      <c r="AG140" s="669"/>
      <c r="AH140" s="669"/>
      <c r="AI140" s="669"/>
      <c r="AJ140" s="669"/>
      <c r="AK140" s="669"/>
      <c r="AL140" s="669"/>
      <c r="AM140" s="669"/>
      <c r="AN140" s="669"/>
      <c r="AO140" s="669"/>
      <c r="AP140" s="669"/>
      <c r="AQ140" s="669"/>
      <c r="AR140" s="669"/>
      <c r="AS140" s="669"/>
      <c r="AT140" s="669"/>
      <c r="AU140" s="669"/>
    </row>
    <row r="141" spans="1:47" outlineLevel="2" x14ac:dyDescent="0.2">
      <c r="A141" s="586"/>
      <c r="B141" s="586"/>
      <c r="C141" s="586"/>
      <c r="D141" s="586"/>
      <c r="E141" s="590" t="s">
        <v>269</v>
      </c>
      <c r="F141" s="397">
        <f t="shared" ref="F141:K141" si="69">F142*$P42</f>
        <v>0</v>
      </c>
      <c r="G141" s="397">
        <f t="shared" si="69"/>
        <v>0</v>
      </c>
      <c r="H141" s="397">
        <f t="shared" si="69"/>
        <v>0</v>
      </c>
      <c r="I141" s="397">
        <f t="shared" si="69"/>
        <v>0</v>
      </c>
      <c r="J141" s="397">
        <f t="shared" si="69"/>
        <v>0</v>
      </c>
      <c r="K141" s="397">
        <f t="shared" si="69"/>
        <v>0</v>
      </c>
      <c r="M141" s="149"/>
      <c r="N141" s="692"/>
      <c r="O141" s="692"/>
      <c r="P141" s="692"/>
      <c r="Q141" s="99"/>
      <c r="R141" s="99"/>
      <c r="S141" s="99"/>
      <c r="T141" s="99"/>
      <c r="V141" s="97">
        <f>FirstYear</f>
        <v>0</v>
      </c>
      <c r="W141" s="96">
        <f>IF(F142&lt;&gt;0,F142-F145,0)</f>
        <v>0</v>
      </c>
      <c r="X141" s="99"/>
      <c r="Y141" s="669"/>
      <c r="Z141" s="669"/>
      <c r="AA141" s="669"/>
      <c r="AB141" s="669"/>
      <c r="AC141" s="669"/>
      <c r="AD141" s="669"/>
      <c r="AE141" s="669"/>
      <c r="AF141" s="669"/>
      <c r="AG141" s="669"/>
      <c r="AH141" s="669"/>
      <c r="AI141" s="669"/>
      <c r="AJ141" s="669"/>
      <c r="AK141" s="669"/>
      <c r="AL141" s="669"/>
      <c r="AM141" s="669"/>
      <c r="AN141" s="669"/>
      <c r="AO141" s="669"/>
      <c r="AP141" s="669"/>
      <c r="AQ141" s="669"/>
      <c r="AR141" s="669"/>
      <c r="AS141" s="669"/>
      <c r="AT141" s="669"/>
      <c r="AU141" s="669"/>
    </row>
    <row r="142" spans="1:47" ht="14.25" outlineLevel="2" x14ac:dyDescent="0.2">
      <c r="A142" s="586"/>
      <c r="B142" s="586"/>
      <c r="C142" s="352" t="str">
        <f>W57</f>
        <v/>
      </c>
      <c r="D142" s="586"/>
      <c r="E142" s="85" t="s">
        <v>80</v>
      </c>
      <c r="F142" s="86">
        <f t="shared" ref="F142:K142" si="70">IF($W$42=2,$N$42*IF($C142&lt;&gt;"",INDEX(PBSScriptsNew,$C142,F139),0),IF($Y42&lt;&gt;0,$M$42*INDEX(MBSPBSInc,$C138,($Y42-1)*7+F139),0))*$V$42</f>
        <v>0</v>
      </c>
      <c r="G142" s="86">
        <f t="shared" si="70"/>
        <v>0</v>
      </c>
      <c r="H142" s="86">
        <f t="shared" si="70"/>
        <v>0</v>
      </c>
      <c r="I142" s="86">
        <f t="shared" si="70"/>
        <v>0</v>
      </c>
      <c r="J142" s="86">
        <f t="shared" si="70"/>
        <v>0</v>
      </c>
      <c r="K142" s="86">
        <f t="shared" si="70"/>
        <v>0</v>
      </c>
      <c r="M142" s="701"/>
      <c r="N142" s="684"/>
      <c r="O142" s="684"/>
      <c r="P142" s="684"/>
      <c r="Q142" s="694"/>
      <c r="R142" s="694"/>
      <c r="S142" s="694"/>
      <c r="T142" s="694"/>
      <c r="V142" s="97">
        <f>V141+1</f>
        <v>1</v>
      </c>
      <c r="W142" s="96">
        <f>IF(G142&lt;&gt;0,G142-G145,0)</f>
        <v>0</v>
      </c>
      <c r="X142" s="695"/>
      <c r="Y142" s="669"/>
      <c r="Z142" s="669"/>
      <c r="AA142" s="669"/>
      <c r="AB142" s="669"/>
      <c r="AC142" s="669"/>
      <c r="AD142" s="669"/>
      <c r="AE142" s="669"/>
      <c r="AF142" s="669"/>
      <c r="AG142" s="669"/>
      <c r="AH142" s="669"/>
      <c r="AI142" s="669"/>
      <c r="AJ142" s="669"/>
      <c r="AK142" s="669"/>
      <c r="AL142" s="669"/>
      <c r="AM142" s="669"/>
      <c r="AN142" s="669"/>
      <c r="AO142" s="669"/>
      <c r="AP142" s="669"/>
      <c r="AQ142" s="669"/>
      <c r="AR142" s="669"/>
      <c r="AS142" s="669"/>
      <c r="AT142" s="669"/>
      <c r="AU142" s="669"/>
    </row>
    <row r="143" spans="1:47" outlineLevel="2" x14ac:dyDescent="0.2">
      <c r="A143" s="586"/>
      <c r="B143" s="352">
        <v>5</v>
      </c>
      <c r="C143" s="352">
        <v>6</v>
      </c>
      <c r="D143" s="586"/>
      <c r="E143" s="696" t="s">
        <v>146</v>
      </c>
      <c r="F143" s="86" t="str">
        <f t="shared" ref="F143:K146" si="71">IF(INDEX(MBSItemsInc,$C$138,1)&lt;&gt;"",F$142*INDEX(MBSItemsInc,$C$138,$B143)*INDEX(MBSItemsInc,$C$138,$C143),"")</f>
        <v/>
      </c>
      <c r="G143" s="86" t="str">
        <f t="shared" si="71"/>
        <v/>
      </c>
      <c r="H143" s="86" t="str">
        <f t="shared" si="71"/>
        <v/>
      </c>
      <c r="I143" s="86" t="str">
        <f t="shared" si="71"/>
        <v/>
      </c>
      <c r="J143" s="86" t="str">
        <f t="shared" si="71"/>
        <v/>
      </c>
      <c r="K143" s="86" t="str">
        <f t="shared" si="71"/>
        <v/>
      </c>
      <c r="M143" s="149"/>
      <c r="N143" s="697"/>
      <c r="O143" s="697"/>
      <c r="P143" s="697"/>
      <c r="Q143" s="694"/>
      <c r="R143" s="694"/>
      <c r="S143" s="694"/>
      <c r="T143" s="694"/>
      <c r="V143" s="97">
        <f>V142+1</f>
        <v>2</v>
      </c>
      <c r="W143" s="96">
        <f>IF(H142&lt;&gt;0,H142-H145,0)</f>
        <v>0</v>
      </c>
      <c r="X143" s="695"/>
      <c r="Y143" s="669"/>
      <c r="Z143" s="669"/>
      <c r="AA143" s="669"/>
      <c r="AB143" s="669"/>
      <c r="AC143" s="669"/>
      <c r="AD143" s="669"/>
      <c r="AE143" s="669"/>
      <c r="AF143" s="669"/>
      <c r="AG143" s="669"/>
      <c r="AH143" s="669"/>
      <c r="AI143" s="669"/>
      <c r="AJ143" s="669"/>
      <c r="AK143" s="669"/>
      <c r="AL143" s="669"/>
      <c r="AM143" s="669"/>
      <c r="AN143" s="669"/>
      <c r="AO143" s="669"/>
      <c r="AP143" s="669"/>
      <c r="AQ143" s="669"/>
      <c r="AR143" s="669"/>
      <c r="AS143" s="669"/>
      <c r="AT143" s="669"/>
      <c r="AU143" s="669"/>
    </row>
    <row r="144" spans="1:47" outlineLevel="2" x14ac:dyDescent="0.2">
      <c r="A144" s="586"/>
      <c r="B144" s="352">
        <v>5</v>
      </c>
      <c r="C144" s="352">
        <v>7</v>
      </c>
      <c r="D144" s="586"/>
      <c r="E144" s="696" t="s">
        <v>147</v>
      </c>
      <c r="F144" s="86" t="str">
        <f t="shared" si="71"/>
        <v/>
      </c>
      <c r="G144" s="86" t="str">
        <f t="shared" si="71"/>
        <v/>
      </c>
      <c r="H144" s="86" t="str">
        <f t="shared" si="71"/>
        <v/>
      </c>
      <c r="I144" s="86" t="str">
        <f t="shared" si="71"/>
        <v/>
      </c>
      <c r="J144" s="86" t="str">
        <f t="shared" si="71"/>
        <v/>
      </c>
      <c r="K144" s="86" t="str">
        <f t="shared" si="71"/>
        <v/>
      </c>
      <c r="M144" s="149"/>
      <c r="N144" s="697"/>
      <c r="O144" s="697"/>
      <c r="P144" s="697"/>
      <c r="Q144" s="694"/>
      <c r="R144" s="694"/>
      <c r="S144" s="694"/>
      <c r="T144" s="694"/>
      <c r="V144" s="97">
        <f>V143+1</f>
        <v>3</v>
      </c>
      <c r="W144" s="96">
        <f>IF(I142&lt;&gt;0,I142-I145,0)</f>
        <v>0</v>
      </c>
      <c r="X144" s="695"/>
      <c r="Y144" s="669"/>
      <c r="Z144" s="669"/>
      <c r="AA144" s="669"/>
      <c r="AB144" s="669"/>
      <c r="AC144" s="669"/>
      <c r="AD144" s="669"/>
      <c r="AE144" s="669"/>
      <c r="AF144" s="669"/>
      <c r="AG144" s="669"/>
      <c r="AH144" s="669"/>
      <c r="AI144" s="669"/>
      <c r="AJ144" s="669"/>
      <c r="AK144" s="669"/>
      <c r="AL144" s="669"/>
      <c r="AM144" s="669"/>
      <c r="AN144" s="669"/>
      <c r="AO144" s="669"/>
      <c r="AP144" s="669"/>
      <c r="AQ144" s="669"/>
      <c r="AR144" s="669"/>
      <c r="AS144" s="669"/>
      <c r="AT144" s="669"/>
      <c r="AU144" s="669"/>
    </row>
    <row r="145" spans="1:47" outlineLevel="2" x14ac:dyDescent="0.2">
      <c r="A145" s="586"/>
      <c r="B145" s="352">
        <v>4</v>
      </c>
      <c r="C145" s="352">
        <v>6</v>
      </c>
      <c r="D145" s="586"/>
      <c r="E145" s="696" t="s">
        <v>148</v>
      </c>
      <c r="F145" s="86" t="str">
        <f t="shared" si="71"/>
        <v/>
      </c>
      <c r="G145" s="86" t="str">
        <f t="shared" si="71"/>
        <v/>
      </c>
      <c r="H145" s="86" t="str">
        <f t="shared" si="71"/>
        <v/>
      </c>
      <c r="I145" s="86" t="str">
        <f t="shared" si="71"/>
        <v/>
      </c>
      <c r="J145" s="86" t="str">
        <f t="shared" si="71"/>
        <v/>
      </c>
      <c r="K145" s="86" t="str">
        <f t="shared" si="71"/>
        <v/>
      </c>
      <c r="M145" s="149"/>
      <c r="N145" s="697"/>
      <c r="O145" s="697"/>
      <c r="P145" s="697"/>
      <c r="Q145" s="694"/>
      <c r="R145" s="694"/>
      <c r="S145" s="694"/>
      <c r="T145" s="694"/>
      <c r="V145" s="97">
        <f>V144+1</f>
        <v>4</v>
      </c>
      <c r="W145" s="96">
        <f>IF(J142&lt;&gt;0,J142-J145,0)</f>
        <v>0</v>
      </c>
      <c r="X145" s="695"/>
      <c r="Y145" s="669"/>
      <c r="Z145" s="669"/>
      <c r="AA145" s="669"/>
      <c r="AB145" s="669"/>
      <c r="AC145" s="669"/>
      <c r="AD145" s="669"/>
      <c r="AE145" s="669"/>
      <c r="AF145" s="669"/>
      <c r="AG145" s="669"/>
      <c r="AH145" s="669"/>
      <c r="AI145" s="669"/>
      <c r="AJ145" s="669"/>
      <c r="AK145" s="669"/>
      <c r="AL145" s="669"/>
      <c r="AM145" s="669"/>
      <c r="AN145" s="669"/>
      <c r="AO145" s="669"/>
      <c r="AP145" s="669"/>
      <c r="AQ145" s="669"/>
      <c r="AR145" s="669"/>
      <c r="AS145" s="669"/>
      <c r="AT145" s="669"/>
      <c r="AU145" s="669"/>
    </row>
    <row r="146" spans="1:47" ht="12.75" customHeight="1" outlineLevel="2" x14ac:dyDescent="0.2">
      <c r="A146" s="586"/>
      <c r="B146" s="352">
        <v>4</v>
      </c>
      <c r="C146" s="352">
        <v>7</v>
      </c>
      <c r="D146" s="586"/>
      <c r="E146" s="698" t="s">
        <v>149</v>
      </c>
      <c r="F146" s="86" t="str">
        <f t="shared" si="71"/>
        <v/>
      </c>
      <c r="G146" s="86" t="str">
        <f t="shared" si="71"/>
        <v/>
      </c>
      <c r="H146" s="86" t="str">
        <f t="shared" si="71"/>
        <v/>
      </c>
      <c r="I146" s="86" t="str">
        <f t="shared" si="71"/>
        <v/>
      </c>
      <c r="J146" s="86" t="str">
        <f t="shared" si="71"/>
        <v/>
      </c>
      <c r="K146" s="86" t="str">
        <f t="shared" si="71"/>
        <v/>
      </c>
      <c r="M146" s="149"/>
      <c r="N146" s="697"/>
      <c r="O146" s="697"/>
      <c r="P146" s="697"/>
      <c r="Q146" s="694"/>
      <c r="R146" s="694"/>
      <c r="S146" s="694"/>
      <c r="T146" s="694"/>
      <c r="V146" s="97">
        <f>V145+1</f>
        <v>5</v>
      </c>
      <c r="W146" s="96">
        <f>IF(K142&lt;&gt;0,K142-K145,0)</f>
        <v>0</v>
      </c>
      <c r="X146" s="695"/>
      <c r="Y146" s="669"/>
      <c r="Z146" s="669"/>
      <c r="AA146" s="669"/>
      <c r="AB146" s="669"/>
      <c r="AC146" s="669"/>
      <c r="AD146" s="669"/>
      <c r="AE146" s="669"/>
      <c r="AF146" s="669"/>
      <c r="AG146" s="669"/>
      <c r="AH146" s="669"/>
      <c r="AI146" s="669"/>
      <c r="AJ146" s="669"/>
      <c r="AK146" s="669"/>
      <c r="AL146" s="669"/>
      <c r="AM146" s="669"/>
      <c r="AN146" s="669"/>
      <c r="AO146" s="669"/>
      <c r="AP146" s="669"/>
      <c r="AQ146" s="669"/>
      <c r="AR146" s="669"/>
      <c r="AS146" s="669"/>
      <c r="AT146" s="669"/>
      <c r="AU146" s="669"/>
    </row>
    <row r="147" spans="1:47" outlineLevel="2" x14ac:dyDescent="0.2">
      <c r="A147" s="586"/>
      <c r="B147" s="586"/>
      <c r="C147" s="586"/>
      <c r="D147" s="586"/>
      <c r="E147" s="586"/>
      <c r="F147" s="586"/>
      <c r="G147" s="586"/>
      <c r="H147" s="586"/>
      <c r="I147" s="586"/>
      <c r="J147" s="586"/>
      <c r="K147" s="586"/>
      <c r="M147" s="586"/>
      <c r="N147" s="164"/>
      <c r="O147" s="164"/>
      <c r="P147" s="164"/>
      <c r="Q147" s="164"/>
      <c r="R147" s="164"/>
      <c r="S147" s="164"/>
      <c r="T147" s="164"/>
      <c r="V147" s="98"/>
      <c r="W147" s="98"/>
      <c r="X147" s="98"/>
      <c r="Y147" s="669"/>
      <c r="Z147" s="669"/>
      <c r="AA147" s="669"/>
      <c r="AB147" s="669"/>
      <c r="AC147" s="669"/>
      <c r="AD147" s="669"/>
      <c r="AE147" s="669"/>
      <c r="AF147" s="669"/>
      <c r="AG147" s="669"/>
      <c r="AH147" s="669"/>
      <c r="AI147" s="669"/>
      <c r="AJ147" s="669"/>
      <c r="AK147" s="669"/>
      <c r="AL147" s="669"/>
      <c r="AM147" s="669"/>
      <c r="AN147" s="669"/>
      <c r="AO147" s="669"/>
      <c r="AP147" s="669"/>
      <c r="AQ147" s="669"/>
      <c r="AR147" s="669"/>
      <c r="AS147" s="669"/>
      <c r="AT147" s="669"/>
      <c r="AU147" s="669"/>
    </row>
    <row r="148" spans="1:47" ht="15" outlineLevel="2" x14ac:dyDescent="0.2">
      <c r="A148" s="586"/>
      <c r="B148" s="586"/>
      <c r="C148" s="586"/>
      <c r="D148" s="681" t="s">
        <v>1</v>
      </c>
      <c r="E148" s="681"/>
      <c r="F148" s="671">
        <f>FirstYear</f>
        <v>0</v>
      </c>
      <c r="G148" s="671">
        <f>F148+1</f>
        <v>1</v>
      </c>
      <c r="H148" s="671">
        <f>G148+1</f>
        <v>2</v>
      </c>
      <c r="I148" s="671">
        <f>H148+1</f>
        <v>3</v>
      </c>
      <c r="J148" s="671">
        <f>I148+1</f>
        <v>4</v>
      </c>
      <c r="K148" s="671">
        <f>J148+1</f>
        <v>5</v>
      </c>
      <c r="M148" s="586"/>
      <c r="N148" s="164"/>
      <c r="O148" s="164"/>
      <c r="P148" s="164"/>
      <c r="Q148" s="164"/>
      <c r="R148" s="164"/>
      <c r="S148" s="164"/>
      <c r="T148" s="164"/>
      <c r="V148" s="98"/>
      <c r="W148" s="98"/>
      <c r="X148" s="98"/>
      <c r="Y148" s="669"/>
      <c r="Z148" s="669"/>
      <c r="AA148" s="669"/>
      <c r="AB148" s="669"/>
      <c r="AC148" s="669"/>
      <c r="AD148" s="669"/>
      <c r="AE148" s="669"/>
      <c r="AF148" s="669"/>
      <c r="AG148" s="669"/>
      <c r="AH148" s="669"/>
      <c r="AI148" s="669"/>
      <c r="AJ148" s="669"/>
      <c r="AK148" s="669"/>
      <c r="AL148" s="669"/>
      <c r="AM148" s="669"/>
      <c r="AN148" s="669"/>
      <c r="AO148" s="669"/>
      <c r="AP148" s="669"/>
      <c r="AQ148" s="669"/>
      <c r="AR148" s="669"/>
      <c r="AS148" s="669"/>
      <c r="AT148" s="669"/>
      <c r="AU148" s="669"/>
    </row>
    <row r="149" spans="1:47" outlineLevel="2" x14ac:dyDescent="0.2">
      <c r="A149" s="586"/>
      <c r="B149" s="586"/>
      <c r="C149" s="586"/>
      <c r="D149" s="586"/>
      <c r="E149" s="590" t="s">
        <v>269</v>
      </c>
      <c r="F149" s="397">
        <f t="shared" ref="F149:K149" si="72">F150*$P42</f>
        <v>0</v>
      </c>
      <c r="G149" s="397">
        <f t="shared" si="72"/>
        <v>0</v>
      </c>
      <c r="H149" s="397">
        <f t="shared" si="72"/>
        <v>0</v>
      </c>
      <c r="I149" s="397">
        <f t="shared" si="72"/>
        <v>0</v>
      </c>
      <c r="J149" s="397">
        <f t="shared" si="72"/>
        <v>0</v>
      </c>
      <c r="K149" s="397">
        <f t="shared" si="72"/>
        <v>0</v>
      </c>
      <c r="M149" s="586"/>
      <c r="N149" s="164"/>
      <c r="O149" s="164"/>
      <c r="P149" s="164"/>
      <c r="Q149" s="164"/>
      <c r="R149" s="164"/>
      <c r="S149" s="164"/>
      <c r="T149" s="164"/>
      <c r="V149" s="98"/>
      <c r="W149" s="98"/>
      <c r="X149" s="98"/>
      <c r="Y149" s="669"/>
      <c r="Z149" s="669"/>
      <c r="AA149" s="669"/>
      <c r="AB149" s="669"/>
      <c r="AC149" s="669"/>
      <c r="AD149" s="669"/>
      <c r="AE149" s="669"/>
      <c r="AF149" s="669"/>
      <c r="AG149" s="669"/>
      <c r="AH149" s="669"/>
      <c r="AI149" s="669"/>
      <c r="AJ149" s="669"/>
      <c r="AK149" s="669"/>
      <c r="AL149" s="669"/>
      <c r="AM149" s="669"/>
      <c r="AN149" s="669"/>
      <c r="AO149" s="669"/>
      <c r="AP149" s="669"/>
      <c r="AQ149" s="669"/>
      <c r="AR149" s="669"/>
      <c r="AS149" s="669"/>
      <c r="AT149" s="669"/>
      <c r="AU149" s="669"/>
    </row>
    <row r="150" spans="1:47" outlineLevel="2" x14ac:dyDescent="0.2">
      <c r="A150" s="586"/>
      <c r="B150" s="586"/>
      <c r="C150" s="352" t="str">
        <f>W57</f>
        <v/>
      </c>
      <c r="D150" s="586"/>
      <c r="E150" s="85" t="s">
        <v>80</v>
      </c>
      <c r="F150" s="86">
        <f t="shared" ref="F150:K150" si="73">IF($W$42=2,$N$42*IF($C150&lt;&gt;"",INDEX(RPBSScriptsNew,$C150,F139),0),IF($Y42&lt;&gt;0,$M$42*INDEX(MBSRPBSInc,$C138,($Y42-1)*7+F139),0))*$V$42</f>
        <v>0</v>
      </c>
      <c r="G150" s="86">
        <f t="shared" si="73"/>
        <v>0</v>
      </c>
      <c r="H150" s="86">
        <f t="shared" si="73"/>
        <v>0</v>
      </c>
      <c r="I150" s="86">
        <f t="shared" si="73"/>
        <v>0</v>
      </c>
      <c r="J150" s="86">
        <f t="shared" si="73"/>
        <v>0</v>
      </c>
      <c r="K150" s="86">
        <f t="shared" si="73"/>
        <v>0</v>
      </c>
      <c r="M150" s="586"/>
      <c r="N150" s="164"/>
      <c r="O150" s="164"/>
      <c r="P150" s="164"/>
      <c r="Q150" s="164"/>
      <c r="R150" s="164"/>
      <c r="S150" s="164"/>
      <c r="T150" s="164"/>
      <c r="V150" s="98"/>
      <c r="W150" s="98"/>
      <c r="X150" s="98"/>
      <c r="Y150" s="669"/>
      <c r="Z150" s="669"/>
      <c r="AA150" s="669"/>
      <c r="AB150" s="669"/>
      <c r="AC150" s="669"/>
      <c r="AD150" s="669"/>
      <c r="AE150" s="669"/>
      <c r="AF150" s="669"/>
      <c r="AG150" s="669"/>
      <c r="AH150" s="669"/>
      <c r="AI150" s="669"/>
      <c r="AJ150" s="669"/>
      <c r="AK150" s="669"/>
      <c r="AL150" s="669"/>
      <c r="AM150" s="669"/>
      <c r="AN150" s="669"/>
      <c r="AO150" s="669"/>
      <c r="AP150" s="669"/>
      <c r="AQ150" s="669"/>
      <c r="AR150" s="669"/>
      <c r="AS150" s="669"/>
      <c r="AT150" s="669"/>
      <c r="AU150" s="669"/>
    </row>
    <row r="151" spans="1:47" outlineLevel="2" x14ac:dyDescent="0.2">
      <c r="A151" s="586"/>
      <c r="B151" s="352">
        <v>5</v>
      </c>
      <c r="C151" s="352">
        <v>6</v>
      </c>
      <c r="D151" s="586"/>
      <c r="E151" s="696" t="s">
        <v>146</v>
      </c>
      <c r="F151" s="86" t="str">
        <f t="shared" ref="F151:K154" si="74">IF(INDEX(MBSItemsInc,$C$138,1)&lt;&gt;"",F$150*INDEX(MBSItemsInc,$C$138,$B151)*INDEX(MBSItemsInc,$C$138,$C151),"")</f>
        <v/>
      </c>
      <c r="G151" s="86" t="str">
        <f t="shared" si="74"/>
        <v/>
      </c>
      <c r="H151" s="86" t="str">
        <f t="shared" si="74"/>
        <v/>
      </c>
      <c r="I151" s="86" t="str">
        <f t="shared" si="74"/>
        <v/>
      </c>
      <c r="J151" s="86" t="str">
        <f t="shared" si="74"/>
        <v/>
      </c>
      <c r="K151" s="86" t="str">
        <f t="shared" si="74"/>
        <v/>
      </c>
      <c r="M151" s="586"/>
      <c r="N151" s="164"/>
      <c r="O151" s="164"/>
      <c r="P151" s="164"/>
      <c r="Q151" s="164"/>
      <c r="R151" s="164"/>
      <c r="S151" s="164"/>
      <c r="T151" s="164"/>
      <c r="V151" s="98"/>
      <c r="W151" s="98"/>
      <c r="X151" s="98"/>
      <c r="Y151" s="669"/>
      <c r="Z151" s="669"/>
      <c r="AA151" s="669"/>
      <c r="AB151" s="669"/>
      <c r="AC151" s="669"/>
      <c r="AD151" s="669"/>
      <c r="AE151" s="669"/>
      <c r="AF151" s="669"/>
      <c r="AG151" s="669"/>
      <c r="AH151" s="669"/>
      <c r="AI151" s="669"/>
      <c r="AJ151" s="669"/>
      <c r="AK151" s="669"/>
      <c r="AL151" s="669"/>
      <c r="AM151" s="669"/>
      <c r="AN151" s="669"/>
      <c r="AO151" s="669"/>
      <c r="AP151" s="669"/>
      <c r="AQ151" s="669"/>
      <c r="AR151" s="669"/>
      <c r="AS151" s="669"/>
      <c r="AT151" s="669"/>
      <c r="AU151" s="669"/>
    </row>
    <row r="152" spans="1:47" outlineLevel="2" x14ac:dyDescent="0.2">
      <c r="A152" s="586"/>
      <c r="B152" s="352">
        <v>5</v>
      </c>
      <c r="C152" s="352">
        <v>7</v>
      </c>
      <c r="D152" s="586"/>
      <c r="E152" s="696" t="s">
        <v>147</v>
      </c>
      <c r="F152" s="86" t="str">
        <f t="shared" si="74"/>
        <v/>
      </c>
      <c r="G152" s="86" t="str">
        <f t="shared" si="74"/>
        <v/>
      </c>
      <c r="H152" s="86" t="str">
        <f t="shared" si="74"/>
        <v/>
      </c>
      <c r="I152" s="86" t="str">
        <f t="shared" si="74"/>
        <v/>
      </c>
      <c r="J152" s="86" t="str">
        <f t="shared" si="74"/>
        <v/>
      </c>
      <c r="K152" s="86" t="str">
        <f t="shared" si="74"/>
        <v/>
      </c>
      <c r="M152" s="586"/>
      <c r="N152" s="164"/>
      <c r="O152" s="164"/>
      <c r="P152" s="164"/>
      <c r="Q152" s="164"/>
      <c r="R152" s="164"/>
      <c r="S152" s="164"/>
      <c r="T152" s="164"/>
      <c r="V152" s="98"/>
      <c r="W152" s="98"/>
      <c r="X152" s="98"/>
      <c r="Y152" s="669"/>
      <c r="Z152" s="669"/>
      <c r="AA152" s="669"/>
      <c r="AB152" s="669"/>
      <c r="AC152" s="669"/>
      <c r="AD152" s="669"/>
      <c r="AE152" s="669"/>
      <c r="AF152" s="669"/>
      <c r="AG152" s="669"/>
      <c r="AH152" s="669"/>
      <c r="AI152" s="669"/>
      <c r="AJ152" s="669"/>
      <c r="AK152" s="669"/>
      <c r="AL152" s="669"/>
      <c r="AM152" s="669"/>
      <c r="AN152" s="669"/>
      <c r="AO152" s="669"/>
      <c r="AP152" s="669"/>
      <c r="AQ152" s="669"/>
      <c r="AR152" s="669"/>
      <c r="AS152" s="669"/>
      <c r="AT152" s="669"/>
      <c r="AU152" s="669"/>
    </row>
    <row r="153" spans="1:47" outlineLevel="2" x14ac:dyDescent="0.2">
      <c r="A153" s="586"/>
      <c r="B153" s="352">
        <v>4</v>
      </c>
      <c r="C153" s="352">
        <v>6</v>
      </c>
      <c r="D153" s="586"/>
      <c r="E153" s="696" t="s">
        <v>148</v>
      </c>
      <c r="F153" s="86" t="str">
        <f t="shared" si="74"/>
        <v/>
      </c>
      <c r="G153" s="86" t="str">
        <f t="shared" si="74"/>
        <v/>
      </c>
      <c r="H153" s="86" t="str">
        <f t="shared" si="74"/>
        <v/>
      </c>
      <c r="I153" s="86" t="str">
        <f t="shared" si="74"/>
        <v/>
      </c>
      <c r="J153" s="86" t="str">
        <f t="shared" si="74"/>
        <v/>
      </c>
      <c r="K153" s="86" t="str">
        <f t="shared" si="74"/>
        <v/>
      </c>
      <c r="M153" s="586"/>
      <c r="N153" s="164"/>
      <c r="O153" s="164"/>
      <c r="P153" s="164"/>
      <c r="Q153" s="164"/>
      <c r="R153" s="164"/>
      <c r="S153" s="164"/>
      <c r="T153" s="164"/>
      <c r="V153" s="98"/>
      <c r="W153" s="98"/>
      <c r="X153" s="98"/>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row>
    <row r="154" spans="1:47" outlineLevel="2" x14ac:dyDescent="0.2">
      <c r="A154" s="586"/>
      <c r="B154" s="352">
        <v>4</v>
      </c>
      <c r="C154" s="352">
        <v>7</v>
      </c>
      <c r="D154" s="586"/>
      <c r="E154" s="698" t="s">
        <v>149</v>
      </c>
      <c r="F154" s="86" t="str">
        <f t="shared" si="74"/>
        <v/>
      </c>
      <c r="G154" s="86" t="str">
        <f t="shared" si="74"/>
        <v/>
      </c>
      <c r="H154" s="86" t="str">
        <f t="shared" si="74"/>
        <v/>
      </c>
      <c r="I154" s="86" t="str">
        <f t="shared" si="74"/>
        <v/>
      </c>
      <c r="J154" s="86" t="str">
        <f t="shared" si="74"/>
        <v/>
      </c>
      <c r="K154" s="86" t="str">
        <f t="shared" si="74"/>
        <v/>
      </c>
      <c r="M154" s="586"/>
      <c r="N154" s="164"/>
      <c r="O154" s="164"/>
      <c r="P154" s="164"/>
      <c r="Q154" s="164"/>
      <c r="R154" s="164"/>
      <c r="S154" s="164"/>
      <c r="T154" s="164"/>
      <c r="V154" s="98"/>
      <c r="W154" s="98"/>
      <c r="X154" s="98"/>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row>
    <row r="155" spans="1:47" outlineLevel="1" x14ac:dyDescent="0.2">
      <c r="A155" s="586"/>
      <c r="B155" s="586"/>
      <c r="C155" s="586"/>
      <c r="D155" s="586"/>
      <c r="E155" s="586"/>
      <c r="F155" s="586"/>
      <c r="G155" s="586"/>
      <c r="H155" s="586"/>
      <c r="I155" s="586"/>
      <c r="J155" s="586"/>
      <c r="K155" s="586"/>
      <c r="L155" s="586"/>
      <c r="M155" s="586"/>
      <c r="N155" s="164"/>
      <c r="O155" s="164"/>
      <c r="P155" s="164"/>
      <c r="Q155" s="164"/>
      <c r="R155" s="164"/>
      <c r="S155" s="164"/>
      <c r="T155" s="164"/>
      <c r="V155" s="98"/>
      <c r="W155" s="98"/>
      <c r="X155" s="98"/>
      <c r="Y155" s="669"/>
      <c r="Z155" s="669"/>
      <c r="AA155" s="669"/>
      <c r="AB155" s="669"/>
      <c r="AC155" s="669"/>
      <c r="AD155" s="669"/>
      <c r="AE155" s="669"/>
      <c r="AF155" s="669"/>
      <c r="AG155" s="669"/>
      <c r="AH155" s="669"/>
      <c r="AI155" s="669"/>
      <c r="AJ155" s="669"/>
      <c r="AK155" s="669"/>
      <c r="AL155" s="669"/>
      <c r="AM155" s="669"/>
      <c r="AN155" s="669"/>
      <c r="AO155" s="669"/>
      <c r="AP155" s="669"/>
      <c r="AQ155" s="669"/>
      <c r="AR155" s="669"/>
      <c r="AS155" s="669"/>
      <c r="AT155" s="669"/>
      <c r="AU155" s="669"/>
    </row>
    <row r="156" spans="1:47" ht="15.75" outlineLevel="1" x14ac:dyDescent="0.2">
      <c r="A156" s="586"/>
      <c r="B156" s="586"/>
      <c r="C156" s="352">
        <v>6</v>
      </c>
      <c r="D156" s="110" t="str">
        <f>INDEX(MBSNamesNew,C156)</f>
        <v>** NOT USED **</v>
      </c>
      <c r="E156" s="110"/>
      <c r="F156" s="154"/>
      <c r="G156" s="154"/>
      <c r="H156" s="154"/>
      <c r="I156" s="154"/>
      <c r="J156" s="782" t="str">
        <f>IF(D156&lt;&gt;MsgNotUsed,"Co-payment group " &amp; K43,"")</f>
        <v/>
      </c>
      <c r="K156" s="782"/>
      <c r="L156" s="154"/>
      <c r="M156" s="154"/>
      <c r="N156" s="154"/>
      <c r="O156" s="154"/>
      <c r="P156" s="154"/>
      <c r="Q156" s="154"/>
      <c r="R156" s="154"/>
      <c r="S156" s="154"/>
      <c r="T156" s="154"/>
      <c r="V156" s="98"/>
      <c r="W156" s="98"/>
      <c r="X156" s="98"/>
      <c r="Y156" s="669"/>
      <c r="Z156" s="669"/>
      <c r="AA156" s="669"/>
      <c r="AB156" s="669"/>
      <c r="AC156" s="669"/>
      <c r="AD156" s="669"/>
      <c r="AE156" s="669"/>
      <c r="AF156" s="669"/>
      <c r="AG156" s="669"/>
      <c r="AH156" s="669"/>
      <c r="AI156" s="669"/>
      <c r="AJ156" s="669"/>
      <c r="AK156" s="669"/>
      <c r="AL156" s="669"/>
      <c r="AM156" s="669"/>
      <c r="AN156" s="669"/>
      <c r="AO156" s="669"/>
      <c r="AP156" s="669"/>
      <c r="AQ156" s="669"/>
      <c r="AR156" s="669"/>
      <c r="AS156" s="669"/>
      <c r="AT156" s="669"/>
      <c r="AU156" s="669"/>
    </row>
    <row r="157" spans="1:47" outlineLevel="2" x14ac:dyDescent="0.2">
      <c r="A157" s="586"/>
      <c r="B157" s="586"/>
      <c r="C157" s="586"/>
      <c r="D157" s="674"/>
      <c r="E157" s="674"/>
      <c r="F157" s="691">
        <v>2</v>
      </c>
      <c r="G157" s="691">
        <v>3</v>
      </c>
      <c r="H157" s="691">
        <v>4</v>
      </c>
      <c r="I157" s="691">
        <v>5</v>
      </c>
      <c r="J157" s="691">
        <v>6</v>
      </c>
      <c r="K157" s="691">
        <v>7</v>
      </c>
      <c r="L157" s="691"/>
      <c r="M157" s="674"/>
      <c r="N157" s="674"/>
      <c r="O157" s="715"/>
      <c r="P157" s="674"/>
      <c r="Q157" s="674"/>
      <c r="R157" s="674"/>
      <c r="S157" s="674"/>
      <c r="T157" s="674"/>
      <c r="V157" s="98"/>
      <c r="W157" s="98"/>
      <c r="X157" s="98"/>
      <c r="Y157" s="669"/>
      <c r="Z157" s="669"/>
      <c r="AA157" s="669"/>
      <c r="AB157" s="669"/>
      <c r="AC157" s="669"/>
      <c r="AD157" s="669"/>
      <c r="AE157" s="669"/>
      <c r="AF157" s="669"/>
      <c r="AG157" s="669"/>
      <c r="AH157" s="669"/>
      <c r="AI157" s="669"/>
      <c r="AJ157" s="669"/>
      <c r="AK157" s="669"/>
      <c r="AL157" s="669"/>
      <c r="AM157" s="669"/>
      <c r="AN157" s="669"/>
      <c r="AO157" s="669"/>
      <c r="AP157" s="669"/>
      <c r="AQ157" s="669"/>
      <c r="AR157" s="669"/>
      <c r="AS157" s="669"/>
      <c r="AT157" s="669"/>
      <c r="AU157" s="669"/>
    </row>
    <row r="158" spans="1:47" ht="15" outlineLevel="2" x14ac:dyDescent="0.2">
      <c r="A158" s="586"/>
      <c r="B158" s="586"/>
      <c r="C158" s="586"/>
      <c r="D158" s="681" t="s">
        <v>0</v>
      </c>
      <c r="E158" s="681"/>
      <c r="F158" s="671">
        <f>FirstYear</f>
        <v>0</v>
      </c>
      <c r="G158" s="671">
        <f>F158+1</f>
        <v>1</v>
      </c>
      <c r="H158" s="671">
        <f>G158+1</f>
        <v>2</v>
      </c>
      <c r="I158" s="671">
        <f>H158+1</f>
        <v>3</v>
      </c>
      <c r="J158" s="671">
        <f>I158+1</f>
        <v>4</v>
      </c>
      <c r="K158" s="671">
        <f>J158+1</f>
        <v>5</v>
      </c>
      <c r="M158" s="149"/>
      <c r="N158" s="692"/>
      <c r="O158" s="692"/>
      <c r="P158" s="692"/>
      <c r="Q158" s="99"/>
      <c r="R158" s="99"/>
      <c r="S158" s="99"/>
      <c r="T158" s="99"/>
      <c r="V158" s="99"/>
      <c r="W158" s="99"/>
      <c r="X158" s="99"/>
      <c r="Y158" s="669"/>
      <c r="Z158" s="669"/>
      <c r="AA158" s="669"/>
      <c r="AB158" s="669"/>
      <c r="AC158" s="669"/>
      <c r="AD158" s="669"/>
      <c r="AE158" s="669"/>
      <c r="AF158" s="669"/>
      <c r="AG158" s="669"/>
      <c r="AH158" s="669"/>
      <c r="AI158" s="669"/>
      <c r="AJ158" s="669"/>
      <c r="AK158" s="669"/>
      <c r="AL158" s="669"/>
      <c r="AM158" s="669"/>
      <c r="AN158" s="669"/>
      <c r="AO158" s="669"/>
      <c r="AP158" s="669"/>
      <c r="AQ158" s="669"/>
      <c r="AR158" s="669"/>
      <c r="AS158" s="669"/>
      <c r="AT158" s="669"/>
      <c r="AU158" s="669"/>
    </row>
    <row r="159" spans="1:47" outlineLevel="2" x14ac:dyDescent="0.2">
      <c r="A159" s="586"/>
      <c r="B159" s="586"/>
      <c r="C159" s="586"/>
      <c r="D159" s="586"/>
      <c r="E159" s="590" t="s">
        <v>269</v>
      </c>
      <c r="F159" s="397">
        <f t="shared" ref="F159:K159" si="75">F160*$P43</f>
        <v>0</v>
      </c>
      <c r="G159" s="397">
        <f t="shared" si="75"/>
        <v>0</v>
      </c>
      <c r="H159" s="397">
        <f t="shared" si="75"/>
        <v>0</v>
      </c>
      <c r="I159" s="397">
        <f t="shared" si="75"/>
        <v>0</v>
      </c>
      <c r="J159" s="397">
        <f t="shared" si="75"/>
        <v>0</v>
      </c>
      <c r="K159" s="397">
        <f t="shared" si="75"/>
        <v>0</v>
      </c>
      <c r="M159" s="149"/>
      <c r="N159" s="692"/>
      <c r="O159" s="692"/>
      <c r="P159" s="692"/>
      <c r="Q159" s="99"/>
      <c r="R159" s="99"/>
      <c r="S159" s="99"/>
      <c r="T159" s="99"/>
      <c r="V159" s="97">
        <f>FirstYear</f>
        <v>0</v>
      </c>
      <c r="W159" s="96">
        <f>IF(F160&lt;&gt;0,F160-F163,0)</f>
        <v>0</v>
      </c>
      <c r="X159" s="99"/>
      <c r="Y159" s="669"/>
      <c r="Z159" s="669"/>
      <c r="AA159" s="669"/>
      <c r="AB159" s="669"/>
      <c r="AC159" s="669"/>
      <c r="AD159" s="669"/>
      <c r="AE159" s="669"/>
      <c r="AF159" s="669"/>
      <c r="AG159" s="669"/>
      <c r="AH159" s="669"/>
      <c r="AI159" s="669"/>
      <c r="AJ159" s="669"/>
      <c r="AK159" s="669"/>
      <c r="AL159" s="669"/>
      <c r="AM159" s="669"/>
      <c r="AN159" s="669"/>
      <c r="AO159" s="669"/>
      <c r="AP159" s="669"/>
      <c r="AQ159" s="669"/>
      <c r="AR159" s="669"/>
      <c r="AS159" s="669"/>
      <c r="AT159" s="669"/>
      <c r="AU159" s="669"/>
    </row>
    <row r="160" spans="1:47" ht="14.25" outlineLevel="2" x14ac:dyDescent="0.2">
      <c r="A160" s="586"/>
      <c r="B160" s="586"/>
      <c r="C160" s="352" t="str">
        <f>W58</f>
        <v/>
      </c>
      <c r="D160" s="586"/>
      <c r="E160" s="85" t="s">
        <v>80</v>
      </c>
      <c r="F160" s="86">
        <f t="shared" ref="F160:K160" si="76">IF($W$43=2,$N$43*IF($C160&lt;&gt;"",INDEX(PBSScriptsNew,$C160,F157),0),IF($Y43&lt;&gt;0,$M$43*INDEX(MBSPBSInc,$C156,($Y43-1)*7+F157),0))*$V$43</f>
        <v>0</v>
      </c>
      <c r="G160" s="86">
        <f t="shared" si="76"/>
        <v>0</v>
      </c>
      <c r="H160" s="86">
        <f t="shared" si="76"/>
        <v>0</v>
      </c>
      <c r="I160" s="86">
        <f t="shared" si="76"/>
        <v>0</v>
      </c>
      <c r="J160" s="86">
        <f t="shared" si="76"/>
        <v>0</v>
      </c>
      <c r="K160" s="86">
        <f t="shared" si="76"/>
        <v>0</v>
      </c>
      <c r="M160" s="701"/>
      <c r="N160" s="684"/>
      <c r="O160" s="684"/>
      <c r="P160" s="684"/>
      <c r="Q160" s="694"/>
      <c r="R160" s="694"/>
      <c r="S160" s="694"/>
      <c r="T160" s="694"/>
      <c r="V160" s="97">
        <f>V159+1</f>
        <v>1</v>
      </c>
      <c r="W160" s="96">
        <f>IF(G160&lt;&gt;0,G160-G163,0)</f>
        <v>0</v>
      </c>
      <c r="X160" s="695"/>
      <c r="Y160" s="669"/>
      <c r="Z160" s="669"/>
      <c r="AA160" s="669"/>
      <c r="AB160" s="669"/>
      <c r="AC160" s="669"/>
      <c r="AD160" s="669"/>
      <c r="AE160" s="669"/>
      <c r="AF160" s="669"/>
      <c r="AG160" s="669"/>
      <c r="AH160" s="669"/>
      <c r="AI160" s="669"/>
      <c r="AJ160" s="669"/>
      <c r="AK160" s="669"/>
      <c r="AL160" s="669"/>
      <c r="AM160" s="669"/>
      <c r="AN160" s="669"/>
      <c r="AO160" s="669"/>
      <c r="AP160" s="669"/>
      <c r="AQ160" s="669"/>
      <c r="AR160" s="669"/>
      <c r="AS160" s="669"/>
      <c r="AT160" s="669"/>
      <c r="AU160" s="669"/>
    </row>
    <row r="161" spans="1:47" outlineLevel="2" x14ac:dyDescent="0.2">
      <c r="A161" s="586"/>
      <c r="B161" s="352">
        <v>5</v>
      </c>
      <c r="C161" s="352">
        <v>6</v>
      </c>
      <c r="D161" s="586"/>
      <c r="E161" s="696" t="s">
        <v>146</v>
      </c>
      <c r="F161" s="86" t="str">
        <f t="shared" ref="F161:K164" si="77">IF(INDEX(MBSItemsInc,$C$156,1)&lt;&gt;"",F$160*INDEX(MBSItemsInc,$C$156,$B161)*INDEX(MBSItemsInc,$C$156,$C161),"")</f>
        <v/>
      </c>
      <c r="G161" s="86" t="str">
        <f t="shared" si="77"/>
        <v/>
      </c>
      <c r="H161" s="86" t="str">
        <f t="shared" si="77"/>
        <v/>
      </c>
      <c r="I161" s="86" t="str">
        <f t="shared" si="77"/>
        <v/>
      </c>
      <c r="J161" s="86" t="str">
        <f t="shared" si="77"/>
        <v/>
      </c>
      <c r="K161" s="86" t="str">
        <f t="shared" si="77"/>
        <v/>
      </c>
      <c r="M161" s="149"/>
      <c r="N161" s="697"/>
      <c r="O161" s="697"/>
      <c r="P161" s="697"/>
      <c r="Q161" s="694"/>
      <c r="R161" s="694"/>
      <c r="S161" s="694"/>
      <c r="T161" s="694"/>
      <c r="V161" s="97">
        <f>V160+1</f>
        <v>2</v>
      </c>
      <c r="W161" s="96">
        <f>IF(H160&lt;&gt;0,H160-H163,0)</f>
        <v>0</v>
      </c>
      <c r="X161" s="695"/>
      <c r="Y161" s="669"/>
      <c r="Z161" s="669"/>
      <c r="AA161" s="669"/>
      <c r="AB161" s="669"/>
      <c r="AC161" s="669"/>
      <c r="AD161" s="669"/>
      <c r="AE161" s="669"/>
      <c r="AF161" s="669"/>
      <c r="AG161" s="669"/>
      <c r="AH161" s="669"/>
      <c r="AI161" s="669"/>
      <c r="AJ161" s="669"/>
      <c r="AK161" s="669"/>
      <c r="AL161" s="669"/>
      <c r="AM161" s="669"/>
      <c r="AN161" s="669"/>
      <c r="AO161" s="669"/>
      <c r="AP161" s="669"/>
      <c r="AQ161" s="669"/>
      <c r="AR161" s="669"/>
      <c r="AS161" s="669"/>
      <c r="AT161" s="669"/>
      <c r="AU161" s="669"/>
    </row>
    <row r="162" spans="1:47" outlineLevel="2" x14ac:dyDescent="0.2">
      <c r="A162" s="586"/>
      <c r="B162" s="352">
        <v>5</v>
      </c>
      <c r="C162" s="352">
        <v>7</v>
      </c>
      <c r="D162" s="586"/>
      <c r="E162" s="696" t="s">
        <v>147</v>
      </c>
      <c r="F162" s="86" t="str">
        <f t="shared" si="77"/>
        <v/>
      </c>
      <c r="G162" s="86" t="str">
        <f t="shared" si="77"/>
        <v/>
      </c>
      <c r="H162" s="86" t="str">
        <f t="shared" si="77"/>
        <v/>
      </c>
      <c r="I162" s="86" t="str">
        <f t="shared" si="77"/>
        <v/>
      </c>
      <c r="J162" s="86" t="str">
        <f t="shared" si="77"/>
        <v/>
      </c>
      <c r="K162" s="86" t="str">
        <f t="shared" si="77"/>
        <v/>
      </c>
      <c r="M162" s="149"/>
      <c r="N162" s="697"/>
      <c r="O162" s="697"/>
      <c r="P162" s="697"/>
      <c r="Q162" s="694"/>
      <c r="R162" s="694"/>
      <c r="S162" s="694"/>
      <c r="T162" s="694"/>
      <c r="V162" s="97">
        <f>V161+1</f>
        <v>3</v>
      </c>
      <c r="W162" s="96">
        <f>IF(I160&lt;&gt;0,I160-I163,0)</f>
        <v>0</v>
      </c>
      <c r="X162" s="695"/>
      <c r="Y162" s="669"/>
      <c r="Z162" s="669"/>
      <c r="AA162" s="669"/>
      <c r="AB162" s="669"/>
      <c r="AC162" s="669"/>
      <c r="AD162" s="669"/>
      <c r="AE162" s="669"/>
      <c r="AF162" s="669"/>
      <c r="AG162" s="669"/>
      <c r="AH162" s="669"/>
      <c r="AI162" s="669"/>
      <c r="AJ162" s="669"/>
      <c r="AK162" s="669"/>
      <c r="AL162" s="669"/>
      <c r="AM162" s="669"/>
      <c r="AN162" s="669"/>
      <c r="AO162" s="669"/>
      <c r="AP162" s="669"/>
      <c r="AQ162" s="669"/>
      <c r="AR162" s="669"/>
      <c r="AS162" s="669"/>
      <c r="AT162" s="669"/>
      <c r="AU162" s="669"/>
    </row>
    <row r="163" spans="1:47" outlineLevel="2" x14ac:dyDescent="0.2">
      <c r="A163" s="586"/>
      <c r="B163" s="352">
        <v>4</v>
      </c>
      <c r="C163" s="352">
        <v>6</v>
      </c>
      <c r="D163" s="586"/>
      <c r="E163" s="696" t="s">
        <v>148</v>
      </c>
      <c r="F163" s="86" t="str">
        <f t="shared" si="77"/>
        <v/>
      </c>
      <c r="G163" s="86" t="str">
        <f t="shared" si="77"/>
        <v/>
      </c>
      <c r="H163" s="86" t="str">
        <f t="shared" si="77"/>
        <v/>
      </c>
      <c r="I163" s="86" t="str">
        <f t="shared" si="77"/>
        <v/>
      </c>
      <c r="J163" s="86" t="str">
        <f t="shared" si="77"/>
        <v/>
      </c>
      <c r="K163" s="86" t="str">
        <f t="shared" si="77"/>
        <v/>
      </c>
      <c r="M163" s="149"/>
      <c r="N163" s="697"/>
      <c r="O163" s="697"/>
      <c r="P163" s="697"/>
      <c r="Q163" s="694"/>
      <c r="R163" s="694"/>
      <c r="S163" s="694"/>
      <c r="T163" s="694"/>
      <c r="V163" s="97">
        <f>V162+1</f>
        <v>4</v>
      </c>
      <c r="W163" s="96">
        <f>IF(J160&lt;&gt;0,J160-J163,0)</f>
        <v>0</v>
      </c>
      <c r="X163" s="695"/>
      <c r="Y163" s="669"/>
      <c r="Z163" s="669"/>
      <c r="AA163" s="669"/>
      <c r="AB163" s="669"/>
      <c r="AC163" s="669"/>
      <c r="AD163" s="669"/>
      <c r="AE163" s="669"/>
      <c r="AF163" s="669"/>
      <c r="AG163" s="669"/>
      <c r="AH163" s="669"/>
      <c r="AI163" s="669"/>
      <c r="AJ163" s="669"/>
      <c r="AK163" s="669"/>
      <c r="AL163" s="669"/>
      <c r="AM163" s="669"/>
      <c r="AN163" s="669"/>
      <c r="AO163" s="669"/>
      <c r="AP163" s="669"/>
      <c r="AQ163" s="669"/>
      <c r="AR163" s="669"/>
      <c r="AS163" s="669"/>
      <c r="AT163" s="669"/>
      <c r="AU163" s="669"/>
    </row>
    <row r="164" spans="1:47" ht="12.75" customHeight="1" outlineLevel="2" x14ac:dyDescent="0.2">
      <c r="A164" s="586"/>
      <c r="B164" s="352">
        <v>4</v>
      </c>
      <c r="C164" s="352">
        <v>7</v>
      </c>
      <c r="D164" s="586"/>
      <c r="E164" s="698" t="s">
        <v>149</v>
      </c>
      <c r="F164" s="86" t="str">
        <f t="shared" si="77"/>
        <v/>
      </c>
      <c r="G164" s="86" t="str">
        <f t="shared" si="77"/>
        <v/>
      </c>
      <c r="H164" s="86" t="str">
        <f t="shared" si="77"/>
        <v/>
      </c>
      <c r="I164" s="86" t="str">
        <f t="shared" si="77"/>
        <v/>
      </c>
      <c r="J164" s="86" t="str">
        <f t="shared" si="77"/>
        <v/>
      </c>
      <c r="K164" s="86" t="str">
        <f t="shared" si="77"/>
        <v/>
      </c>
      <c r="M164" s="149"/>
      <c r="N164" s="697"/>
      <c r="O164" s="697"/>
      <c r="P164" s="697"/>
      <c r="Q164" s="694"/>
      <c r="R164" s="694"/>
      <c r="S164" s="694"/>
      <c r="T164" s="694"/>
      <c r="V164" s="97">
        <f>V163+1</f>
        <v>5</v>
      </c>
      <c r="W164" s="96">
        <f>IF(K160&lt;&gt;0,K160-K163,0)</f>
        <v>0</v>
      </c>
      <c r="X164" s="695"/>
      <c r="Y164" s="669"/>
      <c r="Z164" s="669"/>
      <c r="AA164" s="669"/>
      <c r="AB164" s="669"/>
      <c r="AC164" s="669"/>
      <c r="AD164" s="669"/>
      <c r="AE164" s="669"/>
      <c r="AF164" s="669"/>
      <c r="AG164" s="669"/>
      <c r="AH164" s="669"/>
      <c r="AI164" s="669"/>
      <c r="AJ164" s="669"/>
      <c r="AK164" s="669"/>
      <c r="AL164" s="669"/>
      <c r="AM164" s="669"/>
      <c r="AN164" s="669"/>
      <c r="AO164" s="669"/>
      <c r="AP164" s="669"/>
      <c r="AQ164" s="669"/>
      <c r="AR164" s="669"/>
      <c r="AS164" s="669"/>
      <c r="AT164" s="669"/>
      <c r="AU164" s="669"/>
    </row>
    <row r="165" spans="1:47" outlineLevel="2" x14ac:dyDescent="0.2">
      <c r="A165" s="586"/>
      <c r="B165" s="586"/>
      <c r="C165" s="586"/>
      <c r="D165" s="586"/>
      <c r="E165" s="586"/>
      <c r="F165" s="586"/>
      <c r="G165" s="586"/>
      <c r="H165" s="586"/>
      <c r="I165" s="586"/>
      <c r="J165" s="586"/>
      <c r="K165" s="586"/>
      <c r="M165" s="586"/>
      <c r="N165" s="164"/>
      <c r="O165" s="164"/>
      <c r="P165" s="164"/>
      <c r="Q165" s="164"/>
      <c r="R165" s="164"/>
      <c r="S165" s="164"/>
      <c r="T165" s="164"/>
      <c r="V165" s="98"/>
      <c r="W165" s="98"/>
      <c r="X165" s="98"/>
      <c r="Y165" s="669"/>
      <c r="Z165" s="669"/>
      <c r="AA165" s="669"/>
      <c r="AB165" s="669"/>
      <c r="AC165" s="669"/>
      <c r="AD165" s="669"/>
      <c r="AE165" s="669"/>
      <c r="AF165" s="669"/>
      <c r="AG165" s="669"/>
      <c r="AH165" s="669"/>
      <c r="AI165" s="669"/>
      <c r="AJ165" s="669"/>
      <c r="AK165" s="669"/>
      <c r="AL165" s="669"/>
      <c r="AM165" s="669"/>
      <c r="AN165" s="669"/>
      <c r="AO165" s="669"/>
      <c r="AP165" s="669"/>
      <c r="AQ165" s="669"/>
      <c r="AR165" s="669"/>
      <c r="AS165" s="669"/>
      <c r="AT165" s="669"/>
      <c r="AU165" s="669"/>
    </row>
    <row r="166" spans="1:47" ht="15" outlineLevel="2" x14ac:dyDescent="0.2">
      <c r="A166" s="586"/>
      <c r="B166" s="586"/>
      <c r="C166" s="586"/>
      <c r="D166" s="681" t="s">
        <v>1</v>
      </c>
      <c r="E166" s="681"/>
      <c r="F166" s="671">
        <f>FirstYear</f>
        <v>0</v>
      </c>
      <c r="G166" s="671">
        <f>F166+1</f>
        <v>1</v>
      </c>
      <c r="H166" s="671">
        <f>G166+1</f>
        <v>2</v>
      </c>
      <c r="I166" s="671">
        <f>H166+1</f>
        <v>3</v>
      </c>
      <c r="J166" s="671">
        <f>I166+1</f>
        <v>4</v>
      </c>
      <c r="K166" s="671">
        <f>J166+1</f>
        <v>5</v>
      </c>
      <c r="M166" s="586"/>
      <c r="N166" s="164"/>
      <c r="O166" s="164"/>
      <c r="P166" s="164"/>
      <c r="Q166" s="164"/>
      <c r="R166" s="164"/>
      <c r="S166" s="164"/>
      <c r="T166" s="164"/>
      <c r="V166" s="98"/>
      <c r="W166" s="98"/>
      <c r="X166" s="98"/>
      <c r="Y166" s="669"/>
      <c r="Z166" s="669"/>
      <c r="AA166" s="669"/>
      <c r="AB166" s="669"/>
      <c r="AC166" s="669"/>
      <c r="AD166" s="669"/>
      <c r="AE166" s="669"/>
      <c r="AF166" s="669"/>
      <c r="AG166" s="669"/>
      <c r="AH166" s="669"/>
      <c r="AI166" s="669"/>
      <c r="AJ166" s="669"/>
      <c r="AK166" s="669"/>
      <c r="AL166" s="669"/>
      <c r="AM166" s="669"/>
      <c r="AN166" s="669"/>
      <c r="AO166" s="669"/>
      <c r="AP166" s="669"/>
      <c r="AQ166" s="669"/>
      <c r="AR166" s="669"/>
      <c r="AS166" s="669"/>
      <c r="AT166" s="669"/>
      <c r="AU166" s="669"/>
    </row>
    <row r="167" spans="1:47" outlineLevel="2" x14ac:dyDescent="0.2">
      <c r="A167" s="586"/>
      <c r="B167" s="586"/>
      <c r="C167" s="586"/>
      <c r="D167" s="586"/>
      <c r="E167" s="590" t="s">
        <v>269</v>
      </c>
      <c r="F167" s="397">
        <f t="shared" ref="F167:K167" si="78">F168*$P43</f>
        <v>0</v>
      </c>
      <c r="G167" s="397">
        <f t="shared" si="78"/>
        <v>0</v>
      </c>
      <c r="H167" s="397">
        <f t="shared" si="78"/>
        <v>0</v>
      </c>
      <c r="I167" s="397">
        <f t="shared" si="78"/>
        <v>0</v>
      </c>
      <c r="J167" s="397">
        <f t="shared" si="78"/>
        <v>0</v>
      </c>
      <c r="K167" s="397">
        <f t="shared" si="78"/>
        <v>0</v>
      </c>
      <c r="M167" s="586"/>
      <c r="N167" s="164"/>
      <c r="O167" s="164"/>
      <c r="P167" s="164"/>
      <c r="Q167" s="164"/>
      <c r="R167" s="164"/>
      <c r="S167" s="164"/>
      <c r="T167" s="164"/>
      <c r="V167" s="98"/>
      <c r="W167" s="98"/>
      <c r="X167" s="98"/>
      <c r="Y167" s="669"/>
      <c r="Z167" s="669"/>
      <c r="AA167" s="669"/>
      <c r="AB167" s="669"/>
      <c r="AC167" s="669"/>
      <c r="AD167" s="669"/>
      <c r="AE167" s="669"/>
      <c r="AF167" s="669"/>
      <c r="AG167" s="669"/>
      <c r="AH167" s="669"/>
      <c r="AI167" s="669"/>
      <c r="AJ167" s="669"/>
      <c r="AK167" s="669"/>
      <c r="AL167" s="669"/>
      <c r="AM167" s="669"/>
      <c r="AN167" s="669"/>
      <c r="AO167" s="669"/>
      <c r="AP167" s="669"/>
      <c r="AQ167" s="669"/>
      <c r="AR167" s="669"/>
      <c r="AS167" s="669"/>
      <c r="AT167" s="669"/>
      <c r="AU167" s="669"/>
    </row>
    <row r="168" spans="1:47" outlineLevel="2" x14ac:dyDescent="0.2">
      <c r="A168" s="586"/>
      <c r="B168" s="586"/>
      <c r="C168" s="352" t="str">
        <f>W58</f>
        <v/>
      </c>
      <c r="D168" s="586"/>
      <c r="E168" s="85" t="s">
        <v>80</v>
      </c>
      <c r="F168" s="86">
        <f t="shared" ref="F168:K168" si="79">IF($W$43=2,$N$43*IF($C168&lt;&gt;"",INDEX(RPBSScriptsNew,$C168,F157),0),IF($Y43&lt;&gt;0,$M$43*INDEX(MBSRPBSInc,$C156,($Y43-1)*7+F157),0))*$V$43</f>
        <v>0</v>
      </c>
      <c r="G168" s="86">
        <f t="shared" si="79"/>
        <v>0</v>
      </c>
      <c r="H168" s="86">
        <f t="shared" si="79"/>
        <v>0</v>
      </c>
      <c r="I168" s="86">
        <f t="shared" si="79"/>
        <v>0</v>
      </c>
      <c r="J168" s="86">
        <f t="shared" si="79"/>
        <v>0</v>
      </c>
      <c r="K168" s="86">
        <f t="shared" si="79"/>
        <v>0</v>
      </c>
      <c r="M168" s="586"/>
      <c r="N168" s="164"/>
      <c r="O168" s="164"/>
      <c r="P168" s="164"/>
      <c r="Q168" s="164"/>
      <c r="R168" s="164"/>
      <c r="S168" s="164"/>
      <c r="T168" s="164"/>
      <c r="V168" s="98"/>
      <c r="W168" s="98"/>
      <c r="X168" s="98"/>
      <c r="Y168" s="669"/>
      <c r="Z168" s="669"/>
      <c r="AA168" s="669"/>
      <c r="AB168" s="669"/>
      <c r="AC168" s="669"/>
      <c r="AD168" s="669"/>
      <c r="AE168" s="669"/>
      <c r="AF168" s="669"/>
      <c r="AG168" s="669"/>
      <c r="AH168" s="669"/>
      <c r="AI168" s="669"/>
      <c r="AJ168" s="669"/>
      <c r="AK168" s="669"/>
      <c r="AL168" s="669"/>
      <c r="AM168" s="669"/>
      <c r="AN168" s="669"/>
      <c r="AO168" s="669"/>
      <c r="AP168" s="669"/>
      <c r="AQ168" s="669"/>
      <c r="AR168" s="669"/>
      <c r="AS168" s="669"/>
      <c r="AT168" s="669"/>
      <c r="AU168" s="669"/>
    </row>
    <row r="169" spans="1:47" outlineLevel="2" x14ac:dyDescent="0.2">
      <c r="A169" s="586"/>
      <c r="B169" s="352">
        <v>5</v>
      </c>
      <c r="C169" s="352">
        <v>6</v>
      </c>
      <c r="D169" s="586"/>
      <c r="E169" s="696" t="s">
        <v>146</v>
      </c>
      <c r="F169" s="86" t="str">
        <f t="shared" ref="F169:K172" si="80">IF(INDEX(MBSItemsInc,$C$156,1)&lt;&gt;"",F$168*INDEX(MBSItemsInc,$C$156,$B169)*INDEX(MBSItemsInc,$C$156,$C169),"")</f>
        <v/>
      </c>
      <c r="G169" s="86" t="str">
        <f t="shared" si="80"/>
        <v/>
      </c>
      <c r="H169" s="86" t="str">
        <f t="shared" si="80"/>
        <v/>
      </c>
      <c r="I169" s="86" t="str">
        <f t="shared" si="80"/>
        <v/>
      </c>
      <c r="J169" s="86" t="str">
        <f t="shared" si="80"/>
        <v/>
      </c>
      <c r="K169" s="86" t="str">
        <f t="shared" si="80"/>
        <v/>
      </c>
      <c r="M169" s="586"/>
      <c r="N169" s="164"/>
      <c r="O169" s="164"/>
      <c r="P169" s="164"/>
      <c r="Q169" s="164"/>
      <c r="R169" s="164"/>
      <c r="S169" s="164"/>
      <c r="T169" s="164"/>
      <c r="V169" s="98"/>
      <c r="W169" s="98"/>
      <c r="X169" s="98"/>
      <c r="Y169" s="669"/>
      <c r="Z169" s="669"/>
      <c r="AA169" s="669"/>
      <c r="AB169" s="669"/>
      <c r="AC169" s="669"/>
      <c r="AD169" s="669"/>
      <c r="AE169" s="669"/>
      <c r="AF169" s="669"/>
      <c r="AG169" s="669"/>
      <c r="AH169" s="669"/>
      <c r="AI169" s="669"/>
      <c r="AJ169" s="669"/>
      <c r="AK169" s="669"/>
      <c r="AL169" s="669"/>
      <c r="AM169" s="669"/>
      <c r="AN169" s="669"/>
      <c r="AO169" s="669"/>
      <c r="AP169" s="669"/>
      <c r="AQ169" s="669"/>
      <c r="AR169" s="669"/>
      <c r="AS169" s="669"/>
      <c r="AT169" s="669"/>
      <c r="AU169" s="669"/>
    </row>
    <row r="170" spans="1:47" outlineLevel="2" x14ac:dyDescent="0.2">
      <c r="A170" s="586"/>
      <c r="B170" s="352">
        <v>5</v>
      </c>
      <c r="C170" s="352">
        <v>7</v>
      </c>
      <c r="D170" s="586"/>
      <c r="E170" s="696" t="s">
        <v>147</v>
      </c>
      <c r="F170" s="86" t="str">
        <f t="shared" si="80"/>
        <v/>
      </c>
      <c r="G170" s="86" t="str">
        <f t="shared" si="80"/>
        <v/>
      </c>
      <c r="H170" s="86" t="str">
        <f t="shared" si="80"/>
        <v/>
      </c>
      <c r="I170" s="86" t="str">
        <f t="shared" si="80"/>
        <v/>
      </c>
      <c r="J170" s="86" t="str">
        <f t="shared" si="80"/>
        <v/>
      </c>
      <c r="K170" s="86" t="str">
        <f t="shared" si="80"/>
        <v/>
      </c>
      <c r="M170" s="586"/>
      <c r="N170" s="164"/>
      <c r="O170" s="164"/>
      <c r="P170" s="164"/>
      <c r="Q170" s="164"/>
      <c r="R170" s="164"/>
      <c r="S170" s="164"/>
      <c r="T170" s="164"/>
      <c r="V170" s="98"/>
      <c r="W170" s="98"/>
      <c r="X170" s="98"/>
      <c r="Y170" s="669"/>
      <c r="Z170" s="669"/>
      <c r="AA170" s="669"/>
      <c r="AB170" s="669"/>
      <c r="AC170" s="669"/>
      <c r="AD170" s="669"/>
      <c r="AE170" s="669"/>
      <c r="AF170" s="669"/>
      <c r="AG170" s="669"/>
      <c r="AH170" s="669"/>
      <c r="AI170" s="669"/>
      <c r="AJ170" s="669"/>
      <c r="AK170" s="669"/>
      <c r="AL170" s="669"/>
      <c r="AM170" s="669"/>
      <c r="AN170" s="669"/>
      <c r="AO170" s="669"/>
      <c r="AP170" s="669"/>
      <c r="AQ170" s="669"/>
      <c r="AR170" s="669"/>
      <c r="AS170" s="669"/>
      <c r="AT170" s="669"/>
      <c r="AU170" s="669"/>
    </row>
    <row r="171" spans="1:47" outlineLevel="2" x14ac:dyDescent="0.2">
      <c r="A171" s="586"/>
      <c r="B171" s="352">
        <v>4</v>
      </c>
      <c r="C171" s="352">
        <v>6</v>
      </c>
      <c r="D171" s="586"/>
      <c r="E171" s="696" t="s">
        <v>148</v>
      </c>
      <c r="F171" s="86" t="str">
        <f t="shared" si="80"/>
        <v/>
      </c>
      <c r="G171" s="86" t="str">
        <f t="shared" si="80"/>
        <v/>
      </c>
      <c r="H171" s="86" t="str">
        <f t="shared" si="80"/>
        <v/>
      </c>
      <c r="I171" s="86" t="str">
        <f t="shared" si="80"/>
        <v/>
      </c>
      <c r="J171" s="86" t="str">
        <f t="shared" si="80"/>
        <v/>
      </c>
      <c r="K171" s="86" t="str">
        <f t="shared" si="80"/>
        <v/>
      </c>
      <c r="M171" s="586"/>
      <c r="N171" s="164"/>
      <c r="O171" s="164"/>
      <c r="P171" s="164"/>
      <c r="Q171" s="164"/>
      <c r="R171" s="164"/>
      <c r="S171" s="164"/>
      <c r="T171" s="164"/>
      <c r="V171" s="98"/>
      <c r="W171" s="98"/>
      <c r="X171" s="98"/>
      <c r="Y171" s="669"/>
      <c r="Z171" s="669"/>
      <c r="AA171" s="669"/>
      <c r="AB171" s="669"/>
      <c r="AC171" s="669"/>
      <c r="AD171" s="669"/>
      <c r="AE171" s="669"/>
      <c r="AF171" s="669"/>
      <c r="AG171" s="669"/>
      <c r="AH171" s="669"/>
      <c r="AI171" s="669"/>
      <c r="AJ171" s="669"/>
      <c r="AK171" s="669"/>
      <c r="AL171" s="669"/>
      <c r="AM171" s="669"/>
      <c r="AN171" s="669"/>
      <c r="AO171" s="669"/>
      <c r="AP171" s="669"/>
      <c r="AQ171" s="669"/>
      <c r="AR171" s="669"/>
      <c r="AS171" s="669"/>
      <c r="AT171" s="669"/>
      <c r="AU171" s="669"/>
    </row>
    <row r="172" spans="1:47" outlineLevel="2" x14ac:dyDescent="0.2">
      <c r="A172" s="586"/>
      <c r="B172" s="352">
        <v>4</v>
      </c>
      <c r="C172" s="352">
        <v>7</v>
      </c>
      <c r="D172" s="586"/>
      <c r="E172" s="698" t="s">
        <v>149</v>
      </c>
      <c r="F172" s="86" t="str">
        <f t="shared" si="80"/>
        <v/>
      </c>
      <c r="G172" s="86" t="str">
        <f t="shared" si="80"/>
        <v/>
      </c>
      <c r="H172" s="86" t="str">
        <f t="shared" si="80"/>
        <v/>
      </c>
      <c r="I172" s="86" t="str">
        <f t="shared" si="80"/>
        <v/>
      </c>
      <c r="J172" s="86" t="str">
        <f t="shared" si="80"/>
        <v/>
      </c>
      <c r="K172" s="86" t="str">
        <f t="shared" si="80"/>
        <v/>
      </c>
      <c r="M172" s="586"/>
      <c r="N172" s="164"/>
      <c r="O172" s="164"/>
      <c r="P172" s="164"/>
      <c r="Q172" s="164"/>
      <c r="R172" s="164"/>
      <c r="S172" s="164"/>
      <c r="T172" s="164"/>
      <c r="V172" s="98"/>
      <c r="W172" s="98"/>
      <c r="X172" s="98"/>
      <c r="Y172" s="669"/>
      <c r="Z172" s="669"/>
      <c r="AA172" s="669"/>
      <c r="AB172" s="669"/>
      <c r="AC172" s="669"/>
      <c r="AD172" s="669"/>
      <c r="AE172" s="669"/>
      <c r="AF172" s="669"/>
      <c r="AG172" s="669"/>
      <c r="AH172" s="669"/>
      <c r="AI172" s="669"/>
      <c r="AJ172" s="669"/>
      <c r="AK172" s="669"/>
      <c r="AL172" s="669"/>
      <c r="AM172" s="669"/>
      <c r="AN172" s="669"/>
      <c r="AO172" s="669"/>
      <c r="AP172" s="669"/>
      <c r="AQ172" s="669"/>
      <c r="AR172" s="669"/>
      <c r="AS172" s="669"/>
      <c r="AT172" s="669"/>
      <c r="AU172" s="669"/>
    </row>
    <row r="173" spans="1:47" outlineLevel="1" x14ac:dyDescent="0.2">
      <c r="A173" s="586"/>
      <c r="B173" s="586"/>
      <c r="C173" s="586"/>
      <c r="D173" s="586"/>
      <c r="E173" s="586"/>
      <c r="F173" s="586"/>
      <c r="G173" s="586"/>
      <c r="H173" s="586"/>
      <c r="I173" s="586"/>
      <c r="J173" s="586"/>
      <c r="K173" s="586"/>
      <c r="L173" s="586"/>
      <c r="M173" s="586"/>
      <c r="N173" s="164"/>
      <c r="O173" s="164"/>
      <c r="P173" s="164"/>
      <c r="Q173" s="164"/>
      <c r="R173" s="164"/>
      <c r="S173" s="164"/>
      <c r="T173" s="164"/>
      <c r="V173" s="98"/>
      <c r="W173" s="98"/>
      <c r="X173" s="98"/>
      <c r="Y173" s="669"/>
      <c r="Z173" s="669"/>
      <c r="AA173" s="669"/>
      <c r="AB173" s="669"/>
      <c r="AC173" s="669"/>
      <c r="AD173" s="669"/>
      <c r="AE173" s="669"/>
      <c r="AF173" s="669"/>
      <c r="AG173" s="669"/>
      <c r="AH173" s="669"/>
      <c r="AI173" s="669"/>
      <c r="AJ173" s="669"/>
      <c r="AK173" s="669"/>
      <c r="AL173" s="669"/>
      <c r="AM173" s="669"/>
      <c r="AN173" s="669"/>
      <c r="AO173" s="669"/>
      <c r="AP173" s="669"/>
      <c r="AQ173" s="669"/>
      <c r="AR173" s="669"/>
      <c r="AS173" s="669"/>
      <c r="AT173" s="669"/>
      <c r="AU173" s="669"/>
    </row>
    <row r="174" spans="1:47" ht="15.75" outlineLevel="1" x14ac:dyDescent="0.2">
      <c r="A174" s="586"/>
      <c r="B174" s="586"/>
      <c r="C174" s="352">
        <v>7</v>
      </c>
      <c r="D174" s="110" t="str">
        <f>INDEX(MBSNamesNew,C174)</f>
        <v>** NOT USED **</v>
      </c>
      <c r="E174" s="110"/>
      <c r="F174" s="154"/>
      <c r="G174" s="154"/>
      <c r="H174" s="154"/>
      <c r="I174" s="154"/>
      <c r="J174" s="782" t="str">
        <f>IF(D174&lt;&gt;MsgNotUsed,"Co-payment group " &amp; K44,"")</f>
        <v/>
      </c>
      <c r="K174" s="782"/>
      <c r="L174" s="154"/>
      <c r="M174" s="154"/>
      <c r="N174" s="154"/>
      <c r="O174" s="154"/>
      <c r="P174" s="154"/>
      <c r="Q174" s="154"/>
      <c r="R174" s="154"/>
      <c r="S174" s="154"/>
      <c r="T174" s="154"/>
      <c r="V174" s="98"/>
      <c r="W174" s="98"/>
      <c r="X174" s="98"/>
      <c r="Y174" s="669"/>
      <c r="Z174" s="669"/>
      <c r="AA174" s="669"/>
      <c r="AB174" s="669"/>
      <c r="AC174" s="669"/>
      <c r="AD174" s="669"/>
      <c r="AE174" s="669"/>
      <c r="AF174" s="669"/>
      <c r="AG174" s="669"/>
      <c r="AH174" s="669"/>
      <c r="AI174" s="669"/>
      <c r="AJ174" s="669"/>
      <c r="AK174" s="669"/>
      <c r="AL174" s="669"/>
      <c r="AM174" s="669"/>
      <c r="AN174" s="669"/>
      <c r="AO174" s="669"/>
      <c r="AP174" s="669"/>
      <c r="AQ174" s="669"/>
      <c r="AR174" s="669"/>
      <c r="AS174" s="669"/>
      <c r="AT174" s="669"/>
      <c r="AU174" s="669"/>
    </row>
    <row r="175" spans="1:47" outlineLevel="2" x14ac:dyDescent="0.2">
      <c r="A175" s="586"/>
      <c r="B175" s="586"/>
      <c r="C175" s="586"/>
      <c r="D175" s="674"/>
      <c r="E175" s="674"/>
      <c r="F175" s="691">
        <v>2</v>
      </c>
      <c r="G175" s="691">
        <v>3</v>
      </c>
      <c r="H175" s="691">
        <v>4</v>
      </c>
      <c r="I175" s="691">
        <v>5</v>
      </c>
      <c r="J175" s="691">
        <v>6</v>
      </c>
      <c r="K175" s="691">
        <v>7</v>
      </c>
      <c r="L175" s="691"/>
      <c r="M175" s="674"/>
      <c r="N175" s="674"/>
      <c r="O175" s="715"/>
      <c r="P175" s="674"/>
      <c r="Q175" s="674"/>
      <c r="R175" s="674"/>
      <c r="S175" s="674"/>
      <c r="T175" s="674"/>
      <c r="V175" s="98"/>
      <c r="W175" s="98"/>
      <c r="X175" s="98"/>
      <c r="Y175" s="669"/>
      <c r="Z175" s="669"/>
      <c r="AA175" s="669"/>
      <c r="AB175" s="669"/>
      <c r="AC175" s="669"/>
      <c r="AD175" s="669"/>
      <c r="AE175" s="669"/>
      <c r="AF175" s="669"/>
      <c r="AG175" s="669"/>
      <c r="AH175" s="669"/>
      <c r="AI175" s="669"/>
      <c r="AJ175" s="669"/>
      <c r="AK175" s="669"/>
      <c r="AL175" s="669"/>
      <c r="AM175" s="669"/>
      <c r="AN175" s="669"/>
      <c r="AO175" s="669"/>
      <c r="AP175" s="669"/>
      <c r="AQ175" s="669"/>
      <c r="AR175" s="669"/>
      <c r="AS175" s="669"/>
      <c r="AT175" s="669"/>
      <c r="AU175" s="669"/>
    </row>
    <row r="176" spans="1:47" ht="15" outlineLevel="2" x14ac:dyDescent="0.2">
      <c r="A176" s="586"/>
      <c r="B176" s="586"/>
      <c r="C176" s="586"/>
      <c r="D176" s="681" t="s">
        <v>0</v>
      </c>
      <c r="E176" s="681"/>
      <c r="F176" s="671">
        <f>FirstYear</f>
        <v>0</v>
      </c>
      <c r="G176" s="671">
        <f>F176+1</f>
        <v>1</v>
      </c>
      <c r="H176" s="671">
        <f>G176+1</f>
        <v>2</v>
      </c>
      <c r="I176" s="671">
        <f>H176+1</f>
        <v>3</v>
      </c>
      <c r="J176" s="671">
        <f>I176+1</f>
        <v>4</v>
      </c>
      <c r="K176" s="671">
        <f>J176+1</f>
        <v>5</v>
      </c>
      <c r="M176" s="149"/>
      <c r="N176" s="692"/>
      <c r="O176" s="692"/>
      <c r="P176" s="692"/>
      <c r="Q176" s="99"/>
      <c r="R176" s="99"/>
      <c r="S176" s="99"/>
      <c r="T176" s="99"/>
      <c r="V176" s="99"/>
      <c r="W176" s="99"/>
      <c r="X176" s="99"/>
      <c r="Y176" s="669"/>
      <c r="Z176" s="669"/>
      <c r="AA176" s="669"/>
      <c r="AB176" s="669"/>
      <c r="AC176" s="669"/>
      <c r="AD176" s="669"/>
      <c r="AE176" s="669"/>
      <c r="AF176" s="669"/>
      <c r="AG176" s="669"/>
      <c r="AH176" s="669"/>
      <c r="AI176" s="669"/>
      <c r="AJ176" s="669"/>
      <c r="AK176" s="669"/>
      <c r="AL176" s="669"/>
      <c r="AM176" s="669"/>
      <c r="AN176" s="669"/>
      <c r="AO176" s="669"/>
      <c r="AP176" s="669"/>
      <c r="AQ176" s="669"/>
      <c r="AR176" s="669"/>
      <c r="AS176" s="669"/>
      <c r="AT176" s="669"/>
      <c r="AU176" s="669"/>
    </row>
    <row r="177" spans="1:47" outlineLevel="2" x14ac:dyDescent="0.2">
      <c r="A177" s="586"/>
      <c r="B177" s="586"/>
      <c r="C177" s="586"/>
      <c r="D177" s="586"/>
      <c r="E177" s="590" t="s">
        <v>269</v>
      </c>
      <c r="F177" s="397">
        <f t="shared" ref="F177:K177" si="81">F178*$P44</f>
        <v>0</v>
      </c>
      <c r="G177" s="397">
        <f t="shared" si="81"/>
        <v>0</v>
      </c>
      <c r="H177" s="397">
        <f t="shared" si="81"/>
        <v>0</v>
      </c>
      <c r="I177" s="397">
        <f t="shared" si="81"/>
        <v>0</v>
      </c>
      <c r="J177" s="397">
        <f t="shared" si="81"/>
        <v>0</v>
      </c>
      <c r="K177" s="397">
        <f t="shared" si="81"/>
        <v>0</v>
      </c>
      <c r="M177" s="149"/>
      <c r="N177" s="692"/>
      <c r="O177" s="692"/>
      <c r="P177" s="692"/>
      <c r="Q177" s="99"/>
      <c r="R177" s="99"/>
      <c r="S177" s="99"/>
      <c r="T177" s="99"/>
      <c r="V177" s="97">
        <f>FirstYear</f>
        <v>0</v>
      </c>
      <c r="W177" s="96">
        <f>IF(F178&lt;&gt;0,F178-F181,0)</f>
        <v>0</v>
      </c>
      <c r="X177" s="99"/>
      <c r="Y177" s="669"/>
      <c r="Z177" s="669"/>
      <c r="AA177" s="669"/>
      <c r="AB177" s="669"/>
      <c r="AC177" s="669"/>
      <c r="AD177" s="669"/>
      <c r="AE177" s="669"/>
      <c r="AF177" s="669"/>
      <c r="AG177" s="669"/>
      <c r="AH177" s="669"/>
      <c r="AI177" s="669"/>
      <c r="AJ177" s="669"/>
      <c r="AK177" s="669"/>
      <c r="AL177" s="669"/>
      <c r="AM177" s="669"/>
      <c r="AN177" s="669"/>
      <c r="AO177" s="669"/>
      <c r="AP177" s="669"/>
      <c r="AQ177" s="669"/>
      <c r="AR177" s="669"/>
      <c r="AS177" s="669"/>
      <c r="AT177" s="669"/>
      <c r="AU177" s="669"/>
    </row>
    <row r="178" spans="1:47" ht="14.25" outlineLevel="2" x14ac:dyDescent="0.2">
      <c r="A178" s="586"/>
      <c r="B178" s="586"/>
      <c r="C178" s="352" t="str">
        <f>W59</f>
        <v/>
      </c>
      <c r="D178" s="586"/>
      <c r="E178" s="85" t="s">
        <v>80</v>
      </c>
      <c r="F178" s="86">
        <f t="shared" ref="F178:K178" si="82">IF($W$44=2,$N$44*IF($C178&lt;&gt;"",INDEX(PBSScriptsNew,$C178,F175),0),IF($Y44&lt;&gt;0,$M$44*INDEX(MBSPBSInc,$C178,($Y44-1)*7+F175),0))*$V$44</f>
        <v>0</v>
      </c>
      <c r="G178" s="86">
        <f t="shared" si="82"/>
        <v>0</v>
      </c>
      <c r="H178" s="86">
        <f t="shared" si="82"/>
        <v>0</v>
      </c>
      <c r="I178" s="86">
        <f t="shared" si="82"/>
        <v>0</v>
      </c>
      <c r="J178" s="86">
        <f t="shared" si="82"/>
        <v>0</v>
      </c>
      <c r="K178" s="86">
        <f t="shared" si="82"/>
        <v>0</v>
      </c>
      <c r="M178" s="701"/>
      <c r="N178" s="684"/>
      <c r="O178" s="684"/>
      <c r="P178" s="684"/>
      <c r="Q178" s="694"/>
      <c r="R178" s="694"/>
      <c r="S178" s="694"/>
      <c r="T178" s="694"/>
      <c r="V178" s="97">
        <f>V177+1</f>
        <v>1</v>
      </c>
      <c r="W178" s="96">
        <f>IF(G178&lt;&gt;0,G178-G181,0)</f>
        <v>0</v>
      </c>
      <c r="X178" s="695"/>
      <c r="Y178" s="669"/>
      <c r="Z178" s="669"/>
      <c r="AA178" s="669"/>
      <c r="AB178" s="669"/>
      <c r="AC178" s="669"/>
      <c r="AD178" s="669"/>
      <c r="AE178" s="669"/>
      <c r="AF178" s="669"/>
      <c r="AG178" s="669"/>
      <c r="AH178" s="669"/>
      <c r="AI178" s="669"/>
      <c r="AJ178" s="669"/>
      <c r="AK178" s="669"/>
      <c r="AL178" s="669"/>
      <c r="AM178" s="669"/>
      <c r="AN178" s="669"/>
      <c r="AO178" s="669"/>
      <c r="AP178" s="669"/>
      <c r="AQ178" s="669"/>
      <c r="AR178" s="669"/>
      <c r="AS178" s="669"/>
      <c r="AT178" s="669"/>
      <c r="AU178" s="669"/>
    </row>
    <row r="179" spans="1:47" outlineLevel="2" x14ac:dyDescent="0.2">
      <c r="A179" s="586"/>
      <c r="B179" s="352">
        <v>5</v>
      </c>
      <c r="C179" s="352">
        <v>6</v>
      </c>
      <c r="D179" s="586"/>
      <c r="E179" s="696" t="s">
        <v>146</v>
      </c>
      <c r="F179" s="86" t="str">
        <f t="shared" ref="F179:K182" si="83">IF(INDEX(MBSItemsInc,$C$174,1)&lt;&gt;"",F$178*INDEX(MBSItemsInc,$C$174,$B179)*INDEX(MBSItemsInc,$C$174,$C179),"")</f>
        <v/>
      </c>
      <c r="G179" s="86" t="str">
        <f t="shared" si="83"/>
        <v/>
      </c>
      <c r="H179" s="86" t="str">
        <f t="shared" si="83"/>
        <v/>
      </c>
      <c r="I179" s="86" t="str">
        <f t="shared" si="83"/>
        <v/>
      </c>
      <c r="J179" s="86" t="str">
        <f t="shared" si="83"/>
        <v/>
      </c>
      <c r="K179" s="86" t="str">
        <f t="shared" si="83"/>
        <v/>
      </c>
      <c r="M179" s="149"/>
      <c r="N179" s="697"/>
      <c r="O179" s="697"/>
      <c r="P179" s="697"/>
      <c r="Q179" s="694"/>
      <c r="R179" s="694"/>
      <c r="S179" s="694"/>
      <c r="T179" s="694"/>
      <c r="V179" s="97">
        <f>V178+1</f>
        <v>2</v>
      </c>
      <c r="W179" s="96">
        <f>IF(H178&lt;&gt;0,H178-H181,0)</f>
        <v>0</v>
      </c>
      <c r="X179" s="695"/>
      <c r="Y179" s="669"/>
      <c r="Z179" s="669"/>
      <c r="AA179" s="669"/>
      <c r="AB179" s="669"/>
      <c r="AC179" s="669"/>
      <c r="AD179" s="669"/>
      <c r="AE179" s="669"/>
      <c r="AF179" s="669"/>
      <c r="AG179" s="669"/>
      <c r="AH179" s="669"/>
      <c r="AI179" s="669"/>
      <c r="AJ179" s="669"/>
      <c r="AK179" s="669"/>
      <c r="AL179" s="669"/>
      <c r="AM179" s="669"/>
      <c r="AN179" s="669"/>
      <c r="AO179" s="669"/>
      <c r="AP179" s="669"/>
      <c r="AQ179" s="669"/>
      <c r="AR179" s="669"/>
      <c r="AS179" s="669"/>
      <c r="AT179" s="669"/>
      <c r="AU179" s="669"/>
    </row>
    <row r="180" spans="1:47" outlineLevel="2" x14ac:dyDescent="0.2">
      <c r="A180" s="586"/>
      <c r="B180" s="352">
        <v>5</v>
      </c>
      <c r="C180" s="352">
        <v>7</v>
      </c>
      <c r="D180" s="586"/>
      <c r="E180" s="696" t="s">
        <v>147</v>
      </c>
      <c r="F180" s="86" t="str">
        <f t="shared" si="83"/>
        <v/>
      </c>
      <c r="G180" s="86" t="str">
        <f t="shared" si="83"/>
        <v/>
      </c>
      <c r="H180" s="86" t="str">
        <f t="shared" si="83"/>
        <v/>
      </c>
      <c r="I180" s="86" t="str">
        <f t="shared" si="83"/>
        <v/>
      </c>
      <c r="J180" s="86" t="str">
        <f t="shared" si="83"/>
        <v/>
      </c>
      <c r="K180" s="86" t="str">
        <f t="shared" si="83"/>
        <v/>
      </c>
      <c r="M180" s="149"/>
      <c r="N180" s="697"/>
      <c r="O180" s="697"/>
      <c r="P180" s="697"/>
      <c r="Q180" s="694"/>
      <c r="R180" s="694"/>
      <c r="S180" s="694"/>
      <c r="T180" s="694"/>
      <c r="V180" s="97">
        <f>V179+1</f>
        <v>3</v>
      </c>
      <c r="W180" s="96">
        <f>IF(I178&lt;&gt;0,I178-I181,0)</f>
        <v>0</v>
      </c>
      <c r="X180" s="695"/>
      <c r="Y180" s="669"/>
      <c r="Z180" s="669"/>
      <c r="AA180" s="669"/>
      <c r="AB180" s="669"/>
      <c r="AC180" s="669"/>
      <c r="AD180" s="669"/>
      <c r="AE180" s="669"/>
      <c r="AF180" s="669"/>
      <c r="AG180" s="669"/>
      <c r="AH180" s="669"/>
      <c r="AI180" s="669"/>
      <c r="AJ180" s="669"/>
      <c r="AK180" s="669"/>
      <c r="AL180" s="669"/>
      <c r="AM180" s="669"/>
      <c r="AN180" s="669"/>
      <c r="AO180" s="669"/>
      <c r="AP180" s="669"/>
      <c r="AQ180" s="669"/>
      <c r="AR180" s="669"/>
      <c r="AS180" s="669"/>
      <c r="AT180" s="669"/>
      <c r="AU180" s="669"/>
    </row>
    <row r="181" spans="1:47" outlineLevel="2" x14ac:dyDescent="0.2">
      <c r="A181" s="586"/>
      <c r="B181" s="352">
        <v>4</v>
      </c>
      <c r="C181" s="352">
        <v>6</v>
      </c>
      <c r="D181" s="586"/>
      <c r="E181" s="696" t="s">
        <v>148</v>
      </c>
      <c r="F181" s="86" t="str">
        <f t="shared" si="83"/>
        <v/>
      </c>
      <c r="G181" s="86" t="str">
        <f t="shared" si="83"/>
        <v/>
      </c>
      <c r="H181" s="86" t="str">
        <f t="shared" si="83"/>
        <v/>
      </c>
      <c r="I181" s="86" t="str">
        <f t="shared" si="83"/>
        <v/>
      </c>
      <c r="J181" s="86" t="str">
        <f t="shared" si="83"/>
        <v/>
      </c>
      <c r="K181" s="86" t="str">
        <f t="shared" si="83"/>
        <v/>
      </c>
      <c r="M181" s="149"/>
      <c r="N181" s="697"/>
      <c r="O181" s="697"/>
      <c r="P181" s="697"/>
      <c r="Q181" s="694"/>
      <c r="R181" s="694"/>
      <c r="S181" s="694"/>
      <c r="T181" s="694"/>
      <c r="V181" s="97">
        <f>V180+1</f>
        <v>4</v>
      </c>
      <c r="W181" s="96">
        <f>IF(J178&lt;&gt;0,J178-J181,0)</f>
        <v>0</v>
      </c>
      <c r="X181" s="695"/>
      <c r="Y181" s="669"/>
      <c r="Z181" s="669"/>
      <c r="AA181" s="669"/>
      <c r="AB181" s="669"/>
      <c r="AC181" s="669"/>
      <c r="AD181" s="669"/>
      <c r="AE181" s="669"/>
      <c r="AF181" s="669"/>
      <c r="AG181" s="669"/>
      <c r="AH181" s="669"/>
      <c r="AI181" s="669"/>
      <c r="AJ181" s="669"/>
      <c r="AK181" s="669"/>
      <c r="AL181" s="669"/>
      <c r="AM181" s="669"/>
      <c r="AN181" s="669"/>
      <c r="AO181" s="669"/>
      <c r="AP181" s="669"/>
      <c r="AQ181" s="669"/>
      <c r="AR181" s="669"/>
      <c r="AS181" s="669"/>
      <c r="AT181" s="669"/>
      <c r="AU181" s="669"/>
    </row>
    <row r="182" spans="1:47" ht="12.75" customHeight="1" outlineLevel="2" x14ac:dyDescent="0.2">
      <c r="A182" s="586"/>
      <c r="B182" s="352">
        <v>4</v>
      </c>
      <c r="C182" s="352">
        <v>7</v>
      </c>
      <c r="D182" s="586"/>
      <c r="E182" s="698" t="s">
        <v>149</v>
      </c>
      <c r="F182" s="86" t="str">
        <f t="shared" si="83"/>
        <v/>
      </c>
      <c r="G182" s="86" t="str">
        <f t="shared" si="83"/>
        <v/>
      </c>
      <c r="H182" s="86" t="str">
        <f t="shared" si="83"/>
        <v/>
      </c>
      <c r="I182" s="86" t="str">
        <f t="shared" si="83"/>
        <v/>
      </c>
      <c r="J182" s="86" t="str">
        <f t="shared" si="83"/>
        <v/>
      </c>
      <c r="K182" s="86" t="str">
        <f t="shared" si="83"/>
        <v/>
      </c>
      <c r="M182" s="149"/>
      <c r="N182" s="697"/>
      <c r="O182" s="697"/>
      <c r="P182" s="697"/>
      <c r="Q182" s="694"/>
      <c r="R182" s="694"/>
      <c r="S182" s="694"/>
      <c r="T182" s="694"/>
      <c r="V182" s="97">
        <f>V181+1</f>
        <v>5</v>
      </c>
      <c r="W182" s="96">
        <f>IF(K178&lt;&gt;0,K178-K181,0)</f>
        <v>0</v>
      </c>
      <c r="X182" s="695"/>
      <c r="Y182" s="669"/>
      <c r="Z182" s="669"/>
      <c r="AA182" s="669"/>
      <c r="AB182" s="669"/>
      <c r="AC182" s="669"/>
      <c r="AD182" s="669"/>
      <c r="AE182" s="669"/>
      <c r="AF182" s="669"/>
      <c r="AG182" s="669"/>
      <c r="AH182" s="669"/>
      <c r="AI182" s="669"/>
      <c r="AJ182" s="669"/>
      <c r="AK182" s="669"/>
      <c r="AL182" s="669"/>
      <c r="AM182" s="669"/>
      <c r="AN182" s="669"/>
      <c r="AO182" s="669"/>
      <c r="AP182" s="669"/>
      <c r="AQ182" s="669"/>
      <c r="AR182" s="669"/>
      <c r="AS182" s="669"/>
      <c r="AT182" s="669"/>
      <c r="AU182" s="669"/>
    </row>
    <row r="183" spans="1:47" outlineLevel="2" x14ac:dyDescent="0.2">
      <c r="A183" s="586"/>
      <c r="B183" s="586"/>
      <c r="C183" s="586"/>
      <c r="D183" s="586"/>
      <c r="E183" s="586"/>
      <c r="F183" s="586"/>
      <c r="G183" s="586"/>
      <c r="H183" s="586"/>
      <c r="I183" s="586"/>
      <c r="J183" s="586"/>
      <c r="K183" s="586"/>
      <c r="M183" s="586"/>
      <c r="N183" s="164"/>
      <c r="O183" s="164"/>
      <c r="P183" s="164"/>
      <c r="Q183" s="164"/>
      <c r="R183" s="164"/>
      <c r="S183" s="164"/>
      <c r="T183" s="164"/>
      <c r="V183" s="98"/>
      <c r="W183" s="98"/>
      <c r="X183" s="98"/>
      <c r="Y183" s="669"/>
      <c r="Z183" s="669"/>
      <c r="AA183" s="669"/>
      <c r="AB183" s="669"/>
      <c r="AC183" s="669"/>
      <c r="AD183" s="669"/>
      <c r="AE183" s="669"/>
      <c r="AF183" s="669"/>
      <c r="AG183" s="669"/>
      <c r="AH183" s="669"/>
      <c r="AI183" s="669"/>
      <c r="AJ183" s="669"/>
      <c r="AK183" s="669"/>
      <c r="AL183" s="669"/>
      <c r="AM183" s="669"/>
      <c r="AN183" s="669"/>
      <c r="AO183" s="669"/>
      <c r="AP183" s="669"/>
      <c r="AQ183" s="669"/>
      <c r="AR183" s="669"/>
      <c r="AS183" s="669"/>
      <c r="AT183" s="669"/>
      <c r="AU183" s="669"/>
    </row>
    <row r="184" spans="1:47" ht="15" outlineLevel="2" x14ac:dyDescent="0.2">
      <c r="A184" s="586"/>
      <c r="B184" s="586"/>
      <c r="C184" s="586"/>
      <c r="D184" s="681" t="s">
        <v>1</v>
      </c>
      <c r="E184" s="681"/>
      <c r="F184" s="671">
        <f>FirstYear</f>
        <v>0</v>
      </c>
      <c r="G184" s="671">
        <f>F184+1</f>
        <v>1</v>
      </c>
      <c r="H184" s="671">
        <f>G184+1</f>
        <v>2</v>
      </c>
      <c r="I184" s="671">
        <f>H184+1</f>
        <v>3</v>
      </c>
      <c r="J184" s="671">
        <f>I184+1</f>
        <v>4</v>
      </c>
      <c r="K184" s="671">
        <f>J184+1</f>
        <v>5</v>
      </c>
      <c r="M184" s="586"/>
      <c r="N184" s="164"/>
      <c r="O184" s="164"/>
      <c r="P184" s="164"/>
      <c r="Q184" s="164"/>
      <c r="R184" s="164"/>
      <c r="S184" s="164"/>
      <c r="T184" s="164"/>
      <c r="V184" s="98"/>
      <c r="W184" s="98"/>
      <c r="X184" s="98"/>
      <c r="Y184" s="669"/>
      <c r="Z184" s="669"/>
      <c r="AA184" s="669"/>
      <c r="AB184" s="669"/>
      <c r="AC184" s="669"/>
      <c r="AD184" s="669"/>
      <c r="AE184" s="669"/>
      <c r="AF184" s="669"/>
      <c r="AG184" s="669"/>
      <c r="AH184" s="669"/>
      <c r="AI184" s="669"/>
      <c r="AJ184" s="669"/>
      <c r="AK184" s="669"/>
      <c r="AL184" s="669"/>
      <c r="AM184" s="669"/>
      <c r="AN184" s="669"/>
      <c r="AO184" s="669"/>
      <c r="AP184" s="669"/>
      <c r="AQ184" s="669"/>
      <c r="AR184" s="669"/>
      <c r="AS184" s="669"/>
      <c r="AT184" s="669"/>
      <c r="AU184" s="669"/>
    </row>
    <row r="185" spans="1:47" outlineLevel="2" x14ac:dyDescent="0.2">
      <c r="A185" s="586"/>
      <c r="B185" s="586"/>
      <c r="C185" s="586"/>
      <c r="D185" s="586"/>
      <c r="E185" s="590" t="s">
        <v>269</v>
      </c>
      <c r="F185" s="397">
        <f t="shared" ref="F185:K185" si="84">F186*$P44</f>
        <v>0</v>
      </c>
      <c r="G185" s="397">
        <f t="shared" si="84"/>
        <v>0</v>
      </c>
      <c r="H185" s="397">
        <f t="shared" si="84"/>
        <v>0</v>
      </c>
      <c r="I185" s="397">
        <f t="shared" si="84"/>
        <v>0</v>
      </c>
      <c r="J185" s="397">
        <f t="shared" si="84"/>
        <v>0</v>
      </c>
      <c r="K185" s="397">
        <f t="shared" si="84"/>
        <v>0</v>
      </c>
      <c r="M185" s="586"/>
      <c r="N185" s="164"/>
      <c r="O185" s="164"/>
      <c r="P185" s="164"/>
      <c r="Q185" s="164"/>
      <c r="R185" s="164"/>
      <c r="S185" s="164"/>
      <c r="T185" s="164"/>
      <c r="V185" s="98"/>
      <c r="W185" s="98"/>
      <c r="X185" s="98"/>
      <c r="Y185" s="669"/>
      <c r="Z185" s="669"/>
      <c r="AA185" s="669"/>
      <c r="AB185" s="669"/>
      <c r="AC185" s="669"/>
      <c r="AD185" s="669"/>
      <c r="AE185" s="669"/>
      <c r="AF185" s="669"/>
      <c r="AG185" s="669"/>
      <c r="AH185" s="669"/>
      <c r="AI185" s="669"/>
      <c r="AJ185" s="669"/>
      <c r="AK185" s="669"/>
      <c r="AL185" s="669"/>
      <c r="AM185" s="669"/>
      <c r="AN185" s="669"/>
      <c r="AO185" s="669"/>
      <c r="AP185" s="669"/>
      <c r="AQ185" s="669"/>
      <c r="AR185" s="669"/>
      <c r="AS185" s="669"/>
      <c r="AT185" s="669"/>
      <c r="AU185" s="669"/>
    </row>
    <row r="186" spans="1:47" outlineLevel="2" x14ac:dyDescent="0.2">
      <c r="A186" s="586"/>
      <c r="B186" s="586"/>
      <c r="C186" s="352" t="str">
        <f>W59</f>
        <v/>
      </c>
      <c r="D186" s="586"/>
      <c r="E186" s="85" t="s">
        <v>80</v>
      </c>
      <c r="F186" s="86">
        <f t="shared" ref="F186:K186" si="85">IF($W$44=2,$N$44*IF($C186&lt;&gt;"",INDEX(RPBSScriptsNew,$C186,F175),0),IF($Y44&lt;&gt;0,$M$44*INDEX(MBSRPBSInc,$C174,($Y44-1)*7+F175),0))*$V$44</f>
        <v>0</v>
      </c>
      <c r="G186" s="86">
        <f t="shared" si="85"/>
        <v>0</v>
      </c>
      <c r="H186" s="86">
        <f t="shared" si="85"/>
        <v>0</v>
      </c>
      <c r="I186" s="86">
        <f t="shared" si="85"/>
        <v>0</v>
      </c>
      <c r="J186" s="86">
        <f t="shared" si="85"/>
        <v>0</v>
      </c>
      <c r="K186" s="86">
        <f t="shared" si="85"/>
        <v>0</v>
      </c>
      <c r="M186" s="586"/>
      <c r="N186" s="164"/>
      <c r="O186" s="164"/>
      <c r="P186" s="164"/>
      <c r="Q186" s="164"/>
      <c r="R186" s="164"/>
      <c r="S186" s="164"/>
      <c r="T186" s="164"/>
      <c r="V186" s="98"/>
      <c r="W186" s="98"/>
      <c r="X186" s="98"/>
      <c r="Y186" s="669"/>
      <c r="Z186" s="669"/>
      <c r="AA186" s="669"/>
      <c r="AB186" s="669"/>
      <c r="AC186" s="669"/>
      <c r="AD186" s="669"/>
      <c r="AE186" s="669"/>
      <c r="AF186" s="669"/>
      <c r="AG186" s="669"/>
      <c r="AH186" s="669"/>
      <c r="AI186" s="669"/>
      <c r="AJ186" s="669"/>
      <c r="AK186" s="669"/>
      <c r="AL186" s="669"/>
      <c r="AM186" s="669"/>
      <c r="AN186" s="669"/>
      <c r="AO186" s="669"/>
      <c r="AP186" s="669"/>
      <c r="AQ186" s="669"/>
      <c r="AR186" s="669"/>
      <c r="AS186" s="669"/>
      <c r="AT186" s="669"/>
      <c r="AU186" s="669"/>
    </row>
    <row r="187" spans="1:47" outlineLevel="2" x14ac:dyDescent="0.2">
      <c r="A187" s="586"/>
      <c r="B187" s="352">
        <v>5</v>
      </c>
      <c r="C187" s="352">
        <v>6</v>
      </c>
      <c r="D187" s="586"/>
      <c r="E187" s="696" t="s">
        <v>146</v>
      </c>
      <c r="F187" s="86" t="str">
        <f t="shared" ref="F187:K190" si="86">IF(INDEX(MBSItemsInc,$C$174,1)&lt;&gt;"",F$186*INDEX(MBSItemsInc,$C$174,$B187)*INDEX(MBSItemsInc,$C$174,$C187),"")</f>
        <v/>
      </c>
      <c r="G187" s="86" t="str">
        <f t="shared" si="86"/>
        <v/>
      </c>
      <c r="H187" s="86" t="str">
        <f t="shared" si="86"/>
        <v/>
      </c>
      <c r="I187" s="86" t="str">
        <f t="shared" si="86"/>
        <v/>
      </c>
      <c r="J187" s="86" t="str">
        <f t="shared" si="86"/>
        <v/>
      </c>
      <c r="K187" s="86" t="str">
        <f t="shared" si="86"/>
        <v/>
      </c>
      <c r="M187" s="586"/>
      <c r="N187" s="164"/>
      <c r="O187" s="164"/>
      <c r="P187" s="164"/>
      <c r="Q187" s="164"/>
      <c r="R187" s="164"/>
      <c r="S187" s="164"/>
      <c r="T187" s="164"/>
      <c r="V187" s="98"/>
      <c r="W187" s="98"/>
      <c r="X187" s="98"/>
      <c r="Y187" s="669"/>
      <c r="Z187" s="669"/>
      <c r="AA187" s="669"/>
      <c r="AB187" s="669"/>
      <c r="AC187" s="669"/>
      <c r="AD187" s="669"/>
      <c r="AE187" s="669"/>
      <c r="AF187" s="669"/>
      <c r="AG187" s="669"/>
      <c r="AH187" s="669"/>
      <c r="AI187" s="669"/>
      <c r="AJ187" s="669"/>
      <c r="AK187" s="669"/>
      <c r="AL187" s="669"/>
      <c r="AM187" s="669"/>
      <c r="AN187" s="669"/>
      <c r="AO187" s="669"/>
      <c r="AP187" s="669"/>
      <c r="AQ187" s="669"/>
      <c r="AR187" s="669"/>
      <c r="AS187" s="669"/>
      <c r="AT187" s="669"/>
      <c r="AU187" s="669"/>
    </row>
    <row r="188" spans="1:47" outlineLevel="2" x14ac:dyDescent="0.2">
      <c r="A188" s="586"/>
      <c r="B188" s="352">
        <v>5</v>
      </c>
      <c r="C188" s="352">
        <v>7</v>
      </c>
      <c r="D188" s="586"/>
      <c r="E188" s="696" t="s">
        <v>147</v>
      </c>
      <c r="F188" s="86" t="str">
        <f t="shared" si="86"/>
        <v/>
      </c>
      <c r="G188" s="86" t="str">
        <f t="shared" si="86"/>
        <v/>
      </c>
      <c r="H188" s="86" t="str">
        <f t="shared" si="86"/>
        <v/>
      </c>
      <c r="I188" s="86" t="str">
        <f t="shared" si="86"/>
        <v/>
      </c>
      <c r="J188" s="86" t="str">
        <f t="shared" si="86"/>
        <v/>
      </c>
      <c r="K188" s="86" t="str">
        <f t="shared" si="86"/>
        <v/>
      </c>
      <c r="M188" s="586"/>
      <c r="N188" s="164"/>
      <c r="O188" s="164"/>
      <c r="P188" s="164"/>
      <c r="Q188" s="164"/>
      <c r="R188" s="164"/>
      <c r="S188" s="164"/>
      <c r="T188" s="164"/>
      <c r="V188" s="98"/>
      <c r="W188" s="98"/>
      <c r="X188" s="98"/>
      <c r="Y188" s="669"/>
      <c r="Z188" s="669"/>
      <c r="AA188" s="669"/>
      <c r="AB188" s="669"/>
      <c r="AC188" s="669"/>
      <c r="AD188" s="669"/>
      <c r="AE188" s="669"/>
      <c r="AF188" s="669"/>
      <c r="AG188" s="669"/>
      <c r="AH188" s="669"/>
      <c r="AI188" s="669"/>
      <c r="AJ188" s="669"/>
      <c r="AK188" s="669"/>
      <c r="AL188" s="669"/>
      <c r="AM188" s="669"/>
      <c r="AN188" s="669"/>
      <c r="AO188" s="669"/>
      <c r="AP188" s="669"/>
      <c r="AQ188" s="669"/>
      <c r="AR188" s="669"/>
      <c r="AS188" s="669"/>
      <c r="AT188" s="669"/>
      <c r="AU188" s="669"/>
    </row>
    <row r="189" spans="1:47" outlineLevel="2" x14ac:dyDescent="0.2">
      <c r="A189" s="586"/>
      <c r="B189" s="352">
        <v>4</v>
      </c>
      <c r="C189" s="352">
        <v>6</v>
      </c>
      <c r="D189" s="586"/>
      <c r="E189" s="696" t="s">
        <v>148</v>
      </c>
      <c r="F189" s="86" t="str">
        <f t="shared" si="86"/>
        <v/>
      </c>
      <c r="G189" s="86" t="str">
        <f t="shared" si="86"/>
        <v/>
      </c>
      <c r="H189" s="86" t="str">
        <f t="shared" si="86"/>
        <v/>
      </c>
      <c r="I189" s="86" t="str">
        <f t="shared" si="86"/>
        <v/>
      </c>
      <c r="J189" s="86" t="str">
        <f t="shared" si="86"/>
        <v/>
      </c>
      <c r="K189" s="86" t="str">
        <f t="shared" si="86"/>
        <v/>
      </c>
      <c r="M189" s="586"/>
      <c r="N189" s="164"/>
      <c r="O189" s="164"/>
      <c r="P189" s="164"/>
      <c r="Q189" s="164"/>
      <c r="R189" s="164"/>
      <c r="S189" s="164"/>
      <c r="T189" s="164"/>
      <c r="V189" s="98"/>
      <c r="W189" s="98"/>
      <c r="X189" s="98"/>
      <c r="Y189" s="669"/>
      <c r="Z189" s="669"/>
      <c r="AA189" s="669"/>
      <c r="AB189" s="669"/>
      <c r="AC189" s="669"/>
      <c r="AD189" s="669"/>
      <c r="AE189" s="669"/>
      <c r="AF189" s="669"/>
      <c r="AG189" s="669"/>
      <c r="AH189" s="669"/>
      <c r="AI189" s="669"/>
      <c r="AJ189" s="669"/>
      <c r="AK189" s="669"/>
      <c r="AL189" s="669"/>
      <c r="AM189" s="669"/>
      <c r="AN189" s="669"/>
      <c r="AO189" s="669"/>
      <c r="AP189" s="669"/>
      <c r="AQ189" s="669"/>
      <c r="AR189" s="669"/>
      <c r="AS189" s="669"/>
      <c r="AT189" s="669"/>
      <c r="AU189" s="669"/>
    </row>
    <row r="190" spans="1:47" outlineLevel="2" x14ac:dyDescent="0.2">
      <c r="A190" s="586"/>
      <c r="B190" s="352">
        <v>4</v>
      </c>
      <c r="C190" s="352">
        <v>7</v>
      </c>
      <c r="D190" s="586"/>
      <c r="E190" s="698" t="s">
        <v>149</v>
      </c>
      <c r="F190" s="86" t="str">
        <f t="shared" si="86"/>
        <v/>
      </c>
      <c r="G190" s="86" t="str">
        <f t="shared" si="86"/>
        <v/>
      </c>
      <c r="H190" s="86" t="str">
        <f t="shared" si="86"/>
        <v/>
      </c>
      <c r="I190" s="86" t="str">
        <f t="shared" si="86"/>
        <v/>
      </c>
      <c r="J190" s="86" t="str">
        <f t="shared" si="86"/>
        <v/>
      </c>
      <c r="K190" s="86" t="str">
        <f t="shared" si="86"/>
        <v/>
      </c>
      <c r="M190" s="586"/>
      <c r="N190" s="164"/>
      <c r="O190" s="164"/>
      <c r="P190" s="164"/>
      <c r="Q190" s="164"/>
      <c r="R190" s="164"/>
      <c r="S190" s="164"/>
      <c r="T190" s="164"/>
      <c r="V190" s="98"/>
      <c r="W190" s="98"/>
      <c r="X190" s="98"/>
      <c r="Y190" s="669"/>
      <c r="Z190" s="669"/>
      <c r="AA190" s="669"/>
      <c r="AB190" s="669"/>
      <c r="AC190" s="669"/>
      <c r="AD190" s="669"/>
      <c r="AE190" s="669"/>
      <c r="AF190" s="669"/>
      <c r="AG190" s="669"/>
      <c r="AH190" s="669"/>
      <c r="AI190" s="669"/>
      <c r="AJ190" s="669"/>
      <c r="AK190" s="669"/>
      <c r="AL190" s="669"/>
      <c r="AM190" s="669"/>
      <c r="AN190" s="669"/>
      <c r="AO190" s="669"/>
      <c r="AP190" s="669"/>
      <c r="AQ190" s="669"/>
      <c r="AR190" s="669"/>
      <c r="AS190" s="669"/>
      <c r="AT190" s="669"/>
      <c r="AU190" s="669"/>
    </row>
    <row r="191" spans="1:47" outlineLevel="1" x14ac:dyDescent="0.2">
      <c r="A191" s="586"/>
      <c r="B191" s="586"/>
      <c r="C191" s="586"/>
      <c r="D191" s="586"/>
      <c r="E191" s="586"/>
      <c r="F191" s="586"/>
      <c r="G191" s="586"/>
      <c r="H191" s="586"/>
      <c r="I191" s="586"/>
      <c r="J191" s="586"/>
      <c r="K191" s="586"/>
      <c r="L191" s="586"/>
      <c r="M191" s="586"/>
      <c r="N191" s="164"/>
      <c r="O191" s="164"/>
      <c r="P191" s="164"/>
      <c r="Q191" s="164"/>
      <c r="R191" s="164"/>
      <c r="S191" s="164"/>
      <c r="T191" s="164"/>
      <c r="V191" s="98"/>
      <c r="W191" s="98"/>
      <c r="X191" s="98"/>
      <c r="Y191" s="669"/>
      <c r="Z191" s="669"/>
      <c r="AA191" s="669"/>
      <c r="AB191" s="669"/>
      <c r="AC191" s="669"/>
      <c r="AD191" s="669"/>
      <c r="AE191" s="669"/>
      <c r="AF191" s="669"/>
      <c r="AG191" s="669"/>
      <c r="AH191" s="669"/>
      <c r="AI191" s="669"/>
      <c r="AJ191" s="669"/>
      <c r="AK191" s="669"/>
      <c r="AL191" s="669"/>
      <c r="AM191" s="669"/>
      <c r="AN191" s="669"/>
      <c r="AO191" s="669"/>
      <c r="AP191" s="669"/>
      <c r="AQ191" s="669"/>
      <c r="AR191" s="669"/>
      <c r="AS191" s="669"/>
      <c r="AT191" s="669"/>
      <c r="AU191" s="669"/>
    </row>
    <row r="192" spans="1:47" ht="15.75" outlineLevel="1" x14ac:dyDescent="0.2">
      <c r="A192" s="586"/>
      <c r="B192" s="586"/>
      <c r="C192" s="352">
        <v>8</v>
      </c>
      <c r="D192" s="110" t="str">
        <f>INDEX(MBSNamesNew,C192)</f>
        <v>** NOT USED **</v>
      </c>
      <c r="E192" s="110"/>
      <c r="F192" s="154"/>
      <c r="G192" s="154"/>
      <c r="H192" s="154"/>
      <c r="I192" s="154"/>
      <c r="J192" s="782" t="str">
        <f>IF(D192&lt;&gt;MsgNotUsed,"Co-payment group " &amp; K45,"")</f>
        <v/>
      </c>
      <c r="K192" s="782"/>
      <c r="L192" s="154"/>
      <c r="M192" s="154"/>
      <c r="N192" s="154"/>
      <c r="O192" s="154"/>
      <c r="P192" s="154"/>
      <c r="Q192" s="154"/>
      <c r="R192" s="154"/>
      <c r="S192" s="154"/>
      <c r="T192" s="154"/>
      <c r="V192" s="98"/>
      <c r="W192" s="98"/>
      <c r="X192" s="98"/>
      <c r="Y192" s="669"/>
      <c r="Z192" s="669"/>
      <c r="AA192" s="669"/>
      <c r="AB192" s="669"/>
      <c r="AC192" s="669"/>
      <c r="AD192" s="669"/>
      <c r="AE192" s="669"/>
      <c r="AF192" s="669"/>
      <c r="AG192" s="669"/>
      <c r="AH192" s="669"/>
      <c r="AI192" s="669"/>
      <c r="AJ192" s="669"/>
      <c r="AK192" s="669"/>
      <c r="AL192" s="669"/>
      <c r="AM192" s="669"/>
      <c r="AN192" s="669"/>
      <c r="AO192" s="669"/>
      <c r="AP192" s="669"/>
      <c r="AQ192" s="669"/>
      <c r="AR192" s="669"/>
      <c r="AS192" s="669"/>
      <c r="AT192" s="669"/>
      <c r="AU192" s="669"/>
    </row>
    <row r="193" spans="1:47" outlineLevel="2" x14ac:dyDescent="0.2">
      <c r="A193" s="586"/>
      <c r="B193" s="586"/>
      <c r="C193" s="586"/>
      <c r="D193" s="674"/>
      <c r="E193" s="674"/>
      <c r="F193" s="691">
        <v>2</v>
      </c>
      <c r="G193" s="691">
        <v>3</v>
      </c>
      <c r="H193" s="691">
        <v>4</v>
      </c>
      <c r="I193" s="691">
        <v>5</v>
      </c>
      <c r="J193" s="691">
        <v>6</v>
      </c>
      <c r="K193" s="691">
        <v>7</v>
      </c>
      <c r="L193" s="691"/>
      <c r="M193" s="674"/>
      <c r="N193" s="674"/>
      <c r="O193" s="715"/>
      <c r="P193" s="674"/>
      <c r="Q193" s="674"/>
      <c r="R193" s="674"/>
      <c r="S193" s="674"/>
      <c r="T193" s="674"/>
      <c r="V193" s="98"/>
      <c r="W193" s="98"/>
      <c r="X193" s="98"/>
      <c r="Y193" s="669"/>
      <c r="Z193" s="669"/>
      <c r="AA193" s="669"/>
      <c r="AB193" s="669"/>
      <c r="AC193" s="669"/>
      <c r="AD193" s="669"/>
      <c r="AE193" s="669"/>
      <c r="AF193" s="669"/>
      <c r="AG193" s="669"/>
      <c r="AH193" s="669"/>
      <c r="AI193" s="669"/>
      <c r="AJ193" s="669"/>
      <c r="AK193" s="669"/>
      <c r="AL193" s="669"/>
      <c r="AM193" s="669"/>
      <c r="AN193" s="669"/>
      <c r="AO193" s="669"/>
      <c r="AP193" s="669"/>
      <c r="AQ193" s="669"/>
      <c r="AR193" s="669"/>
      <c r="AS193" s="669"/>
      <c r="AT193" s="669"/>
      <c r="AU193" s="669"/>
    </row>
    <row r="194" spans="1:47" ht="15" outlineLevel="2" x14ac:dyDescent="0.2">
      <c r="A194" s="586"/>
      <c r="B194" s="586"/>
      <c r="C194" s="586"/>
      <c r="D194" s="681" t="s">
        <v>0</v>
      </c>
      <c r="E194" s="681"/>
      <c r="F194" s="671">
        <f>FirstYear</f>
        <v>0</v>
      </c>
      <c r="G194" s="671">
        <f>F194+1</f>
        <v>1</v>
      </c>
      <c r="H194" s="671">
        <f>G194+1</f>
        <v>2</v>
      </c>
      <c r="I194" s="671">
        <f>H194+1</f>
        <v>3</v>
      </c>
      <c r="J194" s="671">
        <f>I194+1</f>
        <v>4</v>
      </c>
      <c r="K194" s="671">
        <f>J194+1</f>
        <v>5</v>
      </c>
      <c r="M194" s="149"/>
      <c r="N194" s="692"/>
      <c r="O194" s="692"/>
      <c r="P194" s="692"/>
      <c r="Q194" s="99"/>
      <c r="R194" s="99"/>
      <c r="S194" s="99"/>
      <c r="T194" s="99"/>
      <c r="V194" s="99"/>
      <c r="W194" s="99"/>
      <c r="X194" s="99"/>
      <c r="Y194" s="669"/>
      <c r="Z194" s="669"/>
      <c r="AA194" s="669"/>
      <c r="AB194" s="669"/>
      <c r="AC194" s="669"/>
      <c r="AD194" s="669"/>
      <c r="AE194" s="669"/>
      <c r="AF194" s="669"/>
      <c r="AG194" s="669"/>
      <c r="AH194" s="669"/>
      <c r="AI194" s="669"/>
      <c r="AJ194" s="669"/>
      <c r="AK194" s="669"/>
      <c r="AL194" s="669"/>
      <c r="AM194" s="669"/>
      <c r="AN194" s="669"/>
      <c r="AO194" s="669"/>
      <c r="AP194" s="669"/>
      <c r="AQ194" s="669"/>
      <c r="AR194" s="669"/>
      <c r="AS194" s="669"/>
      <c r="AT194" s="669"/>
      <c r="AU194" s="669"/>
    </row>
    <row r="195" spans="1:47" outlineLevel="2" x14ac:dyDescent="0.2">
      <c r="A195" s="586"/>
      <c r="B195" s="586"/>
      <c r="C195" s="586"/>
      <c r="D195" s="586"/>
      <c r="E195" s="590" t="s">
        <v>269</v>
      </c>
      <c r="F195" s="397">
        <f t="shared" ref="F195:K195" si="87">F196*$P45</f>
        <v>0</v>
      </c>
      <c r="G195" s="397">
        <f t="shared" si="87"/>
        <v>0</v>
      </c>
      <c r="H195" s="397">
        <f t="shared" si="87"/>
        <v>0</v>
      </c>
      <c r="I195" s="397">
        <f t="shared" si="87"/>
        <v>0</v>
      </c>
      <c r="J195" s="397">
        <f t="shared" si="87"/>
        <v>0</v>
      </c>
      <c r="K195" s="397">
        <f t="shared" si="87"/>
        <v>0</v>
      </c>
      <c r="M195" s="149"/>
      <c r="N195" s="692"/>
      <c r="O195" s="692"/>
      <c r="P195" s="692"/>
      <c r="Q195" s="99"/>
      <c r="R195" s="99"/>
      <c r="S195" s="99"/>
      <c r="T195" s="99"/>
      <c r="V195" s="97">
        <f>FirstYear</f>
        <v>0</v>
      </c>
      <c r="W195" s="96">
        <f>IF(F196&lt;&gt;0,F196-F199,0)</f>
        <v>0</v>
      </c>
      <c r="X195" s="99"/>
      <c r="Y195" s="669"/>
      <c r="Z195" s="669"/>
      <c r="AA195" s="669"/>
      <c r="AB195" s="669"/>
      <c r="AC195" s="669"/>
      <c r="AD195" s="669"/>
      <c r="AE195" s="669"/>
      <c r="AF195" s="669"/>
      <c r="AG195" s="669"/>
      <c r="AH195" s="669"/>
      <c r="AI195" s="669"/>
      <c r="AJ195" s="669"/>
      <c r="AK195" s="669"/>
      <c r="AL195" s="669"/>
      <c r="AM195" s="669"/>
      <c r="AN195" s="669"/>
      <c r="AO195" s="669"/>
      <c r="AP195" s="669"/>
      <c r="AQ195" s="669"/>
      <c r="AR195" s="669"/>
      <c r="AS195" s="669"/>
      <c r="AT195" s="669"/>
      <c r="AU195" s="669"/>
    </row>
    <row r="196" spans="1:47" ht="14.25" outlineLevel="2" x14ac:dyDescent="0.2">
      <c r="A196" s="586"/>
      <c r="B196" s="586"/>
      <c r="C196" s="352" t="str">
        <f>W60</f>
        <v/>
      </c>
      <c r="D196" s="586"/>
      <c r="E196" s="85" t="s">
        <v>80</v>
      </c>
      <c r="F196" s="86">
        <f t="shared" ref="F196:K196" si="88">IF($W$45=2,$N$45*IF($C196&lt;&gt;"",INDEX(PBSScriptsNew,$C196,F193),0),IF($Y45&lt;&gt;0,$M$45*INDEX(MBSPBSInc,$C192,($Y45-1)*7+F193),0))*$V$45</f>
        <v>0</v>
      </c>
      <c r="G196" s="86">
        <f t="shared" si="88"/>
        <v>0</v>
      </c>
      <c r="H196" s="86">
        <f t="shared" si="88"/>
        <v>0</v>
      </c>
      <c r="I196" s="86">
        <f t="shared" si="88"/>
        <v>0</v>
      </c>
      <c r="J196" s="86">
        <f t="shared" si="88"/>
        <v>0</v>
      </c>
      <c r="K196" s="86">
        <f t="shared" si="88"/>
        <v>0</v>
      </c>
      <c r="M196" s="701"/>
      <c r="N196" s="684"/>
      <c r="O196" s="684"/>
      <c r="P196" s="684"/>
      <c r="Q196" s="694"/>
      <c r="R196" s="694"/>
      <c r="S196" s="694"/>
      <c r="T196" s="694"/>
      <c r="V196" s="97">
        <f>V195+1</f>
        <v>1</v>
      </c>
      <c r="W196" s="96">
        <f>IF(G196&lt;&gt;0,G196-G199,0)</f>
        <v>0</v>
      </c>
      <c r="X196" s="695"/>
      <c r="Y196" s="669"/>
      <c r="Z196" s="669"/>
      <c r="AA196" s="669"/>
      <c r="AB196" s="669"/>
      <c r="AC196" s="669"/>
      <c r="AD196" s="669"/>
      <c r="AE196" s="669"/>
      <c r="AF196" s="669"/>
      <c r="AG196" s="669"/>
      <c r="AH196" s="669"/>
      <c r="AI196" s="669"/>
      <c r="AJ196" s="669"/>
      <c r="AK196" s="669"/>
      <c r="AL196" s="669"/>
      <c r="AM196" s="669"/>
      <c r="AN196" s="669"/>
      <c r="AO196" s="669"/>
      <c r="AP196" s="669"/>
      <c r="AQ196" s="669"/>
      <c r="AR196" s="669"/>
      <c r="AS196" s="669"/>
      <c r="AT196" s="669"/>
      <c r="AU196" s="669"/>
    </row>
    <row r="197" spans="1:47" outlineLevel="2" x14ac:dyDescent="0.2">
      <c r="A197" s="586"/>
      <c r="B197" s="352">
        <v>5</v>
      </c>
      <c r="C197" s="352">
        <v>6</v>
      </c>
      <c r="D197" s="586"/>
      <c r="E197" s="696" t="s">
        <v>146</v>
      </c>
      <c r="F197" s="86" t="str">
        <f t="shared" ref="F197:K200" si="89">IF(INDEX(MBSItemsInc,$C$192,1)&lt;&gt;"",F$196*INDEX(MBSItemsInc,$C$192,$B197)*INDEX(MBSItemsInc,$C$192,$C197),"")</f>
        <v/>
      </c>
      <c r="G197" s="86" t="str">
        <f t="shared" si="89"/>
        <v/>
      </c>
      <c r="H197" s="86" t="str">
        <f t="shared" si="89"/>
        <v/>
      </c>
      <c r="I197" s="86" t="str">
        <f t="shared" si="89"/>
        <v/>
      </c>
      <c r="J197" s="86" t="str">
        <f t="shared" si="89"/>
        <v/>
      </c>
      <c r="K197" s="86" t="str">
        <f t="shared" si="89"/>
        <v/>
      </c>
      <c r="M197" s="149"/>
      <c r="N197" s="697"/>
      <c r="O197" s="697"/>
      <c r="P197" s="697"/>
      <c r="Q197" s="694"/>
      <c r="R197" s="694"/>
      <c r="S197" s="694"/>
      <c r="T197" s="694"/>
      <c r="V197" s="97">
        <f>V196+1</f>
        <v>2</v>
      </c>
      <c r="W197" s="96">
        <f>IF(H196&lt;&gt;0,H196-H199,0)</f>
        <v>0</v>
      </c>
      <c r="X197" s="695"/>
      <c r="Y197" s="669"/>
      <c r="Z197" s="669"/>
      <c r="AA197" s="669"/>
      <c r="AB197" s="669"/>
      <c r="AC197" s="669"/>
      <c r="AD197" s="669"/>
      <c r="AE197" s="669"/>
      <c r="AF197" s="669"/>
      <c r="AG197" s="669"/>
      <c r="AH197" s="669"/>
      <c r="AI197" s="669"/>
      <c r="AJ197" s="669"/>
      <c r="AK197" s="669"/>
      <c r="AL197" s="669"/>
      <c r="AM197" s="669"/>
      <c r="AN197" s="669"/>
      <c r="AO197" s="669"/>
      <c r="AP197" s="669"/>
      <c r="AQ197" s="669"/>
      <c r="AR197" s="669"/>
      <c r="AS197" s="669"/>
      <c r="AT197" s="669"/>
      <c r="AU197" s="669"/>
    </row>
    <row r="198" spans="1:47" outlineLevel="2" x14ac:dyDescent="0.2">
      <c r="A198" s="586"/>
      <c r="B198" s="352">
        <v>5</v>
      </c>
      <c r="C198" s="352">
        <v>7</v>
      </c>
      <c r="D198" s="586"/>
      <c r="E198" s="696" t="s">
        <v>147</v>
      </c>
      <c r="F198" s="86" t="str">
        <f t="shared" si="89"/>
        <v/>
      </c>
      <c r="G198" s="86" t="str">
        <f t="shared" si="89"/>
        <v/>
      </c>
      <c r="H198" s="86" t="str">
        <f t="shared" si="89"/>
        <v/>
      </c>
      <c r="I198" s="86" t="str">
        <f t="shared" si="89"/>
        <v/>
      </c>
      <c r="J198" s="86" t="str">
        <f t="shared" si="89"/>
        <v/>
      </c>
      <c r="K198" s="86" t="str">
        <f t="shared" si="89"/>
        <v/>
      </c>
      <c r="M198" s="149"/>
      <c r="N198" s="697"/>
      <c r="O198" s="697"/>
      <c r="P198" s="697"/>
      <c r="Q198" s="694"/>
      <c r="R198" s="694"/>
      <c r="S198" s="694"/>
      <c r="T198" s="694"/>
      <c r="V198" s="97">
        <f>V197+1</f>
        <v>3</v>
      </c>
      <c r="W198" s="96">
        <f>IF(I196&lt;&gt;0,I196-I199,0)</f>
        <v>0</v>
      </c>
      <c r="X198" s="695"/>
      <c r="Y198" s="669"/>
      <c r="Z198" s="669"/>
      <c r="AA198" s="669"/>
      <c r="AB198" s="669"/>
      <c r="AC198" s="669"/>
      <c r="AD198" s="669"/>
      <c r="AE198" s="669"/>
      <c r="AF198" s="669"/>
      <c r="AG198" s="669"/>
      <c r="AH198" s="669"/>
      <c r="AI198" s="669"/>
      <c r="AJ198" s="669"/>
      <c r="AK198" s="669"/>
      <c r="AL198" s="669"/>
      <c r="AM198" s="669"/>
      <c r="AN198" s="669"/>
      <c r="AO198" s="669"/>
      <c r="AP198" s="669"/>
      <c r="AQ198" s="669"/>
      <c r="AR198" s="669"/>
      <c r="AS198" s="669"/>
      <c r="AT198" s="669"/>
      <c r="AU198" s="669"/>
    </row>
    <row r="199" spans="1:47" outlineLevel="2" x14ac:dyDescent="0.2">
      <c r="A199" s="586"/>
      <c r="B199" s="352">
        <v>4</v>
      </c>
      <c r="C199" s="352">
        <v>6</v>
      </c>
      <c r="D199" s="586"/>
      <c r="E199" s="696" t="s">
        <v>148</v>
      </c>
      <c r="F199" s="86" t="str">
        <f t="shared" si="89"/>
        <v/>
      </c>
      <c r="G199" s="86" t="str">
        <f t="shared" si="89"/>
        <v/>
      </c>
      <c r="H199" s="86" t="str">
        <f t="shared" si="89"/>
        <v/>
      </c>
      <c r="I199" s="86" t="str">
        <f t="shared" si="89"/>
        <v/>
      </c>
      <c r="J199" s="86" t="str">
        <f t="shared" si="89"/>
        <v/>
      </c>
      <c r="K199" s="86" t="str">
        <f t="shared" si="89"/>
        <v/>
      </c>
      <c r="M199" s="149"/>
      <c r="N199" s="697"/>
      <c r="O199" s="697"/>
      <c r="P199" s="697"/>
      <c r="Q199" s="694"/>
      <c r="R199" s="694"/>
      <c r="S199" s="694"/>
      <c r="T199" s="694"/>
      <c r="V199" s="97">
        <f>V198+1</f>
        <v>4</v>
      </c>
      <c r="W199" s="96">
        <f>IF(J196&lt;&gt;0,J196-J199,0)</f>
        <v>0</v>
      </c>
      <c r="X199" s="695"/>
      <c r="Y199" s="669"/>
      <c r="Z199" s="669"/>
      <c r="AA199" s="669"/>
      <c r="AB199" s="669"/>
      <c r="AC199" s="669"/>
      <c r="AD199" s="669"/>
      <c r="AE199" s="669"/>
      <c r="AF199" s="669"/>
      <c r="AG199" s="669"/>
      <c r="AH199" s="669"/>
      <c r="AI199" s="669"/>
      <c r="AJ199" s="669"/>
      <c r="AK199" s="669"/>
      <c r="AL199" s="669"/>
      <c r="AM199" s="669"/>
      <c r="AN199" s="669"/>
      <c r="AO199" s="669"/>
      <c r="AP199" s="669"/>
      <c r="AQ199" s="669"/>
      <c r="AR199" s="669"/>
      <c r="AS199" s="669"/>
      <c r="AT199" s="669"/>
      <c r="AU199" s="669"/>
    </row>
    <row r="200" spans="1:47" ht="12.75" customHeight="1" outlineLevel="2" x14ac:dyDescent="0.2">
      <c r="A200" s="586"/>
      <c r="B200" s="352">
        <v>4</v>
      </c>
      <c r="C200" s="352">
        <v>7</v>
      </c>
      <c r="D200" s="586"/>
      <c r="E200" s="698" t="s">
        <v>149</v>
      </c>
      <c r="F200" s="86" t="str">
        <f t="shared" si="89"/>
        <v/>
      </c>
      <c r="G200" s="86" t="str">
        <f t="shared" si="89"/>
        <v/>
      </c>
      <c r="H200" s="86" t="str">
        <f t="shared" si="89"/>
        <v/>
      </c>
      <c r="I200" s="86" t="str">
        <f t="shared" si="89"/>
        <v/>
      </c>
      <c r="J200" s="86" t="str">
        <f t="shared" si="89"/>
        <v/>
      </c>
      <c r="K200" s="86" t="str">
        <f t="shared" si="89"/>
        <v/>
      </c>
      <c r="M200" s="149"/>
      <c r="N200" s="697"/>
      <c r="O200" s="697"/>
      <c r="P200" s="697"/>
      <c r="Q200" s="694"/>
      <c r="R200" s="694"/>
      <c r="S200" s="694"/>
      <c r="T200" s="694"/>
      <c r="V200" s="97">
        <f>V199+1</f>
        <v>5</v>
      </c>
      <c r="W200" s="96">
        <f>IF(K196&lt;&gt;0,K196-K199,0)</f>
        <v>0</v>
      </c>
      <c r="X200" s="695"/>
      <c r="Y200" s="669"/>
      <c r="Z200" s="669"/>
      <c r="AA200" s="669"/>
      <c r="AB200" s="669"/>
      <c r="AC200" s="669"/>
      <c r="AD200" s="669"/>
      <c r="AE200" s="669"/>
      <c r="AF200" s="669"/>
      <c r="AG200" s="669"/>
      <c r="AH200" s="669"/>
      <c r="AI200" s="669"/>
      <c r="AJ200" s="669"/>
      <c r="AK200" s="669"/>
      <c r="AL200" s="669"/>
      <c r="AM200" s="669"/>
      <c r="AN200" s="669"/>
      <c r="AO200" s="669"/>
      <c r="AP200" s="669"/>
      <c r="AQ200" s="669"/>
      <c r="AR200" s="669"/>
      <c r="AS200" s="669"/>
      <c r="AT200" s="669"/>
      <c r="AU200" s="669"/>
    </row>
    <row r="201" spans="1:47" outlineLevel="2" x14ac:dyDescent="0.2">
      <c r="A201" s="586"/>
      <c r="B201" s="586"/>
      <c r="C201" s="586"/>
      <c r="D201" s="586"/>
      <c r="E201" s="586"/>
      <c r="F201" s="586"/>
      <c r="G201" s="586"/>
      <c r="H201" s="586"/>
      <c r="I201" s="586"/>
      <c r="J201" s="586"/>
      <c r="K201" s="586"/>
      <c r="M201" s="586"/>
      <c r="N201" s="164"/>
      <c r="O201" s="164"/>
      <c r="P201" s="164"/>
      <c r="Q201" s="164"/>
      <c r="R201" s="164"/>
      <c r="S201" s="164"/>
      <c r="T201" s="164"/>
      <c r="V201" s="98"/>
      <c r="W201" s="98"/>
      <c r="X201" s="98"/>
      <c r="Y201" s="669"/>
      <c r="Z201" s="669"/>
      <c r="AA201" s="669"/>
      <c r="AB201" s="669"/>
      <c r="AC201" s="669"/>
      <c r="AD201" s="669"/>
      <c r="AE201" s="669"/>
      <c r="AF201" s="669"/>
      <c r="AG201" s="669"/>
      <c r="AH201" s="669"/>
      <c r="AI201" s="669"/>
      <c r="AJ201" s="669"/>
      <c r="AK201" s="669"/>
      <c r="AL201" s="669"/>
      <c r="AM201" s="669"/>
      <c r="AN201" s="669"/>
      <c r="AO201" s="669"/>
      <c r="AP201" s="669"/>
      <c r="AQ201" s="669"/>
      <c r="AR201" s="669"/>
      <c r="AS201" s="669"/>
      <c r="AT201" s="669"/>
      <c r="AU201" s="669"/>
    </row>
    <row r="202" spans="1:47" ht="15" outlineLevel="2" x14ac:dyDescent="0.2">
      <c r="A202" s="586"/>
      <c r="B202" s="586"/>
      <c r="C202" s="586"/>
      <c r="D202" s="681" t="s">
        <v>1</v>
      </c>
      <c r="E202" s="681"/>
      <c r="F202" s="671">
        <f>FirstYear</f>
        <v>0</v>
      </c>
      <c r="G202" s="671">
        <f>F202+1</f>
        <v>1</v>
      </c>
      <c r="H202" s="671">
        <f>G202+1</f>
        <v>2</v>
      </c>
      <c r="I202" s="671">
        <f>H202+1</f>
        <v>3</v>
      </c>
      <c r="J202" s="671">
        <f>I202+1</f>
        <v>4</v>
      </c>
      <c r="K202" s="671">
        <f>J202+1</f>
        <v>5</v>
      </c>
      <c r="M202" s="586"/>
      <c r="N202" s="164"/>
      <c r="O202" s="164"/>
      <c r="P202" s="164"/>
      <c r="Q202" s="164"/>
      <c r="R202" s="164"/>
      <c r="S202" s="164"/>
      <c r="T202" s="164"/>
      <c r="V202" s="98"/>
      <c r="W202" s="98"/>
      <c r="X202" s="98"/>
      <c r="Y202" s="669"/>
      <c r="Z202" s="669"/>
      <c r="AA202" s="669"/>
      <c r="AB202" s="669"/>
      <c r="AC202" s="669"/>
      <c r="AD202" s="669"/>
      <c r="AE202" s="669"/>
      <c r="AF202" s="669"/>
      <c r="AG202" s="669"/>
      <c r="AH202" s="669"/>
      <c r="AI202" s="669"/>
      <c r="AJ202" s="669"/>
      <c r="AK202" s="669"/>
      <c r="AL202" s="669"/>
      <c r="AM202" s="669"/>
      <c r="AN202" s="669"/>
      <c r="AO202" s="669"/>
      <c r="AP202" s="669"/>
      <c r="AQ202" s="669"/>
      <c r="AR202" s="669"/>
      <c r="AS202" s="669"/>
      <c r="AT202" s="669"/>
      <c r="AU202" s="669"/>
    </row>
    <row r="203" spans="1:47" outlineLevel="2" x14ac:dyDescent="0.2">
      <c r="A203" s="586"/>
      <c r="B203" s="586"/>
      <c r="C203" s="586"/>
      <c r="D203" s="586"/>
      <c r="E203" s="590" t="s">
        <v>269</v>
      </c>
      <c r="F203" s="397">
        <f>F204*$P45</f>
        <v>0</v>
      </c>
      <c r="G203" s="397">
        <f>G204*$N74</f>
        <v>0</v>
      </c>
      <c r="H203" s="397">
        <f>H204*$N74</f>
        <v>0</v>
      </c>
      <c r="I203" s="397">
        <f>I204*$N74</f>
        <v>0</v>
      </c>
      <c r="J203" s="397">
        <f>J204*$N74</f>
        <v>0</v>
      </c>
      <c r="K203" s="397">
        <f>K204*$N74</f>
        <v>0</v>
      </c>
      <c r="M203" s="586"/>
      <c r="N203" s="164"/>
      <c r="O203" s="164"/>
      <c r="P203" s="164"/>
      <c r="Q203" s="164"/>
      <c r="R203" s="164"/>
      <c r="S203" s="164"/>
      <c r="T203" s="164"/>
      <c r="V203" s="98"/>
      <c r="W203" s="98"/>
      <c r="X203" s="98"/>
      <c r="Y203" s="669"/>
      <c r="Z203" s="669"/>
      <c r="AA203" s="669"/>
      <c r="AB203" s="669"/>
      <c r="AC203" s="669"/>
      <c r="AD203" s="669"/>
      <c r="AE203" s="669"/>
      <c r="AF203" s="669"/>
      <c r="AG203" s="669"/>
      <c r="AH203" s="669"/>
      <c r="AI203" s="669"/>
      <c r="AJ203" s="669"/>
      <c r="AK203" s="669"/>
      <c r="AL203" s="669"/>
      <c r="AM203" s="669"/>
      <c r="AN203" s="669"/>
      <c r="AO203" s="669"/>
      <c r="AP203" s="669"/>
      <c r="AQ203" s="669"/>
      <c r="AR203" s="669"/>
      <c r="AS203" s="669"/>
      <c r="AT203" s="669"/>
      <c r="AU203" s="669"/>
    </row>
    <row r="204" spans="1:47" outlineLevel="2" x14ac:dyDescent="0.2">
      <c r="A204" s="586"/>
      <c r="B204" s="586"/>
      <c r="C204" s="352" t="str">
        <f>W60</f>
        <v/>
      </c>
      <c r="D204" s="586"/>
      <c r="E204" s="85" t="s">
        <v>80</v>
      </c>
      <c r="F204" s="86">
        <f t="shared" ref="F204:K204" si="90">IF($W$45=2,$N$45*IF($C204&lt;&gt;"",INDEX(RPBSScriptsNew,$C204,F193),0),IF($Y45&lt;&gt;0,$M$45*INDEX(MBSRPBSInc,$C192,($Y45-1)*7+F193),0))*$V$45</f>
        <v>0</v>
      </c>
      <c r="G204" s="86">
        <f t="shared" si="90"/>
        <v>0</v>
      </c>
      <c r="H204" s="86">
        <f t="shared" si="90"/>
        <v>0</v>
      </c>
      <c r="I204" s="86">
        <f t="shared" si="90"/>
        <v>0</v>
      </c>
      <c r="J204" s="86">
        <f t="shared" si="90"/>
        <v>0</v>
      </c>
      <c r="K204" s="86">
        <f t="shared" si="90"/>
        <v>0</v>
      </c>
      <c r="M204" s="586"/>
      <c r="N204" s="164"/>
      <c r="O204" s="164"/>
      <c r="P204" s="164"/>
      <c r="Q204" s="164"/>
      <c r="R204" s="164"/>
      <c r="S204" s="164"/>
      <c r="T204" s="164"/>
      <c r="V204" s="98"/>
      <c r="W204" s="98"/>
      <c r="X204" s="98"/>
      <c r="Y204" s="669"/>
      <c r="Z204" s="669"/>
      <c r="AA204" s="669"/>
      <c r="AB204" s="669"/>
      <c r="AC204" s="669"/>
      <c r="AD204" s="669"/>
      <c r="AE204" s="669"/>
      <c r="AF204" s="669"/>
      <c r="AG204" s="669"/>
      <c r="AH204" s="669"/>
      <c r="AI204" s="669"/>
      <c r="AJ204" s="669"/>
      <c r="AK204" s="669"/>
      <c r="AL204" s="669"/>
      <c r="AM204" s="669"/>
      <c r="AN204" s="669"/>
      <c r="AO204" s="669"/>
      <c r="AP204" s="669"/>
      <c r="AQ204" s="669"/>
      <c r="AR204" s="669"/>
      <c r="AS204" s="669"/>
      <c r="AT204" s="669"/>
      <c r="AU204" s="669"/>
    </row>
    <row r="205" spans="1:47" outlineLevel="2" x14ac:dyDescent="0.2">
      <c r="A205" s="586"/>
      <c r="B205" s="352">
        <v>5</v>
      </c>
      <c r="C205" s="352">
        <v>6</v>
      </c>
      <c r="D205" s="586"/>
      <c r="E205" s="696" t="s">
        <v>146</v>
      </c>
      <c r="F205" s="86" t="str">
        <f t="shared" ref="F205:K208" si="91">IF(INDEX(MBSItemsInc,$C$192,1)&lt;&gt;"",F$204*INDEX(MBSItemsInc,$C$192,$B205)*INDEX(MBSItemsInc,$C$192,$C205),"")</f>
        <v/>
      </c>
      <c r="G205" s="86" t="str">
        <f t="shared" si="91"/>
        <v/>
      </c>
      <c r="H205" s="86" t="str">
        <f t="shared" si="91"/>
        <v/>
      </c>
      <c r="I205" s="86" t="str">
        <f t="shared" si="91"/>
        <v/>
      </c>
      <c r="J205" s="86" t="str">
        <f t="shared" si="91"/>
        <v/>
      </c>
      <c r="K205" s="86" t="str">
        <f t="shared" si="91"/>
        <v/>
      </c>
      <c r="M205" s="586"/>
      <c r="N205" s="164"/>
      <c r="O205" s="164"/>
      <c r="P205" s="164"/>
      <c r="Q205" s="164"/>
      <c r="R205" s="164"/>
      <c r="S205" s="164"/>
      <c r="T205" s="164"/>
      <c r="V205" s="98"/>
      <c r="W205" s="98"/>
      <c r="X205" s="98"/>
      <c r="Y205" s="669"/>
      <c r="Z205" s="669"/>
      <c r="AA205" s="669"/>
      <c r="AB205" s="669"/>
      <c r="AC205" s="669"/>
      <c r="AD205" s="669"/>
      <c r="AE205" s="669"/>
      <c r="AF205" s="669"/>
      <c r="AG205" s="669"/>
      <c r="AH205" s="669"/>
      <c r="AI205" s="669"/>
      <c r="AJ205" s="669"/>
      <c r="AK205" s="669"/>
      <c r="AL205" s="669"/>
      <c r="AM205" s="669"/>
      <c r="AN205" s="669"/>
      <c r="AO205" s="669"/>
      <c r="AP205" s="669"/>
      <c r="AQ205" s="669"/>
      <c r="AR205" s="669"/>
      <c r="AS205" s="669"/>
      <c r="AT205" s="669"/>
      <c r="AU205" s="669"/>
    </row>
    <row r="206" spans="1:47" outlineLevel="2" x14ac:dyDescent="0.2">
      <c r="A206" s="586"/>
      <c r="B206" s="352">
        <v>5</v>
      </c>
      <c r="C206" s="352">
        <v>7</v>
      </c>
      <c r="D206" s="586"/>
      <c r="E206" s="696" t="s">
        <v>147</v>
      </c>
      <c r="F206" s="86" t="str">
        <f t="shared" si="91"/>
        <v/>
      </c>
      <c r="G206" s="86" t="str">
        <f t="shared" si="91"/>
        <v/>
      </c>
      <c r="H206" s="86" t="str">
        <f t="shared" si="91"/>
        <v/>
      </c>
      <c r="I206" s="86" t="str">
        <f t="shared" si="91"/>
        <v/>
      </c>
      <c r="J206" s="86" t="str">
        <f t="shared" si="91"/>
        <v/>
      </c>
      <c r="K206" s="86" t="str">
        <f t="shared" si="91"/>
        <v/>
      </c>
      <c r="M206" s="586"/>
      <c r="N206" s="164"/>
      <c r="O206" s="164"/>
      <c r="P206" s="164"/>
      <c r="Q206" s="164"/>
      <c r="R206" s="164"/>
      <c r="S206" s="164"/>
      <c r="T206" s="164"/>
      <c r="V206" s="98"/>
      <c r="W206" s="98"/>
      <c r="X206" s="98"/>
      <c r="Y206" s="669"/>
      <c r="Z206" s="669"/>
      <c r="AA206" s="669"/>
      <c r="AB206" s="669"/>
      <c r="AC206" s="669"/>
      <c r="AD206" s="669"/>
      <c r="AE206" s="669"/>
      <c r="AF206" s="669"/>
      <c r="AG206" s="669"/>
      <c r="AH206" s="669"/>
      <c r="AI206" s="669"/>
      <c r="AJ206" s="669"/>
      <c r="AK206" s="669"/>
      <c r="AL206" s="669"/>
      <c r="AM206" s="669"/>
      <c r="AN206" s="669"/>
      <c r="AO206" s="669"/>
      <c r="AP206" s="669"/>
      <c r="AQ206" s="669"/>
      <c r="AR206" s="669"/>
      <c r="AS206" s="669"/>
      <c r="AT206" s="669"/>
      <c r="AU206" s="669"/>
    </row>
    <row r="207" spans="1:47" outlineLevel="2" x14ac:dyDescent="0.2">
      <c r="A207" s="586"/>
      <c r="B207" s="352">
        <v>4</v>
      </c>
      <c r="C207" s="352">
        <v>6</v>
      </c>
      <c r="D207" s="586"/>
      <c r="E207" s="696" t="s">
        <v>148</v>
      </c>
      <c r="F207" s="86" t="str">
        <f t="shared" si="91"/>
        <v/>
      </c>
      <c r="G207" s="86" t="str">
        <f t="shared" si="91"/>
        <v/>
      </c>
      <c r="H207" s="86" t="str">
        <f t="shared" si="91"/>
        <v/>
      </c>
      <c r="I207" s="86" t="str">
        <f t="shared" si="91"/>
        <v/>
      </c>
      <c r="J207" s="86" t="str">
        <f t="shared" si="91"/>
        <v/>
      </c>
      <c r="K207" s="86" t="str">
        <f t="shared" si="91"/>
        <v/>
      </c>
      <c r="M207" s="586"/>
      <c r="N207" s="164"/>
      <c r="O207" s="164"/>
      <c r="P207" s="164"/>
      <c r="Q207" s="164"/>
      <c r="R207" s="164"/>
      <c r="S207" s="164"/>
      <c r="T207" s="164"/>
      <c r="V207" s="98"/>
      <c r="W207" s="98"/>
      <c r="X207" s="98"/>
      <c r="Y207" s="669"/>
      <c r="Z207" s="669"/>
      <c r="AA207" s="669"/>
      <c r="AB207" s="669"/>
      <c r="AC207" s="669"/>
      <c r="AD207" s="669"/>
      <c r="AE207" s="669"/>
      <c r="AF207" s="669"/>
      <c r="AG207" s="669"/>
      <c r="AH207" s="669"/>
      <c r="AI207" s="669"/>
      <c r="AJ207" s="669"/>
      <c r="AK207" s="669"/>
      <c r="AL207" s="669"/>
      <c r="AM207" s="669"/>
      <c r="AN207" s="669"/>
      <c r="AO207" s="669"/>
      <c r="AP207" s="669"/>
      <c r="AQ207" s="669"/>
      <c r="AR207" s="669"/>
      <c r="AS207" s="669"/>
      <c r="AT207" s="669"/>
      <c r="AU207" s="669"/>
    </row>
    <row r="208" spans="1:47" outlineLevel="2" x14ac:dyDescent="0.2">
      <c r="A208" s="586"/>
      <c r="B208" s="352">
        <v>4</v>
      </c>
      <c r="C208" s="352">
        <v>7</v>
      </c>
      <c r="D208" s="586"/>
      <c r="E208" s="698" t="s">
        <v>149</v>
      </c>
      <c r="F208" s="86" t="str">
        <f t="shared" si="91"/>
        <v/>
      </c>
      <c r="G208" s="86" t="str">
        <f t="shared" si="91"/>
        <v/>
      </c>
      <c r="H208" s="86" t="str">
        <f t="shared" si="91"/>
        <v/>
      </c>
      <c r="I208" s="86" t="str">
        <f t="shared" si="91"/>
        <v/>
      </c>
      <c r="J208" s="86" t="str">
        <f t="shared" si="91"/>
        <v/>
      </c>
      <c r="K208" s="86" t="str">
        <f t="shared" si="91"/>
        <v/>
      </c>
      <c r="M208" s="586"/>
      <c r="N208" s="164"/>
      <c r="O208" s="164"/>
      <c r="P208" s="164"/>
      <c r="Q208" s="164"/>
      <c r="R208" s="164"/>
      <c r="S208" s="164"/>
      <c r="T208" s="164"/>
      <c r="V208" s="98"/>
      <c r="W208" s="98"/>
      <c r="X208" s="98"/>
      <c r="Y208" s="669"/>
      <c r="Z208" s="669"/>
      <c r="AA208" s="669"/>
      <c r="AB208" s="669"/>
      <c r="AC208" s="669"/>
      <c r="AD208" s="669"/>
      <c r="AE208" s="669"/>
      <c r="AF208" s="669"/>
      <c r="AG208" s="669"/>
      <c r="AH208" s="669"/>
      <c r="AI208" s="669"/>
      <c r="AJ208" s="669"/>
      <c r="AK208" s="669"/>
      <c r="AL208" s="669"/>
      <c r="AM208" s="669"/>
      <c r="AN208" s="669"/>
      <c r="AO208" s="669"/>
      <c r="AP208" s="669"/>
      <c r="AQ208" s="669"/>
      <c r="AR208" s="669"/>
      <c r="AS208" s="669"/>
      <c r="AT208" s="669"/>
      <c r="AU208" s="669"/>
    </row>
    <row r="209" spans="1:50" outlineLevel="1" x14ac:dyDescent="0.2">
      <c r="A209" s="586"/>
      <c r="B209" s="586"/>
      <c r="C209" s="586"/>
      <c r="D209" s="586"/>
      <c r="E209" s="586"/>
      <c r="F209" s="586"/>
      <c r="G209" s="586"/>
      <c r="H209" s="586"/>
      <c r="I209" s="586"/>
      <c r="J209" s="586"/>
      <c r="K209" s="586"/>
      <c r="L209" s="586"/>
      <c r="M209" s="586"/>
      <c r="N209" s="164"/>
      <c r="O209" s="164"/>
      <c r="P209" s="164"/>
      <c r="Q209" s="164"/>
      <c r="R209" s="164"/>
      <c r="S209" s="164"/>
      <c r="T209" s="164"/>
      <c r="V209" s="98"/>
      <c r="W209" s="98"/>
      <c r="X209" s="98"/>
      <c r="Y209" s="669"/>
      <c r="Z209" s="669"/>
      <c r="AA209" s="669"/>
      <c r="AB209" s="669"/>
      <c r="AC209" s="669"/>
      <c r="AD209" s="669"/>
      <c r="AE209" s="669"/>
      <c r="AF209" s="669"/>
      <c r="AG209" s="669"/>
      <c r="AH209" s="669"/>
      <c r="AI209" s="669"/>
      <c r="AJ209" s="669"/>
      <c r="AK209" s="669"/>
      <c r="AL209" s="669"/>
      <c r="AM209" s="669"/>
      <c r="AN209" s="669"/>
      <c r="AO209" s="669"/>
      <c r="AP209" s="669"/>
      <c r="AQ209" s="669"/>
      <c r="AR209" s="669"/>
      <c r="AS209" s="669"/>
      <c r="AT209" s="669"/>
      <c r="AU209" s="669"/>
    </row>
    <row r="210" spans="1:50" ht="15.75" outlineLevel="1" x14ac:dyDescent="0.2">
      <c r="A210" s="586"/>
      <c r="B210" s="586"/>
      <c r="C210" s="352">
        <v>9</v>
      </c>
      <c r="D210" s="110" t="str">
        <f>INDEX(MBSNamesNew,C210)</f>
        <v>** NOT USED **</v>
      </c>
      <c r="E210" s="110"/>
      <c r="F210" s="154"/>
      <c r="G210" s="154"/>
      <c r="H210" s="154"/>
      <c r="I210" s="154"/>
      <c r="J210" s="782" t="str">
        <f>IF(D210&lt;&gt;MsgNotUsed,"Co-payment group " &amp; K46,"")</f>
        <v/>
      </c>
      <c r="K210" s="782"/>
      <c r="L210" s="154"/>
      <c r="M210" s="154"/>
      <c r="N210" s="154"/>
      <c r="O210" s="154"/>
      <c r="P210" s="154"/>
      <c r="Q210" s="154"/>
      <c r="R210" s="154"/>
      <c r="S210" s="154"/>
      <c r="T210" s="154"/>
      <c r="V210" s="98"/>
      <c r="W210" s="98"/>
      <c r="X210" s="98"/>
      <c r="Y210" s="669"/>
      <c r="Z210" s="669"/>
      <c r="AA210" s="669"/>
      <c r="AB210" s="669"/>
      <c r="AC210" s="669"/>
      <c r="AD210" s="669"/>
      <c r="AE210" s="669"/>
      <c r="AF210" s="669"/>
      <c r="AG210" s="669"/>
      <c r="AH210" s="669"/>
      <c r="AI210" s="669"/>
      <c r="AJ210" s="669"/>
      <c r="AK210" s="669"/>
      <c r="AL210" s="669"/>
      <c r="AM210" s="669"/>
      <c r="AN210" s="669"/>
      <c r="AO210" s="669"/>
      <c r="AP210" s="669"/>
      <c r="AQ210" s="669"/>
      <c r="AR210" s="669"/>
      <c r="AS210" s="669"/>
      <c r="AT210" s="669"/>
      <c r="AU210" s="669"/>
    </row>
    <row r="211" spans="1:50" outlineLevel="2" x14ac:dyDescent="0.2">
      <c r="A211" s="586"/>
      <c r="B211" s="586"/>
      <c r="C211" s="586"/>
      <c r="D211" s="674"/>
      <c r="E211" s="674"/>
      <c r="F211" s="691">
        <v>2</v>
      </c>
      <c r="G211" s="691">
        <v>3</v>
      </c>
      <c r="H211" s="691">
        <v>4</v>
      </c>
      <c r="I211" s="691">
        <v>5</v>
      </c>
      <c r="J211" s="691">
        <v>6</v>
      </c>
      <c r="K211" s="691">
        <v>7</v>
      </c>
      <c r="L211" s="691"/>
      <c r="M211" s="674"/>
      <c r="N211" s="674"/>
      <c r="O211" s="715"/>
      <c r="P211" s="674"/>
      <c r="Q211" s="674"/>
      <c r="R211" s="674"/>
      <c r="S211" s="674"/>
      <c r="T211" s="674"/>
      <c r="V211" s="98"/>
      <c r="W211" s="98"/>
      <c r="X211" s="98"/>
      <c r="Y211" s="669"/>
      <c r="Z211" s="669"/>
      <c r="AA211" s="669"/>
      <c r="AB211" s="669"/>
      <c r="AC211" s="669"/>
      <c r="AD211" s="669"/>
      <c r="AE211" s="669"/>
      <c r="AF211" s="669"/>
      <c r="AG211" s="669"/>
      <c r="AH211" s="669"/>
      <c r="AI211" s="669"/>
      <c r="AJ211" s="669"/>
      <c r="AK211" s="669"/>
      <c r="AL211" s="669"/>
      <c r="AM211" s="669"/>
      <c r="AN211" s="669"/>
      <c r="AO211" s="669"/>
      <c r="AP211" s="669"/>
      <c r="AQ211" s="669"/>
      <c r="AR211" s="669"/>
      <c r="AS211" s="669"/>
      <c r="AT211" s="669"/>
      <c r="AU211" s="669"/>
    </row>
    <row r="212" spans="1:50" ht="15" outlineLevel="2" x14ac:dyDescent="0.2">
      <c r="A212" s="586"/>
      <c r="B212" s="586"/>
      <c r="C212" s="586"/>
      <c r="D212" s="681" t="s">
        <v>0</v>
      </c>
      <c r="E212" s="681"/>
      <c r="F212" s="671">
        <f>FirstYear</f>
        <v>0</v>
      </c>
      <c r="G212" s="671">
        <f>F212+1</f>
        <v>1</v>
      </c>
      <c r="H212" s="671">
        <f>G212+1</f>
        <v>2</v>
      </c>
      <c r="I212" s="671">
        <f>H212+1</f>
        <v>3</v>
      </c>
      <c r="J212" s="671">
        <f>I212+1</f>
        <v>4</v>
      </c>
      <c r="K212" s="671">
        <f>J212+1</f>
        <v>5</v>
      </c>
      <c r="M212" s="149"/>
      <c r="N212" s="692"/>
      <c r="O212" s="692"/>
      <c r="P212" s="692"/>
      <c r="Q212" s="99"/>
      <c r="R212" s="99"/>
      <c r="S212" s="99"/>
      <c r="T212" s="99"/>
      <c r="V212" s="99"/>
      <c r="W212" s="99"/>
      <c r="X212" s="99"/>
      <c r="Y212" s="669"/>
      <c r="Z212" s="669"/>
      <c r="AA212" s="669"/>
      <c r="AB212" s="669"/>
      <c r="AC212" s="669"/>
      <c r="AD212" s="669"/>
      <c r="AE212" s="669"/>
      <c r="AF212" s="669"/>
      <c r="AG212" s="669"/>
      <c r="AH212" s="669"/>
      <c r="AI212" s="669"/>
      <c r="AJ212" s="669"/>
      <c r="AK212" s="669"/>
      <c r="AL212" s="669"/>
      <c r="AM212" s="669"/>
      <c r="AN212" s="669"/>
      <c r="AO212" s="669"/>
      <c r="AP212" s="669"/>
      <c r="AQ212" s="669"/>
      <c r="AR212" s="669"/>
      <c r="AS212" s="669"/>
      <c r="AT212" s="669"/>
      <c r="AU212" s="669"/>
    </row>
    <row r="213" spans="1:50" outlineLevel="2" x14ac:dyDescent="0.2">
      <c r="A213" s="586"/>
      <c r="B213" s="586"/>
      <c r="C213" s="586"/>
      <c r="D213" s="586"/>
      <c r="E213" s="590" t="s">
        <v>269</v>
      </c>
      <c r="F213" s="397">
        <f t="shared" ref="F213:K213" si="92">F214*$P46</f>
        <v>0</v>
      </c>
      <c r="G213" s="397">
        <f t="shared" si="92"/>
        <v>0</v>
      </c>
      <c r="H213" s="397">
        <f t="shared" si="92"/>
        <v>0</v>
      </c>
      <c r="I213" s="397">
        <f t="shared" si="92"/>
        <v>0</v>
      </c>
      <c r="J213" s="397">
        <f t="shared" si="92"/>
        <v>0</v>
      </c>
      <c r="K213" s="397">
        <f t="shared" si="92"/>
        <v>0</v>
      </c>
      <c r="M213" s="149"/>
      <c r="N213" s="692"/>
      <c r="O213" s="692"/>
      <c r="P213" s="692"/>
      <c r="Q213" s="99"/>
      <c r="R213" s="99"/>
      <c r="S213" s="99"/>
      <c r="T213" s="99"/>
      <c r="V213" s="97">
        <f>FirstYear</f>
        <v>0</v>
      </c>
      <c r="W213" s="96">
        <f>IF(F214&lt;&gt;0,F214-F217,0)</f>
        <v>0</v>
      </c>
      <c r="X213" s="99"/>
      <c r="Y213" s="669"/>
      <c r="Z213" s="669"/>
      <c r="AA213" s="669"/>
      <c r="AB213" s="669"/>
      <c r="AC213" s="669"/>
      <c r="AD213" s="669"/>
      <c r="AE213" s="669"/>
      <c r="AF213" s="669"/>
      <c r="AG213" s="669"/>
      <c r="AH213" s="669"/>
      <c r="AI213" s="669"/>
      <c r="AJ213" s="669"/>
      <c r="AK213" s="669"/>
      <c r="AL213" s="669"/>
      <c r="AM213" s="669"/>
      <c r="AN213" s="669"/>
      <c r="AO213" s="669"/>
      <c r="AP213" s="669"/>
      <c r="AQ213" s="669"/>
      <c r="AR213" s="669"/>
      <c r="AS213" s="669"/>
      <c r="AT213" s="669"/>
      <c r="AU213" s="669"/>
    </row>
    <row r="214" spans="1:50" ht="14.25" outlineLevel="2" x14ac:dyDescent="0.2">
      <c r="A214" s="586"/>
      <c r="B214" s="586"/>
      <c r="C214" s="352" t="str">
        <f>W61</f>
        <v/>
      </c>
      <c r="D214" s="586"/>
      <c r="E214" s="85" t="s">
        <v>80</v>
      </c>
      <c r="F214" s="86">
        <f t="shared" ref="F214:K214" si="93">IF($W$46=2,$N$46*IF($C214&lt;&gt;"",INDEX(PBSScriptsNew,$C214,F211),0),IF($Y46&lt;&gt;0,$M$46*INDEX(MBSPBSInc,$C210,($Y46-1)*7+F211),0))*$V$46</f>
        <v>0</v>
      </c>
      <c r="G214" s="86">
        <f t="shared" si="93"/>
        <v>0</v>
      </c>
      <c r="H214" s="86">
        <f t="shared" si="93"/>
        <v>0</v>
      </c>
      <c r="I214" s="86">
        <f t="shared" si="93"/>
        <v>0</v>
      </c>
      <c r="J214" s="86">
        <f t="shared" si="93"/>
        <v>0</v>
      </c>
      <c r="K214" s="86">
        <f t="shared" si="93"/>
        <v>0</v>
      </c>
      <c r="M214" s="701"/>
      <c r="N214" s="684"/>
      <c r="O214" s="684"/>
      <c r="P214" s="684"/>
      <c r="Q214" s="694"/>
      <c r="R214" s="694"/>
      <c r="S214" s="694"/>
      <c r="T214" s="694"/>
      <c r="V214" s="97">
        <f>V213+1</f>
        <v>1</v>
      </c>
      <c r="W214" s="96">
        <f>IF(G214&lt;&gt;0,G214-G217,0)</f>
        <v>0</v>
      </c>
      <c r="X214" s="695"/>
      <c r="Y214" s="669"/>
      <c r="Z214" s="669"/>
      <c r="AA214" s="669"/>
      <c r="AB214" s="669"/>
      <c r="AC214" s="669"/>
      <c r="AD214" s="669"/>
      <c r="AE214" s="669"/>
      <c r="AF214" s="669"/>
      <c r="AG214" s="669"/>
      <c r="AH214" s="669"/>
      <c r="AI214" s="669"/>
      <c r="AJ214" s="669"/>
      <c r="AK214" s="669"/>
      <c r="AL214" s="669"/>
      <c r="AM214" s="669"/>
      <c r="AN214" s="669"/>
      <c r="AO214" s="669"/>
      <c r="AP214" s="669"/>
      <c r="AQ214" s="669"/>
      <c r="AR214" s="669"/>
      <c r="AS214" s="669"/>
      <c r="AT214" s="669"/>
      <c r="AU214" s="669"/>
    </row>
    <row r="215" spans="1:50" outlineLevel="2" x14ac:dyDescent="0.2">
      <c r="A215" s="586"/>
      <c r="B215" s="352">
        <v>5</v>
      </c>
      <c r="C215" s="352">
        <v>6</v>
      </c>
      <c r="D215" s="586"/>
      <c r="E215" s="696" t="s">
        <v>146</v>
      </c>
      <c r="F215" s="86" t="str">
        <f t="shared" ref="F215:K218" si="94">IF(INDEX(MBSItemsInc,$C$210,1)&lt;&gt;"",F$214*INDEX(MBSItemsInc,$C$210,$B215)*INDEX(MBSItemsInc,$C$210,$C215),"")</f>
        <v/>
      </c>
      <c r="G215" s="86" t="str">
        <f t="shared" si="94"/>
        <v/>
      </c>
      <c r="H215" s="86" t="str">
        <f t="shared" si="94"/>
        <v/>
      </c>
      <c r="I215" s="86" t="str">
        <f t="shared" si="94"/>
        <v/>
      </c>
      <c r="J215" s="86" t="str">
        <f t="shared" si="94"/>
        <v/>
      </c>
      <c r="K215" s="86" t="str">
        <f t="shared" si="94"/>
        <v/>
      </c>
      <c r="M215" s="149"/>
      <c r="N215" s="697"/>
      <c r="O215" s="697"/>
      <c r="P215" s="697"/>
      <c r="Q215" s="694"/>
      <c r="R215" s="694"/>
      <c r="S215" s="694"/>
      <c r="T215" s="694"/>
      <c r="V215" s="97">
        <f>V214+1</f>
        <v>2</v>
      </c>
      <c r="W215" s="96">
        <f>IF(H214&lt;&gt;0,H214-H217,0)</f>
        <v>0</v>
      </c>
      <c r="X215" s="695"/>
      <c r="Y215" s="669"/>
      <c r="Z215" s="669"/>
      <c r="AA215" s="669"/>
      <c r="AB215" s="669"/>
      <c r="AC215" s="669"/>
      <c r="AD215" s="669"/>
      <c r="AE215" s="669"/>
      <c r="AF215" s="669"/>
      <c r="AG215" s="669"/>
      <c r="AH215" s="669"/>
      <c r="AI215" s="669"/>
      <c r="AJ215" s="669"/>
      <c r="AK215" s="669"/>
      <c r="AL215" s="669"/>
      <c r="AM215" s="669"/>
      <c r="AN215" s="669"/>
      <c r="AO215" s="669"/>
      <c r="AP215" s="669"/>
      <c r="AQ215" s="669"/>
      <c r="AR215" s="669"/>
      <c r="AS215" s="669"/>
      <c r="AT215" s="669"/>
      <c r="AU215" s="669"/>
    </row>
    <row r="216" spans="1:50" outlineLevel="2" x14ac:dyDescent="0.2">
      <c r="A216" s="586"/>
      <c r="B216" s="352">
        <v>5</v>
      </c>
      <c r="C216" s="352">
        <v>7</v>
      </c>
      <c r="D216" s="586"/>
      <c r="E216" s="696" t="s">
        <v>147</v>
      </c>
      <c r="F216" s="86" t="str">
        <f t="shared" si="94"/>
        <v/>
      </c>
      <c r="G216" s="86" t="str">
        <f t="shared" si="94"/>
        <v/>
      </c>
      <c r="H216" s="86" t="str">
        <f t="shared" si="94"/>
        <v/>
      </c>
      <c r="I216" s="86" t="str">
        <f t="shared" si="94"/>
        <v/>
      </c>
      <c r="J216" s="86" t="str">
        <f t="shared" si="94"/>
        <v/>
      </c>
      <c r="K216" s="86" t="str">
        <f t="shared" si="94"/>
        <v/>
      </c>
      <c r="M216" s="149"/>
      <c r="N216" s="697"/>
      <c r="O216" s="697"/>
      <c r="P216" s="697"/>
      <c r="Q216" s="694"/>
      <c r="R216" s="694"/>
      <c r="S216" s="694"/>
      <c r="T216" s="694"/>
      <c r="V216" s="97">
        <f>V215+1</f>
        <v>3</v>
      </c>
      <c r="W216" s="96">
        <f>IF(I214&lt;&gt;0,I214-I217,0)</f>
        <v>0</v>
      </c>
      <c r="X216" s="695"/>
      <c r="Y216" s="669"/>
      <c r="Z216" s="669"/>
      <c r="AA216" s="669"/>
      <c r="AB216" s="669"/>
      <c r="AC216" s="669"/>
      <c r="AD216" s="669"/>
      <c r="AE216" s="669"/>
      <c r="AF216" s="669"/>
      <c r="AG216" s="669"/>
      <c r="AH216" s="669"/>
      <c r="AI216" s="669"/>
      <c r="AJ216" s="669"/>
      <c r="AK216" s="669"/>
      <c r="AL216" s="669"/>
      <c r="AM216" s="669"/>
      <c r="AN216" s="669"/>
      <c r="AO216" s="669"/>
      <c r="AP216" s="669"/>
      <c r="AQ216" s="669"/>
      <c r="AR216" s="669"/>
      <c r="AS216" s="669"/>
      <c r="AT216" s="669"/>
      <c r="AU216" s="669"/>
    </row>
    <row r="217" spans="1:50" outlineLevel="2" x14ac:dyDescent="0.2">
      <c r="A217" s="586"/>
      <c r="B217" s="352">
        <v>4</v>
      </c>
      <c r="C217" s="352">
        <v>6</v>
      </c>
      <c r="D217" s="586"/>
      <c r="E217" s="696" t="s">
        <v>148</v>
      </c>
      <c r="F217" s="86" t="str">
        <f t="shared" si="94"/>
        <v/>
      </c>
      <c r="G217" s="86" t="str">
        <f t="shared" si="94"/>
        <v/>
      </c>
      <c r="H217" s="86" t="str">
        <f t="shared" si="94"/>
        <v/>
      </c>
      <c r="I217" s="86" t="str">
        <f t="shared" si="94"/>
        <v/>
      </c>
      <c r="J217" s="86" t="str">
        <f t="shared" si="94"/>
        <v/>
      </c>
      <c r="K217" s="86" t="str">
        <f t="shared" si="94"/>
        <v/>
      </c>
      <c r="M217" s="149"/>
      <c r="N217" s="697"/>
      <c r="O217" s="697"/>
      <c r="P217" s="697"/>
      <c r="Q217" s="694"/>
      <c r="R217" s="694"/>
      <c r="S217" s="694"/>
      <c r="T217" s="694"/>
      <c r="V217" s="97">
        <f>V216+1</f>
        <v>4</v>
      </c>
      <c r="W217" s="96">
        <f>IF(J214&lt;&gt;0,J214-J217,0)</f>
        <v>0</v>
      </c>
      <c r="X217" s="695"/>
      <c r="Y217" s="669"/>
      <c r="Z217" s="669"/>
      <c r="AA217" s="669"/>
      <c r="AB217" s="669"/>
      <c r="AC217" s="669"/>
      <c r="AD217" s="669"/>
      <c r="AE217" s="669"/>
      <c r="AF217" s="669"/>
      <c r="AG217" s="669"/>
      <c r="AH217" s="669"/>
      <c r="AI217" s="669"/>
      <c r="AJ217" s="669"/>
      <c r="AK217" s="669"/>
      <c r="AL217" s="669"/>
      <c r="AM217" s="669"/>
      <c r="AN217" s="669"/>
      <c r="AO217" s="669"/>
      <c r="AP217" s="669"/>
      <c r="AQ217" s="669"/>
      <c r="AR217" s="669"/>
      <c r="AS217" s="669"/>
      <c r="AT217" s="669"/>
      <c r="AU217" s="669"/>
    </row>
    <row r="218" spans="1:50" ht="12.75" customHeight="1" outlineLevel="2" x14ac:dyDescent="0.2">
      <c r="A218" s="586"/>
      <c r="B218" s="352">
        <v>4</v>
      </c>
      <c r="C218" s="352">
        <v>7</v>
      </c>
      <c r="D218" s="586"/>
      <c r="E218" s="698" t="s">
        <v>149</v>
      </c>
      <c r="F218" s="86" t="str">
        <f t="shared" si="94"/>
        <v/>
      </c>
      <c r="G218" s="86" t="str">
        <f t="shared" si="94"/>
        <v/>
      </c>
      <c r="H218" s="86" t="str">
        <f t="shared" si="94"/>
        <v/>
      </c>
      <c r="I218" s="86" t="str">
        <f t="shared" si="94"/>
        <v/>
      </c>
      <c r="J218" s="86" t="str">
        <f t="shared" si="94"/>
        <v/>
      </c>
      <c r="K218" s="86" t="str">
        <f t="shared" si="94"/>
        <v/>
      </c>
      <c r="M218" s="149"/>
      <c r="N218" s="697"/>
      <c r="O218" s="697"/>
      <c r="P218" s="697"/>
      <c r="Q218" s="694"/>
      <c r="R218" s="694"/>
      <c r="S218" s="694"/>
      <c r="T218" s="694"/>
      <c r="V218" s="97">
        <f>V217+1</f>
        <v>5</v>
      </c>
      <c r="W218" s="96">
        <f>IF(K214&lt;&gt;0,K214-K217,0)</f>
        <v>0</v>
      </c>
      <c r="X218" s="695"/>
      <c r="Y218" s="669"/>
      <c r="Z218" s="669"/>
      <c r="AA218" s="669"/>
      <c r="AB218" s="669"/>
      <c r="AC218" s="669"/>
      <c r="AD218" s="669"/>
      <c r="AE218" s="669"/>
      <c r="AF218" s="669"/>
      <c r="AG218" s="669"/>
      <c r="AH218" s="669"/>
      <c r="AI218" s="669"/>
      <c r="AJ218" s="669"/>
      <c r="AK218" s="669"/>
      <c r="AL218" s="669"/>
      <c r="AM218" s="669"/>
      <c r="AN218" s="669"/>
      <c r="AO218" s="669"/>
      <c r="AP218" s="669"/>
      <c r="AQ218" s="669"/>
      <c r="AR218" s="669"/>
      <c r="AS218" s="669"/>
      <c r="AT218" s="669"/>
      <c r="AU218" s="669"/>
    </row>
    <row r="219" spans="1:50" outlineLevel="2" x14ac:dyDescent="0.2">
      <c r="A219" s="586"/>
      <c r="B219" s="586"/>
      <c r="C219" s="586"/>
      <c r="D219" s="586"/>
      <c r="E219" s="586"/>
      <c r="F219" s="586"/>
      <c r="G219" s="586"/>
      <c r="H219" s="586"/>
      <c r="I219" s="586"/>
      <c r="J219" s="586"/>
      <c r="K219" s="586"/>
      <c r="M219" s="586"/>
      <c r="N219" s="164"/>
      <c r="O219" s="164"/>
      <c r="P219" s="164"/>
      <c r="Q219" s="164"/>
      <c r="R219" s="164"/>
      <c r="S219" s="164"/>
      <c r="T219" s="164"/>
      <c r="V219" s="98"/>
      <c r="W219" s="98"/>
      <c r="X219" s="98"/>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row>
    <row r="220" spans="1:50" ht="15" outlineLevel="2" x14ac:dyDescent="0.2">
      <c r="A220" s="586"/>
      <c r="B220" s="586"/>
      <c r="C220" s="586"/>
      <c r="D220" s="681" t="s">
        <v>1</v>
      </c>
      <c r="E220" s="681"/>
      <c r="F220" s="671">
        <f>FirstYear</f>
        <v>0</v>
      </c>
      <c r="G220" s="671">
        <f>F220+1</f>
        <v>1</v>
      </c>
      <c r="H220" s="671">
        <f>G220+1</f>
        <v>2</v>
      </c>
      <c r="I220" s="671">
        <f>H220+1</f>
        <v>3</v>
      </c>
      <c r="J220" s="671">
        <f>I220+1</f>
        <v>4</v>
      </c>
      <c r="K220" s="671">
        <f>J220+1</f>
        <v>5</v>
      </c>
      <c r="M220" s="586"/>
      <c r="N220" s="164"/>
      <c r="O220" s="164"/>
      <c r="P220" s="164"/>
      <c r="Q220" s="164"/>
      <c r="R220" s="164"/>
      <c r="S220" s="164"/>
      <c r="T220" s="164"/>
      <c r="V220" s="98"/>
      <c r="W220" s="98"/>
      <c r="X220" s="98"/>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row>
    <row r="221" spans="1:50" outlineLevel="2" x14ac:dyDescent="0.2">
      <c r="A221" s="586"/>
      <c r="B221" s="586"/>
      <c r="C221" s="586"/>
      <c r="D221" s="586"/>
      <c r="E221" s="590" t="s">
        <v>269</v>
      </c>
      <c r="F221" s="397">
        <f t="shared" ref="F221:K221" si="95">F222*$P46</f>
        <v>0</v>
      </c>
      <c r="G221" s="397">
        <f t="shared" si="95"/>
        <v>0</v>
      </c>
      <c r="H221" s="397">
        <f t="shared" si="95"/>
        <v>0</v>
      </c>
      <c r="I221" s="397">
        <f t="shared" si="95"/>
        <v>0</v>
      </c>
      <c r="J221" s="397">
        <f t="shared" si="95"/>
        <v>0</v>
      </c>
      <c r="K221" s="397">
        <f t="shared" si="95"/>
        <v>0</v>
      </c>
      <c r="M221" s="586"/>
      <c r="N221" s="164"/>
      <c r="O221" s="164"/>
      <c r="P221" s="164"/>
      <c r="Q221" s="164"/>
      <c r="R221" s="164"/>
      <c r="S221" s="164"/>
      <c r="T221" s="164"/>
      <c r="V221" s="98"/>
      <c r="W221" s="98"/>
      <c r="X221" s="98"/>
      <c r="Y221" s="669"/>
      <c r="Z221" s="669"/>
      <c r="AA221" s="669"/>
      <c r="AB221" s="669"/>
      <c r="AC221" s="669"/>
      <c r="AD221" s="639"/>
      <c r="AE221" s="91"/>
      <c r="AF221" s="91"/>
      <c r="AG221" s="91"/>
      <c r="AH221" s="91"/>
      <c r="AI221" s="91"/>
      <c r="AJ221" s="91"/>
      <c r="AK221" s="91"/>
      <c r="AL221" s="91"/>
      <c r="AM221" s="91"/>
      <c r="AN221" s="91"/>
      <c r="AO221" s="91"/>
      <c r="AP221" s="669"/>
      <c r="AQ221" s="669"/>
      <c r="AR221" s="669"/>
      <c r="AS221" s="669"/>
      <c r="AT221" s="669"/>
      <c r="AU221" s="669"/>
    </row>
    <row r="222" spans="1:50" outlineLevel="2" x14ac:dyDescent="0.2">
      <c r="A222" s="586"/>
      <c r="B222" s="586"/>
      <c r="C222" s="352" t="str">
        <f>W61</f>
        <v/>
      </c>
      <c r="D222" s="586"/>
      <c r="E222" s="85" t="s">
        <v>80</v>
      </c>
      <c r="F222" s="86">
        <f t="shared" ref="F222:K222" si="96">IF($W$46=2,$N$46*IF($C222&lt;&gt;"",INDEX(RPBSScriptsNew,$C222,F211),0),IF($Y46&lt;&gt;0,$M$46*INDEX(MBSRPBSInc,$C210,($Y46-1)*7+F211),0))*$V$46</f>
        <v>0</v>
      </c>
      <c r="G222" s="86">
        <f t="shared" si="96"/>
        <v>0</v>
      </c>
      <c r="H222" s="86">
        <f t="shared" si="96"/>
        <v>0</v>
      </c>
      <c r="I222" s="86">
        <f t="shared" si="96"/>
        <v>0</v>
      </c>
      <c r="J222" s="86">
        <f t="shared" si="96"/>
        <v>0</v>
      </c>
      <c r="K222" s="86">
        <f t="shared" si="96"/>
        <v>0</v>
      </c>
      <c r="M222" s="586"/>
      <c r="N222" s="164"/>
      <c r="O222" s="164"/>
      <c r="P222" s="164"/>
      <c r="Q222" s="164"/>
      <c r="R222" s="164"/>
      <c r="S222" s="164"/>
      <c r="T222" s="164"/>
      <c r="V222" s="98"/>
      <c r="W222" s="98"/>
      <c r="X222" s="98"/>
      <c r="Y222" s="669"/>
      <c r="Z222" s="669"/>
      <c r="AA222" s="669"/>
      <c r="AB222" s="669"/>
      <c r="AC222" s="669"/>
      <c r="AD222" s="820" t="s">
        <v>258</v>
      </c>
      <c r="AE222" s="820"/>
      <c r="AF222" s="820"/>
      <c r="AG222" s="820"/>
      <c r="AH222" s="820"/>
      <c r="AI222" s="820"/>
      <c r="AJ222" s="820"/>
      <c r="AK222" s="820"/>
      <c r="AL222" s="820"/>
      <c r="AM222" s="820"/>
      <c r="AN222" s="820"/>
      <c r="AO222" s="820"/>
      <c r="AP222" s="820"/>
      <c r="AQ222" s="820"/>
      <c r="AR222" s="820"/>
      <c r="AS222" s="820"/>
      <c r="AT222" s="820"/>
      <c r="AU222" s="820"/>
      <c r="AV222" s="820"/>
      <c r="AW222" s="820"/>
      <c r="AX222" s="820"/>
    </row>
    <row r="223" spans="1:50" ht="13.5" outlineLevel="2" thickBot="1" x14ac:dyDescent="0.25">
      <c r="A223" s="586"/>
      <c r="B223" s="352">
        <v>5</v>
      </c>
      <c r="C223" s="352">
        <v>6</v>
      </c>
      <c r="D223" s="586"/>
      <c r="E223" s="696" t="s">
        <v>146</v>
      </c>
      <c r="F223" s="86" t="str">
        <f t="shared" ref="F223:K226" si="97">IF(INDEX(MBSItemsInc,$C$210,1)&lt;&gt;"",F$222*INDEX(MBSItemsInc,$C$210,$B223)*INDEX(MBSItemsInc,$C$210,$C223),"")</f>
        <v/>
      </c>
      <c r="G223" s="86" t="str">
        <f t="shared" si="97"/>
        <v/>
      </c>
      <c r="H223" s="86" t="str">
        <f t="shared" si="97"/>
        <v/>
      </c>
      <c r="I223" s="86" t="str">
        <f t="shared" si="97"/>
        <v/>
      </c>
      <c r="J223" s="86" t="str">
        <f t="shared" si="97"/>
        <v/>
      </c>
      <c r="K223" s="86" t="str">
        <f t="shared" si="97"/>
        <v/>
      </c>
      <c r="M223" s="586"/>
      <c r="N223" s="164"/>
      <c r="O223" s="164"/>
      <c r="P223" s="164"/>
      <c r="Q223" s="164"/>
      <c r="R223" s="164"/>
      <c r="S223" s="164"/>
      <c r="T223" s="164"/>
      <c r="V223" s="98"/>
      <c r="W223" s="98"/>
      <c r="X223" s="98"/>
      <c r="Y223" s="669"/>
      <c r="Z223" s="669"/>
      <c r="AA223" s="669"/>
      <c r="AB223" s="669"/>
      <c r="AC223" s="669"/>
      <c r="AD223" s="859" t="str">
        <f>TxPhase1PxTotal</f>
        <v/>
      </c>
      <c r="AE223" s="859"/>
      <c r="AF223" s="859"/>
      <c r="AG223" s="859"/>
      <c r="AH223" s="859"/>
      <c r="AI223" s="859"/>
      <c r="AJ223" s="859"/>
      <c r="AK223" s="859" t="str">
        <f>TxPhase2PxTotal</f>
        <v/>
      </c>
      <c r="AL223" s="859"/>
      <c r="AM223" s="859"/>
      <c r="AN223" s="859"/>
      <c r="AO223" s="859"/>
      <c r="AP223" s="859"/>
      <c r="AQ223" s="859"/>
      <c r="AR223" s="859" t="s">
        <v>473</v>
      </c>
      <c r="AS223" s="859"/>
      <c r="AT223" s="859"/>
      <c r="AU223" s="859"/>
      <c r="AV223" s="859"/>
      <c r="AW223" s="859"/>
      <c r="AX223" s="859"/>
    </row>
    <row r="224" spans="1:50" outlineLevel="2" x14ac:dyDescent="0.2">
      <c r="A224" s="586"/>
      <c r="B224" s="352">
        <v>5</v>
      </c>
      <c r="C224" s="352">
        <v>7</v>
      </c>
      <c r="D224" s="586"/>
      <c r="E224" s="696" t="s">
        <v>147</v>
      </c>
      <c r="F224" s="86" t="str">
        <f t="shared" si="97"/>
        <v/>
      </c>
      <c r="G224" s="86" t="str">
        <f t="shared" si="97"/>
        <v/>
      </c>
      <c r="H224" s="86" t="str">
        <f t="shared" si="97"/>
        <v/>
      </c>
      <c r="I224" s="86" t="str">
        <f t="shared" si="97"/>
        <v/>
      </c>
      <c r="J224" s="86" t="str">
        <f t="shared" si="97"/>
        <v/>
      </c>
      <c r="K224" s="86" t="str">
        <f t="shared" si="97"/>
        <v/>
      </c>
      <c r="M224" s="586"/>
      <c r="N224" s="164"/>
      <c r="O224" s="164"/>
      <c r="P224" s="164"/>
      <c r="Q224" s="164"/>
      <c r="R224" s="164"/>
      <c r="S224" s="164"/>
      <c r="T224" s="164"/>
      <c r="V224" s="98"/>
      <c r="W224" s="98"/>
      <c r="X224" s="98"/>
      <c r="Y224" s="669"/>
      <c r="Z224" s="669"/>
      <c r="AA224" s="669"/>
      <c r="AB224" s="669"/>
      <c r="AC224" s="669"/>
      <c r="AD224" s="526"/>
      <c r="AE224" s="527">
        <f>FirstYear</f>
        <v>0</v>
      </c>
      <c r="AF224" s="527">
        <f>AE224+1</f>
        <v>1</v>
      </c>
      <c r="AG224" s="527">
        <f>AF224+1</f>
        <v>2</v>
      </c>
      <c r="AH224" s="527">
        <f>AG224+1</f>
        <v>3</v>
      </c>
      <c r="AI224" s="527">
        <f>AH224+1</f>
        <v>4</v>
      </c>
      <c r="AJ224" s="528">
        <f>AI224+1</f>
        <v>5</v>
      </c>
      <c r="AK224" s="526"/>
      <c r="AL224" s="527">
        <f>FirstYear</f>
        <v>0</v>
      </c>
      <c r="AM224" s="527">
        <f>AL224+1</f>
        <v>1</v>
      </c>
      <c r="AN224" s="527">
        <f>AM224+1</f>
        <v>2</v>
      </c>
      <c r="AO224" s="527">
        <f>AN224+1</f>
        <v>3</v>
      </c>
      <c r="AP224" s="527">
        <f>AO224+1</f>
        <v>4</v>
      </c>
      <c r="AQ224" s="528">
        <f>AP224+1</f>
        <v>5</v>
      </c>
      <c r="AR224" s="526"/>
      <c r="AS224" s="527">
        <f>FirstYear</f>
        <v>0</v>
      </c>
      <c r="AT224" s="527">
        <f>AS224+1</f>
        <v>1</v>
      </c>
      <c r="AU224" s="527">
        <f>AT224+1</f>
        <v>2</v>
      </c>
      <c r="AV224" s="527">
        <f>AU224+1</f>
        <v>3</v>
      </c>
      <c r="AW224" s="527">
        <f>AV224+1</f>
        <v>4</v>
      </c>
      <c r="AX224" s="528">
        <f>AW224+1</f>
        <v>5</v>
      </c>
    </row>
    <row r="225" spans="1:50" outlineLevel="2" x14ac:dyDescent="0.2">
      <c r="A225" s="586"/>
      <c r="B225" s="352">
        <v>4</v>
      </c>
      <c r="C225" s="352">
        <v>6</v>
      </c>
      <c r="D225" s="586"/>
      <c r="E225" s="696" t="s">
        <v>148</v>
      </c>
      <c r="F225" s="86" t="str">
        <f t="shared" si="97"/>
        <v/>
      </c>
      <c r="G225" s="86" t="str">
        <f t="shared" si="97"/>
        <v/>
      </c>
      <c r="H225" s="86" t="str">
        <f t="shared" si="97"/>
        <v/>
      </c>
      <c r="I225" s="86" t="str">
        <f t="shared" si="97"/>
        <v/>
      </c>
      <c r="J225" s="86" t="str">
        <f t="shared" si="97"/>
        <v/>
      </c>
      <c r="K225" s="86" t="str">
        <f t="shared" si="97"/>
        <v/>
      </c>
      <c r="M225" s="586"/>
      <c r="N225" s="164"/>
      <c r="O225" s="164"/>
      <c r="P225" s="164"/>
      <c r="Q225" s="164"/>
      <c r="R225" s="164"/>
      <c r="S225" s="164"/>
      <c r="T225" s="164"/>
      <c r="V225" s="98"/>
      <c r="W225" s="98"/>
      <c r="X225" s="98"/>
      <c r="Y225" s="669"/>
      <c r="Z225" s="669"/>
      <c r="AA225" s="669"/>
      <c r="AB225" s="669"/>
      <c r="AC225" s="669"/>
      <c r="AD225" s="521"/>
      <c r="AE225" s="338">
        <f t="shared" ref="AE225:AJ232" si="98">IF(OR(ScriptSourceCode=1,ScriptSourceCode=3),AD253-AE238,0)</f>
        <v>0</v>
      </c>
      <c r="AF225" s="338">
        <f t="shared" si="98"/>
        <v>0</v>
      </c>
      <c r="AG225" s="338">
        <f t="shared" si="98"/>
        <v>0</v>
      </c>
      <c r="AH225" s="338">
        <f t="shared" si="98"/>
        <v>0</v>
      </c>
      <c r="AI225" s="338">
        <f t="shared" si="98"/>
        <v>0</v>
      </c>
      <c r="AJ225" s="522">
        <f t="shared" si="98"/>
        <v>0</v>
      </c>
      <c r="AK225" s="521"/>
      <c r="AL225" s="338">
        <f t="shared" ref="AL225:AQ232" si="99">IF(OR(ScriptSourceCode=1,ScriptSourceCode=3),AJ253-AL238,0)</f>
        <v>0</v>
      </c>
      <c r="AM225" s="338">
        <f t="shared" si="99"/>
        <v>0</v>
      </c>
      <c r="AN225" s="338">
        <f t="shared" si="99"/>
        <v>0</v>
      </c>
      <c r="AO225" s="338">
        <f t="shared" si="99"/>
        <v>0</v>
      </c>
      <c r="AP225" s="338">
        <f t="shared" si="99"/>
        <v>0</v>
      </c>
      <c r="AQ225" s="522">
        <f t="shared" si="99"/>
        <v>0</v>
      </c>
      <c r="AR225" s="521"/>
      <c r="AS225" s="338">
        <f t="shared" ref="AS225:AS234" si="100">AE225+AL225</f>
        <v>0</v>
      </c>
      <c r="AT225" s="338">
        <f t="shared" ref="AT225:AT234" si="101">AF225+AM225</f>
        <v>0</v>
      </c>
      <c r="AU225" s="338">
        <f t="shared" ref="AU225:AU234" si="102">AG225+AN225</f>
        <v>0</v>
      </c>
      <c r="AV225" s="338">
        <f t="shared" ref="AV225:AV234" si="103">AH225+AO225</f>
        <v>0</v>
      </c>
      <c r="AW225" s="338">
        <f t="shared" ref="AW225:AW234" si="104">AI225+AP225</f>
        <v>0</v>
      </c>
      <c r="AX225" s="522">
        <f t="shared" ref="AX225:AX234" si="105">AJ225+AQ225</f>
        <v>0</v>
      </c>
    </row>
    <row r="226" spans="1:50" outlineLevel="2" x14ac:dyDescent="0.2">
      <c r="A226" s="586"/>
      <c r="B226" s="352">
        <v>4</v>
      </c>
      <c r="C226" s="352">
        <v>7</v>
      </c>
      <c r="D226" s="586"/>
      <c r="E226" s="698" t="s">
        <v>149</v>
      </c>
      <c r="F226" s="86" t="str">
        <f t="shared" si="97"/>
        <v/>
      </c>
      <c r="G226" s="86" t="str">
        <f t="shared" si="97"/>
        <v/>
      </c>
      <c r="H226" s="86" t="str">
        <f t="shared" si="97"/>
        <v/>
      </c>
      <c r="I226" s="86" t="str">
        <f t="shared" si="97"/>
        <v/>
      </c>
      <c r="J226" s="86" t="str">
        <f t="shared" si="97"/>
        <v/>
      </c>
      <c r="K226" s="86" t="str">
        <f t="shared" si="97"/>
        <v/>
      </c>
      <c r="M226" s="586"/>
      <c r="N226" s="164"/>
      <c r="O226" s="164"/>
      <c r="P226" s="164"/>
      <c r="Q226" s="164"/>
      <c r="R226" s="164"/>
      <c r="S226" s="164"/>
      <c r="T226" s="164"/>
      <c r="V226" s="98"/>
      <c r="W226" s="98"/>
      <c r="X226" s="98"/>
      <c r="Y226" s="669"/>
      <c r="Z226" s="669"/>
      <c r="AA226" s="669"/>
      <c r="AB226" s="669"/>
      <c r="AC226" s="669"/>
      <c r="AD226" s="521"/>
      <c r="AE226" s="338">
        <f t="shared" si="98"/>
        <v>0</v>
      </c>
      <c r="AF226" s="338">
        <f t="shared" si="98"/>
        <v>0</v>
      </c>
      <c r="AG226" s="338">
        <f t="shared" si="98"/>
        <v>0</v>
      </c>
      <c r="AH226" s="338">
        <f t="shared" si="98"/>
        <v>0</v>
      </c>
      <c r="AI226" s="338">
        <f t="shared" si="98"/>
        <v>0</v>
      </c>
      <c r="AJ226" s="522">
        <f t="shared" si="98"/>
        <v>0</v>
      </c>
      <c r="AK226" s="521"/>
      <c r="AL226" s="338">
        <f t="shared" si="99"/>
        <v>0</v>
      </c>
      <c r="AM226" s="338">
        <f t="shared" si="99"/>
        <v>0</v>
      </c>
      <c r="AN226" s="338">
        <f t="shared" si="99"/>
        <v>0</v>
      </c>
      <c r="AO226" s="338">
        <f t="shared" si="99"/>
        <v>0</v>
      </c>
      <c r="AP226" s="338">
        <f t="shared" si="99"/>
        <v>0</v>
      </c>
      <c r="AQ226" s="522">
        <f t="shared" si="99"/>
        <v>0</v>
      </c>
      <c r="AR226" s="521"/>
      <c r="AS226" s="338">
        <f t="shared" si="100"/>
        <v>0</v>
      </c>
      <c r="AT226" s="338">
        <f t="shared" si="101"/>
        <v>0</v>
      </c>
      <c r="AU226" s="338">
        <f t="shared" si="102"/>
        <v>0</v>
      </c>
      <c r="AV226" s="338">
        <f t="shared" si="103"/>
        <v>0</v>
      </c>
      <c r="AW226" s="338">
        <f t="shared" si="104"/>
        <v>0</v>
      </c>
      <c r="AX226" s="522">
        <f t="shared" si="105"/>
        <v>0</v>
      </c>
    </row>
    <row r="227" spans="1:50" outlineLevel="1" x14ac:dyDescent="0.2">
      <c r="A227" s="586"/>
      <c r="B227" s="586"/>
      <c r="C227" s="586"/>
      <c r="D227" s="586"/>
      <c r="E227" s="586"/>
      <c r="F227" s="586"/>
      <c r="G227" s="586"/>
      <c r="H227" s="586"/>
      <c r="I227" s="586"/>
      <c r="J227" s="586"/>
      <c r="K227" s="586"/>
      <c r="L227" s="586"/>
      <c r="M227" s="586"/>
      <c r="N227" s="164"/>
      <c r="O227" s="164"/>
      <c r="P227" s="164"/>
      <c r="Q227" s="164"/>
      <c r="R227" s="164"/>
      <c r="S227" s="164"/>
      <c r="T227" s="164"/>
      <c r="V227" s="98"/>
      <c r="W227" s="98"/>
      <c r="X227" s="98"/>
      <c r="Y227" s="669"/>
      <c r="Z227" s="669"/>
      <c r="AA227" s="669"/>
      <c r="AB227" s="669"/>
      <c r="AC227" s="669"/>
      <c r="AD227" s="521"/>
      <c r="AE227" s="338">
        <f t="shared" si="98"/>
        <v>0</v>
      </c>
      <c r="AF227" s="338">
        <f t="shared" si="98"/>
        <v>0</v>
      </c>
      <c r="AG227" s="338">
        <f t="shared" si="98"/>
        <v>0</v>
      </c>
      <c r="AH227" s="338">
        <f t="shared" si="98"/>
        <v>0</v>
      </c>
      <c r="AI227" s="338">
        <f t="shared" si="98"/>
        <v>0</v>
      </c>
      <c r="AJ227" s="522">
        <f t="shared" si="98"/>
        <v>0</v>
      </c>
      <c r="AK227" s="521"/>
      <c r="AL227" s="338">
        <f t="shared" si="99"/>
        <v>0</v>
      </c>
      <c r="AM227" s="338">
        <f t="shared" si="99"/>
        <v>0</v>
      </c>
      <c r="AN227" s="338">
        <f t="shared" si="99"/>
        <v>0</v>
      </c>
      <c r="AO227" s="338">
        <f t="shared" si="99"/>
        <v>0</v>
      </c>
      <c r="AP227" s="338">
        <f t="shared" si="99"/>
        <v>0</v>
      </c>
      <c r="AQ227" s="522">
        <f t="shared" si="99"/>
        <v>0</v>
      </c>
      <c r="AR227" s="521"/>
      <c r="AS227" s="338">
        <f t="shared" si="100"/>
        <v>0</v>
      </c>
      <c r="AT227" s="338">
        <f t="shared" si="101"/>
        <v>0</v>
      </c>
      <c r="AU227" s="338">
        <f t="shared" si="102"/>
        <v>0</v>
      </c>
      <c r="AV227" s="338">
        <f t="shared" si="103"/>
        <v>0</v>
      </c>
      <c r="AW227" s="338">
        <f t="shared" si="104"/>
        <v>0</v>
      </c>
      <c r="AX227" s="522">
        <f t="shared" si="105"/>
        <v>0</v>
      </c>
    </row>
    <row r="228" spans="1:50" ht="15.75" outlineLevel="1" x14ac:dyDescent="0.2">
      <c r="A228" s="586"/>
      <c r="B228" s="586"/>
      <c r="C228" s="352">
        <v>10</v>
      </c>
      <c r="D228" s="110" t="str">
        <f>INDEX(MBSNamesNew,C228)</f>
        <v>** NOT USED **</v>
      </c>
      <c r="E228" s="110"/>
      <c r="F228" s="154"/>
      <c r="G228" s="154"/>
      <c r="H228" s="154"/>
      <c r="I228" s="154"/>
      <c r="J228" s="782" t="str">
        <f>IF(D228&lt;&gt;MsgNotUsed,"Co-payment group " &amp; K47,"")</f>
        <v/>
      </c>
      <c r="K228" s="782"/>
      <c r="L228" s="154"/>
      <c r="M228" s="154"/>
      <c r="N228" s="154"/>
      <c r="O228" s="154"/>
      <c r="P228" s="154"/>
      <c r="Q228" s="154"/>
      <c r="R228" s="154"/>
      <c r="S228" s="154"/>
      <c r="T228" s="154"/>
      <c r="V228" s="98"/>
      <c r="W228" s="98"/>
      <c r="X228" s="98"/>
      <c r="Y228" s="669"/>
      <c r="Z228" s="669"/>
      <c r="AA228" s="669"/>
      <c r="AB228" s="669"/>
      <c r="AC228" s="669"/>
      <c r="AD228" s="521"/>
      <c r="AE228" s="338">
        <f t="shared" si="98"/>
        <v>0</v>
      </c>
      <c r="AF228" s="338">
        <f t="shared" si="98"/>
        <v>0</v>
      </c>
      <c r="AG228" s="338">
        <f t="shared" si="98"/>
        <v>0</v>
      </c>
      <c r="AH228" s="338">
        <f t="shared" si="98"/>
        <v>0</v>
      </c>
      <c r="AI228" s="338">
        <f t="shared" si="98"/>
        <v>0</v>
      </c>
      <c r="AJ228" s="522">
        <f t="shared" si="98"/>
        <v>0</v>
      </c>
      <c r="AK228" s="521"/>
      <c r="AL228" s="338">
        <f t="shared" si="99"/>
        <v>0</v>
      </c>
      <c r="AM228" s="338">
        <f t="shared" si="99"/>
        <v>0</v>
      </c>
      <c r="AN228" s="338">
        <f t="shared" si="99"/>
        <v>0</v>
      </c>
      <c r="AO228" s="338">
        <f t="shared" si="99"/>
        <v>0</v>
      </c>
      <c r="AP228" s="338">
        <f t="shared" si="99"/>
        <v>0</v>
      </c>
      <c r="AQ228" s="522">
        <f t="shared" si="99"/>
        <v>0</v>
      </c>
      <c r="AR228" s="521"/>
      <c r="AS228" s="338">
        <f t="shared" si="100"/>
        <v>0</v>
      </c>
      <c r="AT228" s="338">
        <f t="shared" si="101"/>
        <v>0</v>
      </c>
      <c r="AU228" s="338">
        <f t="shared" si="102"/>
        <v>0</v>
      </c>
      <c r="AV228" s="338">
        <f t="shared" si="103"/>
        <v>0</v>
      </c>
      <c r="AW228" s="338">
        <f t="shared" si="104"/>
        <v>0</v>
      </c>
      <c r="AX228" s="522">
        <f t="shared" si="105"/>
        <v>0</v>
      </c>
    </row>
    <row r="229" spans="1:50" outlineLevel="2" x14ac:dyDescent="0.2">
      <c r="A229" s="586"/>
      <c r="B229" s="586"/>
      <c r="C229" s="586"/>
      <c r="D229" s="674"/>
      <c r="E229" s="674"/>
      <c r="F229" s="691">
        <v>2</v>
      </c>
      <c r="G229" s="691">
        <v>3</v>
      </c>
      <c r="H229" s="691">
        <v>4</v>
      </c>
      <c r="I229" s="691">
        <v>5</v>
      </c>
      <c r="J229" s="691">
        <v>6</v>
      </c>
      <c r="K229" s="691">
        <v>7</v>
      </c>
      <c r="L229" s="691"/>
      <c r="M229" s="674"/>
      <c r="N229" s="674"/>
      <c r="O229" s="715"/>
      <c r="P229" s="674"/>
      <c r="Q229" s="674"/>
      <c r="R229" s="674"/>
      <c r="S229" s="674"/>
      <c r="T229" s="674"/>
      <c r="V229" s="98"/>
      <c r="W229" s="98"/>
      <c r="X229" s="98"/>
      <c r="Y229" s="669"/>
      <c r="Z229" s="669"/>
      <c r="AA229" s="669"/>
      <c r="AB229" s="669"/>
      <c r="AC229" s="669"/>
      <c r="AD229" s="521"/>
      <c r="AE229" s="338">
        <f t="shared" si="98"/>
        <v>0</v>
      </c>
      <c r="AF229" s="338">
        <f t="shared" si="98"/>
        <v>0</v>
      </c>
      <c r="AG229" s="338">
        <f t="shared" si="98"/>
        <v>0</v>
      </c>
      <c r="AH229" s="338">
        <f t="shared" si="98"/>
        <v>0</v>
      </c>
      <c r="AI229" s="338">
        <f t="shared" si="98"/>
        <v>0</v>
      </c>
      <c r="AJ229" s="522">
        <f t="shared" si="98"/>
        <v>0</v>
      </c>
      <c r="AK229" s="521"/>
      <c r="AL229" s="338">
        <f t="shared" si="99"/>
        <v>0</v>
      </c>
      <c r="AM229" s="338">
        <f t="shared" si="99"/>
        <v>0</v>
      </c>
      <c r="AN229" s="338">
        <f t="shared" si="99"/>
        <v>0</v>
      </c>
      <c r="AO229" s="338">
        <f t="shared" si="99"/>
        <v>0</v>
      </c>
      <c r="AP229" s="338">
        <f t="shared" si="99"/>
        <v>0</v>
      </c>
      <c r="AQ229" s="522">
        <f t="shared" si="99"/>
        <v>0</v>
      </c>
      <c r="AR229" s="521"/>
      <c r="AS229" s="338">
        <f t="shared" si="100"/>
        <v>0</v>
      </c>
      <c r="AT229" s="338">
        <f t="shared" si="101"/>
        <v>0</v>
      </c>
      <c r="AU229" s="338">
        <f t="shared" si="102"/>
        <v>0</v>
      </c>
      <c r="AV229" s="338">
        <f t="shared" si="103"/>
        <v>0</v>
      </c>
      <c r="AW229" s="338">
        <f t="shared" si="104"/>
        <v>0</v>
      </c>
      <c r="AX229" s="522">
        <f t="shared" si="105"/>
        <v>0</v>
      </c>
    </row>
    <row r="230" spans="1:50" ht="15" outlineLevel="2" x14ac:dyDescent="0.2">
      <c r="A230" s="586"/>
      <c r="B230" s="586"/>
      <c r="C230" s="586"/>
      <c r="D230" s="681" t="s">
        <v>0</v>
      </c>
      <c r="E230" s="681"/>
      <c r="F230" s="671">
        <f>FirstYear</f>
        <v>0</v>
      </c>
      <c r="G230" s="671">
        <f>F230+1</f>
        <v>1</v>
      </c>
      <c r="H230" s="671">
        <f>G230+1</f>
        <v>2</v>
      </c>
      <c r="I230" s="671">
        <f>H230+1</f>
        <v>3</v>
      </c>
      <c r="J230" s="671">
        <f>I230+1</f>
        <v>4</v>
      </c>
      <c r="K230" s="671">
        <f>J230+1</f>
        <v>5</v>
      </c>
      <c r="M230" s="149"/>
      <c r="N230" s="692"/>
      <c r="O230" s="692"/>
      <c r="P230" s="692"/>
      <c r="Q230" s="99"/>
      <c r="R230" s="99"/>
      <c r="S230" s="99"/>
      <c r="T230" s="99"/>
      <c r="V230" s="99"/>
      <c r="W230" s="99"/>
      <c r="X230" s="99"/>
      <c r="Y230" s="669"/>
      <c r="Z230" s="669"/>
      <c r="AA230" s="669"/>
      <c r="AB230" s="669"/>
      <c r="AC230" s="669"/>
      <c r="AD230" s="521"/>
      <c r="AE230" s="338">
        <f t="shared" si="98"/>
        <v>0</v>
      </c>
      <c r="AF230" s="338">
        <f t="shared" si="98"/>
        <v>0</v>
      </c>
      <c r="AG230" s="338">
        <f t="shared" si="98"/>
        <v>0</v>
      </c>
      <c r="AH230" s="338">
        <f t="shared" si="98"/>
        <v>0</v>
      </c>
      <c r="AI230" s="338">
        <f t="shared" si="98"/>
        <v>0</v>
      </c>
      <c r="AJ230" s="522">
        <f t="shared" si="98"/>
        <v>0</v>
      </c>
      <c r="AK230" s="521"/>
      <c r="AL230" s="338">
        <f t="shared" si="99"/>
        <v>0</v>
      </c>
      <c r="AM230" s="338">
        <f t="shared" si="99"/>
        <v>0</v>
      </c>
      <c r="AN230" s="338">
        <f t="shared" si="99"/>
        <v>0</v>
      </c>
      <c r="AO230" s="338">
        <f t="shared" si="99"/>
        <v>0</v>
      </c>
      <c r="AP230" s="338">
        <f t="shared" si="99"/>
        <v>0</v>
      </c>
      <c r="AQ230" s="522">
        <f t="shared" si="99"/>
        <v>0</v>
      </c>
      <c r="AR230" s="521"/>
      <c r="AS230" s="338">
        <f t="shared" si="100"/>
        <v>0</v>
      </c>
      <c r="AT230" s="338">
        <f t="shared" si="101"/>
        <v>0</v>
      </c>
      <c r="AU230" s="338">
        <f t="shared" si="102"/>
        <v>0</v>
      </c>
      <c r="AV230" s="338">
        <f t="shared" si="103"/>
        <v>0</v>
      </c>
      <c r="AW230" s="338">
        <f t="shared" si="104"/>
        <v>0</v>
      </c>
      <c r="AX230" s="522">
        <f t="shared" si="105"/>
        <v>0</v>
      </c>
    </row>
    <row r="231" spans="1:50" outlineLevel="2" x14ac:dyDescent="0.2">
      <c r="A231" s="586"/>
      <c r="B231" s="586"/>
      <c r="C231" s="586"/>
      <c r="D231" s="586"/>
      <c r="E231" s="590" t="s">
        <v>269</v>
      </c>
      <c r="F231" s="397">
        <f t="shared" ref="F231:K231" si="106">F232*$P47</f>
        <v>0</v>
      </c>
      <c r="G231" s="397">
        <f t="shared" si="106"/>
        <v>0</v>
      </c>
      <c r="H231" s="397">
        <f t="shared" si="106"/>
        <v>0</v>
      </c>
      <c r="I231" s="397">
        <f t="shared" si="106"/>
        <v>0</v>
      </c>
      <c r="J231" s="397">
        <f t="shared" si="106"/>
        <v>0</v>
      </c>
      <c r="K231" s="397">
        <f t="shared" si="106"/>
        <v>0</v>
      </c>
      <c r="M231" s="149"/>
      <c r="N231" s="692"/>
      <c r="O231" s="692"/>
      <c r="P231" s="692"/>
      <c r="Q231" s="99"/>
      <c r="R231" s="99"/>
      <c r="S231" s="99"/>
      <c r="T231" s="99"/>
      <c r="V231" s="97">
        <f>FirstYear</f>
        <v>0</v>
      </c>
      <c r="W231" s="96">
        <f>IF(F232&lt;&gt;0,F232-F235,0)</f>
        <v>0</v>
      </c>
      <c r="X231" s="99"/>
      <c r="Y231" s="669"/>
      <c r="Z231" s="669"/>
      <c r="AA231" s="669"/>
      <c r="AB231" s="669"/>
      <c r="AC231" s="669"/>
      <c r="AD231" s="521"/>
      <c r="AE231" s="338">
        <f t="shared" si="98"/>
        <v>0</v>
      </c>
      <c r="AF231" s="338">
        <f t="shared" si="98"/>
        <v>0</v>
      </c>
      <c r="AG231" s="338">
        <f t="shared" si="98"/>
        <v>0</v>
      </c>
      <c r="AH231" s="338">
        <f t="shared" si="98"/>
        <v>0</v>
      </c>
      <c r="AI231" s="338">
        <f t="shared" si="98"/>
        <v>0</v>
      </c>
      <c r="AJ231" s="522">
        <f t="shared" si="98"/>
        <v>0</v>
      </c>
      <c r="AK231" s="521"/>
      <c r="AL231" s="338">
        <f t="shared" si="99"/>
        <v>0</v>
      </c>
      <c r="AM231" s="338">
        <f t="shared" si="99"/>
        <v>0</v>
      </c>
      <c r="AN231" s="338">
        <f t="shared" si="99"/>
        <v>0</v>
      </c>
      <c r="AO231" s="338">
        <f t="shared" si="99"/>
        <v>0</v>
      </c>
      <c r="AP231" s="338">
        <f t="shared" si="99"/>
        <v>0</v>
      </c>
      <c r="AQ231" s="522">
        <f t="shared" si="99"/>
        <v>0</v>
      </c>
      <c r="AR231" s="521"/>
      <c r="AS231" s="338">
        <f t="shared" si="100"/>
        <v>0</v>
      </c>
      <c r="AT231" s="338">
        <f t="shared" si="101"/>
        <v>0</v>
      </c>
      <c r="AU231" s="338">
        <f t="shared" si="102"/>
        <v>0</v>
      </c>
      <c r="AV231" s="338">
        <f t="shared" si="103"/>
        <v>0</v>
      </c>
      <c r="AW231" s="338">
        <f t="shared" si="104"/>
        <v>0</v>
      </c>
      <c r="AX231" s="522">
        <f t="shared" si="105"/>
        <v>0</v>
      </c>
    </row>
    <row r="232" spans="1:50" ht="14.25" outlineLevel="2" x14ac:dyDescent="0.2">
      <c r="A232" s="586"/>
      <c r="B232" s="586"/>
      <c r="C232" s="352" t="str">
        <f>W62</f>
        <v/>
      </c>
      <c r="D232" s="586"/>
      <c r="E232" s="85" t="s">
        <v>80</v>
      </c>
      <c r="F232" s="86">
        <f t="shared" ref="F232:K232" si="107">IF($W$47=2,$N$47*IF($C232&lt;&gt;"",INDEX(PBSScriptsNew,$C232,F229),0),IF($Y47&lt;&gt;0,$M$47*INDEX(MBSPBSInc,$C228,($Y47-1)*7+F229),0))*$V$47</f>
        <v>0</v>
      </c>
      <c r="G232" s="86">
        <f t="shared" si="107"/>
        <v>0</v>
      </c>
      <c r="H232" s="86">
        <f t="shared" si="107"/>
        <v>0</v>
      </c>
      <c r="I232" s="86">
        <f t="shared" si="107"/>
        <v>0</v>
      </c>
      <c r="J232" s="86">
        <f t="shared" si="107"/>
        <v>0</v>
      </c>
      <c r="K232" s="86">
        <f t="shared" si="107"/>
        <v>0</v>
      </c>
      <c r="M232" s="701"/>
      <c r="N232" s="684"/>
      <c r="O232" s="684"/>
      <c r="P232" s="684"/>
      <c r="Q232" s="694"/>
      <c r="R232" s="694"/>
      <c r="S232" s="694"/>
      <c r="T232" s="694"/>
      <c r="V232" s="97">
        <f>V231+1</f>
        <v>1</v>
      </c>
      <c r="W232" s="96">
        <f>IF(G232&lt;&gt;0,G232-G235,0)</f>
        <v>0</v>
      </c>
      <c r="X232" s="695"/>
      <c r="Y232" s="669"/>
      <c r="Z232" s="669"/>
      <c r="AA232" s="669"/>
      <c r="AB232" s="669"/>
      <c r="AC232" s="669"/>
      <c r="AD232" s="521"/>
      <c r="AE232" s="338">
        <f t="shared" si="98"/>
        <v>0</v>
      </c>
      <c r="AF232" s="338">
        <f t="shared" si="98"/>
        <v>0</v>
      </c>
      <c r="AG232" s="338">
        <f t="shared" si="98"/>
        <v>0</v>
      </c>
      <c r="AH232" s="338">
        <f t="shared" si="98"/>
        <v>0</v>
      </c>
      <c r="AI232" s="338">
        <f t="shared" si="98"/>
        <v>0</v>
      </c>
      <c r="AJ232" s="522">
        <f t="shared" si="98"/>
        <v>0</v>
      </c>
      <c r="AK232" s="521"/>
      <c r="AL232" s="338">
        <f t="shared" si="99"/>
        <v>0</v>
      </c>
      <c r="AM232" s="338">
        <f t="shared" si="99"/>
        <v>0</v>
      </c>
      <c r="AN232" s="338">
        <f t="shared" si="99"/>
        <v>0</v>
      </c>
      <c r="AO232" s="338">
        <f t="shared" si="99"/>
        <v>0</v>
      </c>
      <c r="AP232" s="338">
        <f t="shared" si="99"/>
        <v>0</v>
      </c>
      <c r="AQ232" s="522">
        <f t="shared" si="99"/>
        <v>0</v>
      </c>
      <c r="AR232" s="521"/>
      <c r="AS232" s="338">
        <f t="shared" si="100"/>
        <v>0</v>
      </c>
      <c r="AT232" s="338">
        <f t="shared" si="101"/>
        <v>0</v>
      </c>
      <c r="AU232" s="338">
        <f t="shared" si="102"/>
        <v>0</v>
      </c>
      <c r="AV232" s="338">
        <f t="shared" si="103"/>
        <v>0</v>
      </c>
      <c r="AW232" s="338">
        <f t="shared" si="104"/>
        <v>0</v>
      </c>
      <c r="AX232" s="522">
        <f t="shared" si="105"/>
        <v>0</v>
      </c>
    </row>
    <row r="233" spans="1:50" outlineLevel="2" x14ac:dyDescent="0.2">
      <c r="A233" s="586"/>
      <c r="B233" s="352">
        <v>5</v>
      </c>
      <c r="C233" s="352">
        <v>6</v>
      </c>
      <c r="D233" s="586"/>
      <c r="E233" s="696" t="s">
        <v>146</v>
      </c>
      <c r="F233" s="86" t="str">
        <f t="shared" ref="F233:K236" si="108">IF(INDEX(MBSItemsInc,$C$228,1)&lt;&gt;"",F$232*INDEX(MBSItemsInc,$C$228,$B233)*INDEX(MBSItemsInc,$C$228,$C233),"")</f>
        <v/>
      </c>
      <c r="G233" s="86" t="str">
        <f t="shared" si="108"/>
        <v/>
      </c>
      <c r="H233" s="86" t="str">
        <f t="shared" si="108"/>
        <v/>
      </c>
      <c r="I233" s="86" t="str">
        <f t="shared" si="108"/>
        <v/>
      </c>
      <c r="J233" s="86" t="str">
        <f t="shared" si="108"/>
        <v/>
      </c>
      <c r="K233" s="86" t="str">
        <f t="shared" si="108"/>
        <v/>
      </c>
      <c r="M233" s="149"/>
      <c r="N233" s="697"/>
      <c r="O233" s="697"/>
      <c r="P233" s="697"/>
      <c r="Q233" s="694"/>
      <c r="R233" s="694"/>
      <c r="S233" s="694"/>
      <c r="T233" s="694"/>
      <c r="V233" s="97">
        <f>V232+1</f>
        <v>2</v>
      </c>
      <c r="W233" s="96">
        <f>IF(H232&lt;&gt;0,H232-H235,0)</f>
        <v>0</v>
      </c>
      <c r="X233" s="695"/>
      <c r="Y233" s="669"/>
      <c r="Z233" s="669"/>
      <c r="AA233" s="669"/>
      <c r="AB233" s="669"/>
      <c r="AC233" s="669"/>
      <c r="AD233" s="521"/>
      <c r="AE233" s="338">
        <f t="shared" ref="AE233:AJ234" si="109">IF(OR(ScriptSourceCode=1,ScriptSourceCode=3),AD261-AE247,0)</f>
        <v>0</v>
      </c>
      <c r="AF233" s="338">
        <f t="shared" si="109"/>
        <v>0</v>
      </c>
      <c r="AG233" s="338">
        <f t="shared" si="109"/>
        <v>0</v>
      </c>
      <c r="AH233" s="338">
        <f t="shared" si="109"/>
        <v>0</v>
      </c>
      <c r="AI233" s="338">
        <f t="shared" si="109"/>
        <v>0</v>
      </c>
      <c r="AJ233" s="522">
        <f t="shared" si="109"/>
        <v>0</v>
      </c>
      <c r="AK233" s="521"/>
      <c r="AL233" s="338">
        <f t="shared" ref="AL233:AQ234" si="110">IF(OR(ScriptSourceCode=1,ScriptSourceCode=3),AJ261-AL247,0)</f>
        <v>0</v>
      </c>
      <c r="AM233" s="338">
        <f t="shared" si="110"/>
        <v>0</v>
      </c>
      <c r="AN233" s="338">
        <f t="shared" si="110"/>
        <v>0</v>
      </c>
      <c r="AO233" s="338">
        <f t="shared" si="110"/>
        <v>0</v>
      </c>
      <c r="AP233" s="338">
        <f t="shared" si="110"/>
        <v>0</v>
      </c>
      <c r="AQ233" s="522">
        <f t="shared" si="110"/>
        <v>0</v>
      </c>
      <c r="AR233" s="521"/>
      <c r="AS233" s="338">
        <f t="shared" si="100"/>
        <v>0</v>
      </c>
      <c r="AT233" s="338">
        <f t="shared" si="101"/>
        <v>0</v>
      </c>
      <c r="AU233" s="338">
        <f t="shared" si="102"/>
        <v>0</v>
      </c>
      <c r="AV233" s="338">
        <f t="shared" si="103"/>
        <v>0</v>
      </c>
      <c r="AW233" s="338">
        <f t="shared" si="104"/>
        <v>0</v>
      </c>
      <c r="AX233" s="522">
        <f t="shared" si="105"/>
        <v>0</v>
      </c>
    </row>
    <row r="234" spans="1:50" ht="13.5" outlineLevel="2" thickBot="1" x14ac:dyDescent="0.25">
      <c r="A234" s="586"/>
      <c r="B234" s="352">
        <v>5</v>
      </c>
      <c r="C234" s="352">
        <v>7</v>
      </c>
      <c r="D234" s="586"/>
      <c r="E234" s="696" t="s">
        <v>147</v>
      </c>
      <c r="F234" s="86" t="str">
        <f t="shared" si="108"/>
        <v/>
      </c>
      <c r="G234" s="86" t="str">
        <f t="shared" si="108"/>
        <v/>
      </c>
      <c r="H234" s="86" t="str">
        <f t="shared" si="108"/>
        <v/>
      </c>
      <c r="I234" s="86" t="str">
        <f t="shared" si="108"/>
        <v/>
      </c>
      <c r="J234" s="86" t="str">
        <f t="shared" si="108"/>
        <v/>
      </c>
      <c r="K234" s="86" t="str">
        <f t="shared" si="108"/>
        <v/>
      </c>
      <c r="M234" s="149"/>
      <c r="N234" s="697"/>
      <c r="O234" s="697"/>
      <c r="P234" s="697"/>
      <c r="Q234" s="694"/>
      <c r="R234" s="694"/>
      <c r="S234" s="694"/>
      <c r="T234" s="694"/>
      <c r="V234" s="97">
        <f>V233+1</f>
        <v>3</v>
      </c>
      <c r="W234" s="96">
        <f>IF(I232&lt;&gt;0,I232-I235,0)</f>
        <v>0</v>
      </c>
      <c r="X234" s="695"/>
      <c r="Y234" s="669"/>
      <c r="Z234" s="669"/>
      <c r="AA234" s="669"/>
      <c r="AB234" s="669"/>
      <c r="AC234" s="669"/>
      <c r="AD234" s="523"/>
      <c r="AE234" s="524">
        <f t="shared" si="109"/>
        <v>0</v>
      </c>
      <c r="AF234" s="524">
        <f t="shared" si="109"/>
        <v>0</v>
      </c>
      <c r="AG234" s="524">
        <f t="shared" si="109"/>
        <v>0</v>
      </c>
      <c r="AH234" s="524">
        <f t="shared" si="109"/>
        <v>0</v>
      </c>
      <c r="AI234" s="524">
        <f t="shared" si="109"/>
        <v>0</v>
      </c>
      <c r="AJ234" s="525">
        <f t="shared" si="109"/>
        <v>0</v>
      </c>
      <c r="AK234" s="523"/>
      <c r="AL234" s="524">
        <f t="shared" si="110"/>
        <v>0</v>
      </c>
      <c r="AM234" s="524">
        <f t="shared" si="110"/>
        <v>0</v>
      </c>
      <c r="AN234" s="524">
        <f t="shared" si="110"/>
        <v>0</v>
      </c>
      <c r="AO234" s="524">
        <f t="shared" si="110"/>
        <v>0</v>
      </c>
      <c r="AP234" s="524">
        <f t="shared" si="110"/>
        <v>0</v>
      </c>
      <c r="AQ234" s="525">
        <f t="shared" si="110"/>
        <v>0</v>
      </c>
      <c r="AR234" s="523"/>
      <c r="AS234" s="524">
        <f t="shared" si="100"/>
        <v>0</v>
      </c>
      <c r="AT234" s="524">
        <f t="shared" si="101"/>
        <v>0</v>
      </c>
      <c r="AU234" s="524">
        <f t="shared" si="102"/>
        <v>0</v>
      </c>
      <c r="AV234" s="524">
        <f t="shared" si="103"/>
        <v>0</v>
      </c>
      <c r="AW234" s="524">
        <f t="shared" si="104"/>
        <v>0</v>
      </c>
      <c r="AX234" s="525">
        <f t="shared" si="105"/>
        <v>0</v>
      </c>
    </row>
    <row r="235" spans="1:50" outlineLevel="2" x14ac:dyDescent="0.2">
      <c r="A235" s="586"/>
      <c r="B235" s="352">
        <v>4</v>
      </c>
      <c r="C235" s="352">
        <v>6</v>
      </c>
      <c r="D235" s="586"/>
      <c r="E235" s="696" t="s">
        <v>148</v>
      </c>
      <c r="F235" s="86" t="str">
        <f t="shared" si="108"/>
        <v/>
      </c>
      <c r="G235" s="86" t="str">
        <f t="shared" si="108"/>
        <v/>
      </c>
      <c r="H235" s="86" t="str">
        <f t="shared" si="108"/>
        <v/>
      </c>
      <c r="I235" s="86" t="str">
        <f t="shared" si="108"/>
        <v/>
      </c>
      <c r="J235" s="86" t="str">
        <f t="shared" si="108"/>
        <v/>
      </c>
      <c r="K235" s="86" t="str">
        <f t="shared" si="108"/>
        <v/>
      </c>
      <c r="M235" s="149"/>
      <c r="N235" s="697"/>
      <c r="O235" s="697"/>
      <c r="P235" s="697"/>
      <c r="Q235" s="694"/>
      <c r="R235" s="694"/>
      <c r="S235" s="694"/>
      <c r="T235" s="694"/>
      <c r="V235" s="97">
        <f>V234+1</f>
        <v>4</v>
      </c>
      <c r="W235" s="96">
        <f>IF(J232&lt;&gt;0,J232-J235,0)</f>
        <v>0</v>
      </c>
      <c r="X235" s="695"/>
      <c r="Y235" s="669"/>
      <c r="Z235" s="669"/>
      <c r="AA235" s="669"/>
      <c r="AB235" s="669"/>
      <c r="AC235" s="669"/>
      <c r="AD235" s="860" t="s">
        <v>259</v>
      </c>
      <c r="AE235" s="860"/>
      <c r="AF235" s="860"/>
      <c r="AG235" s="860"/>
      <c r="AH235" s="860"/>
      <c r="AI235" s="860"/>
      <c r="AJ235" s="860"/>
      <c r="AK235" s="860"/>
      <c r="AL235" s="860"/>
      <c r="AM235" s="860"/>
      <c r="AN235" s="860"/>
      <c r="AO235" s="860"/>
      <c r="AP235" s="860"/>
      <c r="AQ235" s="860"/>
      <c r="AR235" s="860"/>
      <c r="AS235" s="860"/>
      <c r="AT235" s="860"/>
      <c r="AU235" s="860"/>
      <c r="AV235" s="860"/>
      <c r="AW235" s="860"/>
      <c r="AX235" s="860"/>
    </row>
    <row r="236" spans="1:50" ht="12.75" customHeight="1" outlineLevel="2" thickBot="1" x14ac:dyDescent="0.25">
      <c r="A236" s="586"/>
      <c r="B236" s="352">
        <v>4</v>
      </c>
      <c r="C236" s="352">
        <v>7</v>
      </c>
      <c r="D236" s="586"/>
      <c r="E236" s="698" t="s">
        <v>149</v>
      </c>
      <c r="F236" s="86" t="str">
        <f t="shared" si="108"/>
        <v/>
      </c>
      <c r="G236" s="86" t="str">
        <f t="shared" si="108"/>
        <v/>
      </c>
      <c r="H236" s="86" t="str">
        <f t="shared" si="108"/>
        <v/>
      </c>
      <c r="I236" s="86" t="str">
        <f t="shared" si="108"/>
        <v/>
      </c>
      <c r="J236" s="86" t="str">
        <f t="shared" si="108"/>
        <v/>
      </c>
      <c r="K236" s="86" t="str">
        <f t="shared" si="108"/>
        <v/>
      </c>
      <c r="M236" s="149"/>
      <c r="N236" s="697"/>
      <c r="O236" s="697"/>
      <c r="P236" s="697"/>
      <c r="Q236" s="694"/>
      <c r="R236" s="694"/>
      <c r="S236" s="694"/>
      <c r="T236" s="694"/>
      <c r="V236" s="97">
        <f>V235+1</f>
        <v>5</v>
      </c>
      <c r="W236" s="96">
        <f>IF(K232&lt;&gt;0,K232-K235,0)</f>
        <v>0</v>
      </c>
      <c r="X236" s="695"/>
      <c r="Y236" s="669"/>
      <c r="Z236" s="669"/>
      <c r="AA236" s="669"/>
      <c r="AB236" s="669"/>
      <c r="AC236" s="669"/>
      <c r="AD236" s="859" t="str">
        <f>AD223</f>
        <v/>
      </c>
      <c r="AE236" s="859"/>
      <c r="AF236" s="859"/>
      <c r="AG236" s="859"/>
      <c r="AH236" s="859"/>
      <c r="AI236" s="859"/>
      <c r="AJ236" s="859"/>
      <c r="AK236" s="859" t="str">
        <f>AK223</f>
        <v/>
      </c>
      <c r="AL236" s="859"/>
      <c r="AM236" s="859"/>
      <c r="AN236" s="859"/>
      <c r="AO236" s="859"/>
      <c r="AP236" s="859"/>
      <c r="AQ236" s="859"/>
      <c r="AR236" s="529"/>
      <c r="AS236" s="859" t="s">
        <v>473</v>
      </c>
      <c r="AT236" s="859"/>
      <c r="AU236" s="859"/>
      <c r="AV236" s="859"/>
      <c r="AW236" s="859"/>
      <c r="AX236" s="859"/>
    </row>
    <row r="237" spans="1:50" outlineLevel="2" x14ac:dyDescent="0.2">
      <c r="A237" s="586"/>
      <c r="B237" s="586"/>
      <c r="C237" s="586"/>
      <c r="D237" s="586"/>
      <c r="E237" s="586"/>
      <c r="F237" s="586"/>
      <c r="G237" s="586"/>
      <c r="H237" s="586"/>
      <c r="I237" s="586"/>
      <c r="J237" s="586"/>
      <c r="K237" s="586"/>
      <c r="M237" s="586"/>
      <c r="N237" s="164"/>
      <c r="O237" s="164"/>
      <c r="P237" s="164"/>
      <c r="Q237" s="164"/>
      <c r="R237" s="164"/>
      <c r="S237" s="164"/>
      <c r="T237" s="164"/>
      <c r="V237" s="98"/>
      <c r="W237" s="98"/>
      <c r="X237" s="98"/>
      <c r="Y237" s="669"/>
      <c r="Z237" s="669"/>
      <c r="AA237" s="669"/>
      <c r="AB237" s="669"/>
      <c r="AC237" s="669"/>
      <c r="AD237" s="526"/>
      <c r="AE237" s="527">
        <f>FirstYear</f>
        <v>0</v>
      </c>
      <c r="AF237" s="527">
        <f>AE237+1</f>
        <v>1</v>
      </c>
      <c r="AG237" s="527">
        <f>AF237+1</f>
        <v>2</v>
      </c>
      <c r="AH237" s="527">
        <f>AG237+1</f>
        <v>3</v>
      </c>
      <c r="AI237" s="527">
        <f>AH237+1</f>
        <v>4</v>
      </c>
      <c r="AJ237" s="528">
        <f>AI237+1</f>
        <v>5</v>
      </c>
      <c r="AK237" s="526"/>
      <c r="AL237" s="527">
        <f>FirstYear</f>
        <v>0</v>
      </c>
      <c r="AM237" s="527">
        <f>AL237+1</f>
        <v>1</v>
      </c>
      <c r="AN237" s="527">
        <f>AM237+1</f>
        <v>2</v>
      </c>
      <c r="AO237" s="527">
        <f>AN237+1</f>
        <v>3</v>
      </c>
      <c r="AP237" s="527">
        <f>AO237+1</f>
        <v>4</v>
      </c>
      <c r="AQ237" s="528">
        <f>AP237+1</f>
        <v>5</v>
      </c>
      <c r="AR237" s="526"/>
      <c r="AS237" s="527">
        <f>FirstYear</f>
        <v>0</v>
      </c>
      <c r="AT237" s="527">
        <f>AS237+1</f>
        <v>1</v>
      </c>
      <c r="AU237" s="527">
        <f>AT237+1</f>
        <v>2</v>
      </c>
      <c r="AV237" s="527">
        <f>AU237+1</f>
        <v>3</v>
      </c>
      <c r="AW237" s="527">
        <f>AV237+1</f>
        <v>4</v>
      </c>
      <c r="AX237" s="528">
        <f>AW237+1</f>
        <v>5</v>
      </c>
    </row>
    <row r="238" spans="1:50" ht="15" outlineLevel="2" x14ac:dyDescent="0.2">
      <c r="A238" s="586"/>
      <c r="B238" s="586"/>
      <c r="C238" s="586"/>
      <c r="D238" s="681" t="s">
        <v>1</v>
      </c>
      <c r="E238" s="681"/>
      <c r="F238" s="671">
        <f>FirstYear</f>
        <v>0</v>
      </c>
      <c r="G238" s="671">
        <f>F238+1</f>
        <v>1</v>
      </c>
      <c r="H238" s="671">
        <f>G238+1</f>
        <v>2</v>
      </c>
      <c r="I238" s="671">
        <f>H238+1</f>
        <v>3</v>
      </c>
      <c r="J238" s="671">
        <f>I238+1</f>
        <v>4</v>
      </c>
      <c r="K238" s="671">
        <f>J238+1</f>
        <v>5</v>
      </c>
      <c r="M238" s="586"/>
      <c r="N238" s="164"/>
      <c r="O238" s="164"/>
      <c r="P238" s="164"/>
      <c r="Q238" s="164"/>
      <c r="R238" s="164"/>
      <c r="S238" s="164"/>
      <c r="T238" s="164"/>
      <c r="V238" s="98"/>
      <c r="W238" s="98"/>
      <c r="X238" s="98"/>
      <c r="Y238" s="669"/>
      <c r="Z238" s="669"/>
      <c r="AA238" s="669"/>
      <c r="AB238" s="669"/>
      <c r="AC238" s="669"/>
      <c r="AD238" s="521"/>
      <c r="AE238" s="338">
        <f t="shared" ref="AE238:AJ245" si="111">IF(OR(ScriptSourceCode=1,ScriptSourceCode=3),IF($AB253&lt;&gt;0,ROUND(AD253*INDEX(PxTxPhase1,$AB253,8),0),0),0)</f>
        <v>0</v>
      </c>
      <c r="AF238" s="338">
        <f t="shared" si="111"/>
        <v>0</v>
      </c>
      <c r="AG238" s="338">
        <f t="shared" si="111"/>
        <v>0</v>
      </c>
      <c r="AH238" s="338">
        <f t="shared" si="111"/>
        <v>0</v>
      </c>
      <c r="AI238" s="338">
        <f t="shared" si="111"/>
        <v>0</v>
      </c>
      <c r="AJ238" s="522">
        <f t="shared" si="111"/>
        <v>0</v>
      </c>
      <c r="AK238" s="521"/>
      <c r="AL238" s="338">
        <f t="shared" ref="AL238:AQ245" si="112">IF(OR(ScriptSourceCode=1,ScriptSourceCode=3),IF($AB253&lt;&gt;0,ROUND(AK253*INDEX(PxTxPhase1,$AB253,8),0),0),0)</f>
        <v>0</v>
      </c>
      <c r="AM238" s="338">
        <f t="shared" si="112"/>
        <v>0</v>
      </c>
      <c r="AN238" s="338">
        <f t="shared" si="112"/>
        <v>0</v>
      </c>
      <c r="AO238" s="338">
        <f t="shared" si="112"/>
        <v>0</v>
      </c>
      <c r="AP238" s="338">
        <f t="shared" si="112"/>
        <v>0</v>
      </c>
      <c r="AQ238" s="522">
        <f t="shared" si="112"/>
        <v>0</v>
      </c>
      <c r="AR238" s="521"/>
      <c r="AS238" s="338">
        <f t="shared" ref="AS238:AS248" si="113">AE238+AL238</f>
        <v>0</v>
      </c>
      <c r="AT238" s="338">
        <f t="shared" ref="AT238:AT248" si="114">AF238+AM238</f>
        <v>0</v>
      </c>
      <c r="AU238" s="338">
        <f t="shared" ref="AU238:AU248" si="115">AG238+AN238</f>
        <v>0</v>
      </c>
      <c r="AV238" s="338">
        <f t="shared" ref="AV238:AV248" si="116">AH238+AO238</f>
        <v>0</v>
      </c>
      <c r="AW238" s="338">
        <f t="shared" ref="AW238:AW248" si="117">AI238+AP238</f>
        <v>0</v>
      </c>
      <c r="AX238" s="522">
        <f t="shared" ref="AX238:AX248" si="118">AJ238+AQ238</f>
        <v>0</v>
      </c>
    </row>
    <row r="239" spans="1:50" outlineLevel="2" x14ac:dyDescent="0.2">
      <c r="A239" s="586"/>
      <c r="B239" s="586"/>
      <c r="C239" s="586"/>
      <c r="D239" s="586"/>
      <c r="E239" s="590" t="s">
        <v>269</v>
      </c>
      <c r="F239" s="397">
        <f t="shared" ref="F239:K239" si="119">F240*$P47</f>
        <v>0</v>
      </c>
      <c r="G239" s="397">
        <f t="shared" si="119"/>
        <v>0</v>
      </c>
      <c r="H239" s="397">
        <f t="shared" si="119"/>
        <v>0</v>
      </c>
      <c r="I239" s="397">
        <f t="shared" si="119"/>
        <v>0</v>
      </c>
      <c r="J239" s="397">
        <f t="shared" si="119"/>
        <v>0</v>
      </c>
      <c r="K239" s="397">
        <f t="shared" si="119"/>
        <v>0</v>
      </c>
      <c r="M239" s="586"/>
      <c r="N239" s="164"/>
      <c r="O239" s="164"/>
      <c r="P239" s="164"/>
      <c r="Q239" s="164"/>
      <c r="R239" s="164"/>
      <c r="S239" s="164"/>
      <c r="T239" s="164"/>
      <c r="V239" s="98"/>
      <c r="W239" s="98"/>
      <c r="X239" s="98"/>
      <c r="Y239" s="669"/>
      <c r="Z239" s="669"/>
      <c r="AA239" s="669"/>
      <c r="AB239" s="669"/>
      <c r="AC239" s="669"/>
      <c r="AD239" s="521"/>
      <c r="AE239" s="338">
        <f t="shared" si="111"/>
        <v>0</v>
      </c>
      <c r="AF239" s="338">
        <f t="shared" si="111"/>
        <v>0</v>
      </c>
      <c r="AG239" s="338">
        <f t="shared" si="111"/>
        <v>0</v>
      </c>
      <c r="AH239" s="338">
        <f t="shared" si="111"/>
        <v>0</v>
      </c>
      <c r="AI239" s="338">
        <f t="shared" si="111"/>
        <v>0</v>
      </c>
      <c r="AJ239" s="522">
        <f t="shared" si="111"/>
        <v>0</v>
      </c>
      <c r="AK239" s="521"/>
      <c r="AL239" s="338">
        <f t="shared" si="112"/>
        <v>0</v>
      </c>
      <c r="AM239" s="338">
        <f t="shared" si="112"/>
        <v>0</v>
      </c>
      <c r="AN239" s="338">
        <f t="shared" si="112"/>
        <v>0</v>
      </c>
      <c r="AO239" s="338">
        <f t="shared" si="112"/>
        <v>0</v>
      </c>
      <c r="AP239" s="338">
        <f t="shared" si="112"/>
        <v>0</v>
      </c>
      <c r="AQ239" s="522">
        <f t="shared" si="112"/>
        <v>0</v>
      </c>
      <c r="AR239" s="521"/>
      <c r="AS239" s="338">
        <f t="shared" si="113"/>
        <v>0</v>
      </c>
      <c r="AT239" s="338">
        <f t="shared" si="114"/>
        <v>0</v>
      </c>
      <c r="AU239" s="338">
        <f t="shared" si="115"/>
        <v>0</v>
      </c>
      <c r="AV239" s="338">
        <f t="shared" si="116"/>
        <v>0</v>
      </c>
      <c r="AW239" s="338">
        <f t="shared" si="117"/>
        <v>0</v>
      </c>
      <c r="AX239" s="522">
        <f t="shared" si="118"/>
        <v>0</v>
      </c>
    </row>
    <row r="240" spans="1:50" outlineLevel="2" x14ac:dyDescent="0.2">
      <c r="A240" s="586"/>
      <c r="B240" s="586"/>
      <c r="C240" s="352" t="str">
        <f>W62</f>
        <v/>
      </c>
      <c r="D240" s="586"/>
      <c r="E240" s="85" t="s">
        <v>80</v>
      </c>
      <c r="F240" s="86">
        <f t="shared" ref="F240:K240" si="120">IF($W$47=2,$N$47*IF($C240&lt;&gt;"",INDEX(RPBSScriptsNew,$C240,F229),0),IF($Y47&lt;&gt;0,$M$47*INDEX(MBSRPBSInc,$C228,($Y47-1)*7+F229),0))*$V$47</f>
        <v>0</v>
      </c>
      <c r="G240" s="86">
        <f t="shared" si="120"/>
        <v>0</v>
      </c>
      <c r="H240" s="86">
        <f t="shared" si="120"/>
        <v>0</v>
      </c>
      <c r="I240" s="86">
        <f t="shared" si="120"/>
        <v>0</v>
      </c>
      <c r="J240" s="86">
        <f t="shared" si="120"/>
        <v>0</v>
      </c>
      <c r="K240" s="86">
        <f t="shared" si="120"/>
        <v>0</v>
      </c>
      <c r="M240" s="586"/>
      <c r="N240" s="164"/>
      <c r="O240" s="164"/>
      <c r="P240" s="164"/>
      <c r="Q240" s="164"/>
      <c r="R240" s="164"/>
      <c r="S240" s="164"/>
      <c r="T240" s="164"/>
      <c r="V240" s="98"/>
      <c r="W240" s="98"/>
      <c r="X240" s="98"/>
      <c r="Y240" s="669"/>
      <c r="Z240" s="669"/>
      <c r="AA240" s="669"/>
      <c r="AB240" s="669"/>
      <c r="AC240" s="669"/>
      <c r="AD240" s="521"/>
      <c r="AE240" s="338">
        <f t="shared" si="111"/>
        <v>0</v>
      </c>
      <c r="AF240" s="338">
        <f t="shared" si="111"/>
        <v>0</v>
      </c>
      <c r="AG240" s="338">
        <f t="shared" si="111"/>
        <v>0</v>
      </c>
      <c r="AH240" s="338">
        <f t="shared" si="111"/>
        <v>0</v>
      </c>
      <c r="AI240" s="338">
        <f t="shared" si="111"/>
        <v>0</v>
      </c>
      <c r="AJ240" s="522">
        <f t="shared" si="111"/>
        <v>0</v>
      </c>
      <c r="AK240" s="521"/>
      <c r="AL240" s="338">
        <f t="shared" si="112"/>
        <v>0</v>
      </c>
      <c r="AM240" s="338">
        <f t="shared" si="112"/>
        <v>0</v>
      </c>
      <c r="AN240" s="338">
        <f t="shared" si="112"/>
        <v>0</v>
      </c>
      <c r="AO240" s="338">
        <f t="shared" si="112"/>
        <v>0</v>
      </c>
      <c r="AP240" s="338">
        <f t="shared" si="112"/>
        <v>0</v>
      </c>
      <c r="AQ240" s="522">
        <f t="shared" si="112"/>
        <v>0</v>
      </c>
      <c r="AR240" s="521"/>
      <c r="AS240" s="338">
        <f t="shared" si="113"/>
        <v>0</v>
      </c>
      <c r="AT240" s="338">
        <f t="shared" si="114"/>
        <v>0</v>
      </c>
      <c r="AU240" s="338">
        <f t="shared" si="115"/>
        <v>0</v>
      </c>
      <c r="AV240" s="338">
        <f t="shared" si="116"/>
        <v>0</v>
      </c>
      <c r="AW240" s="338">
        <f t="shared" si="117"/>
        <v>0</v>
      </c>
      <c r="AX240" s="522">
        <f t="shared" si="118"/>
        <v>0</v>
      </c>
    </row>
    <row r="241" spans="1:50" outlineLevel="2" x14ac:dyDescent="0.2">
      <c r="A241" s="586"/>
      <c r="B241" s="352">
        <v>5</v>
      </c>
      <c r="C241" s="352">
        <v>6</v>
      </c>
      <c r="D241" s="586"/>
      <c r="E241" s="696" t="s">
        <v>146</v>
      </c>
      <c r="F241" s="86" t="str">
        <f t="shared" ref="F241:K244" si="121">IF(INDEX(MBSItemsInc,$C$228,1)&lt;&gt;"",F$240*INDEX(MBSItemsInc,$C$228,$B241)*INDEX(MBSItemsInc,$C$228,$C241),"")</f>
        <v/>
      </c>
      <c r="G241" s="86" t="str">
        <f t="shared" si="121"/>
        <v/>
      </c>
      <c r="H241" s="86" t="str">
        <f t="shared" si="121"/>
        <v/>
      </c>
      <c r="I241" s="86" t="str">
        <f t="shared" si="121"/>
        <v/>
      </c>
      <c r="J241" s="86" t="str">
        <f t="shared" si="121"/>
        <v/>
      </c>
      <c r="K241" s="86" t="str">
        <f t="shared" si="121"/>
        <v/>
      </c>
      <c r="M241" s="586"/>
      <c r="N241" s="164"/>
      <c r="O241" s="164"/>
      <c r="P241" s="164"/>
      <c r="Q241" s="164"/>
      <c r="R241" s="164"/>
      <c r="S241" s="164"/>
      <c r="T241" s="164"/>
      <c r="V241" s="98"/>
      <c r="W241" s="98"/>
      <c r="X241" s="98"/>
      <c r="Y241" s="669"/>
      <c r="Z241" s="669"/>
      <c r="AA241" s="669"/>
      <c r="AB241" s="669"/>
      <c r="AC241" s="669"/>
      <c r="AD241" s="521"/>
      <c r="AE241" s="338">
        <f t="shared" si="111"/>
        <v>0</v>
      </c>
      <c r="AF241" s="338">
        <f t="shared" si="111"/>
        <v>0</v>
      </c>
      <c r="AG241" s="338">
        <f t="shared" si="111"/>
        <v>0</v>
      </c>
      <c r="AH241" s="338">
        <f t="shared" si="111"/>
        <v>0</v>
      </c>
      <c r="AI241" s="338">
        <f t="shared" si="111"/>
        <v>0</v>
      </c>
      <c r="AJ241" s="522">
        <f t="shared" si="111"/>
        <v>0</v>
      </c>
      <c r="AK241" s="521"/>
      <c r="AL241" s="338">
        <f t="shared" si="112"/>
        <v>0</v>
      </c>
      <c r="AM241" s="338">
        <f t="shared" si="112"/>
        <v>0</v>
      </c>
      <c r="AN241" s="338">
        <f t="shared" si="112"/>
        <v>0</v>
      </c>
      <c r="AO241" s="338">
        <f t="shared" si="112"/>
        <v>0</v>
      </c>
      <c r="AP241" s="338">
        <f t="shared" si="112"/>
        <v>0</v>
      </c>
      <c r="AQ241" s="522">
        <f t="shared" si="112"/>
        <v>0</v>
      </c>
      <c r="AR241" s="521"/>
      <c r="AS241" s="338">
        <f t="shared" si="113"/>
        <v>0</v>
      </c>
      <c r="AT241" s="338">
        <f t="shared" si="114"/>
        <v>0</v>
      </c>
      <c r="AU241" s="338">
        <f t="shared" si="115"/>
        <v>0</v>
      </c>
      <c r="AV241" s="338">
        <f t="shared" si="116"/>
        <v>0</v>
      </c>
      <c r="AW241" s="338">
        <f t="shared" si="117"/>
        <v>0</v>
      </c>
      <c r="AX241" s="522">
        <f t="shared" si="118"/>
        <v>0</v>
      </c>
    </row>
    <row r="242" spans="1:50" outlineLevel="2" x14ac:dyDescent="0.2">
      <c r="A242" s="586"/>
      <c r="B242" s="352">
        <v>5</v>
      </c>
      <c r="C242" s="352">
        <v>7</v>
      </c>
      <c r="D242" s="586"/>
      <c r="E242" s="696" t="s">
        <v>147</v>
      </c>
      <c r="F242" s="86" t="str">
        <f t="shared" si="121"/>
        <v/>
      </c>
      <c r="G242" s="86" t="str">
        <f t="shared" si="121"/>
        <v/>
      </c>
      <c r="H242" s="86" t="str">
        <f t="shared" si="121"/>
        <v/>
      </c>
      <c r="I242" s="86" t="str">
        <f t="shared" si="121"/>
        <v/>
      </c>
      <c r="J242" s="86" t="str">
        <f t="shared" si="121"/>
        <v/>
      </c>
      <c r="K242" s="86" t="str">
        <f t="shared" si="121"/>
        <v/>
      </c>
      <c r="M242" s="586"/>
      <c r="N242" s="164"/>
      <c r="O242" s="164"/>
      <c r="P242" s="164"/>
      <c r="Q242" s="164"/>
      <c r="R242" s="164"/>
      <c r="S242" s="164"/>
      <c r="T242" s="164"/>
      <c r="V242" s="98"/>
      <c r="W242" s="98"/>
      <c r="X242" s="98"/>
      <c r="Y242" s="669"/>
      <c r="Z242" s="669"/>
      <c r="AA242" s="669"/>
      <c r="AB242" s="669"/>
      <c r="AC242" s="669"/>
      <c r="AD242" s="521"/>
      <c r="AE242" s="338">
        <f t="shared" si="111"/>
        <v>0</v>
      </c>
      <c r="AF242" s="338">
        <f t="shared" si="111"/>
        <v>0</v>
      </c>
      <c r="AG242" s="338">
        <f t="shared" si="111"/>
        <v>0</v>
      </c>
      <c r="AH242" s="338">
        <f t="shared" si="111"/>
        <v>0</v>
      </c>
      <c r="AI242" s="338">
        <f t="shared" si="111"/>
        <v>0</v>
      </c>
      <c r="AJ242" s="522">
        <f t="shared" si="111"/>
        <v>0</v>
      </c>
      <c r="AK242" s="521"/>
      <c r="AL242" s="338">
        <f t="shared" si="112"/>
        <v>0</v>
      </c>
      <c r="AM242" s="338">
        <f t="shared" si="112"/>
        <v>0</v>
      </c>
      <c r="AN242" s="338">
        <f t="shared" si="112"/>
        <v>0</v>
      </c>
      <c r="AO242" s="338">
        <f t="shared" si="112"/>
        <v>0</v>
      </c>
      <c r="AP242" s="338">
        <f t="shared" si="112"/>
        <v>0</v>
      </c>
      <c r="AQ242" s="522">
        <f t="shared" si="112"/>
        <v>0</v>
      </c>
      <c r="AR242" s="521"/>
      <c r="AS242" s="338">
        <f t="shared" si="113"/>
        <v>0</v>
      </c>
      <c r="AT242" s="338">
        <f t="shared" si="114"/>
        <v>0</v>
      </c>
      <c r="AU242" s="338">
        <f t="shared" si="115"/>
        <v>0</v>
      </c>
      <c r="AV242" s="338">
        <f t="shared" si="116"/>
        <v>0</v>
      </c>
      <c r="AW242" s="338">
        <f t="shared" si="117"/>
        <v>0</v>
      </c>
      <c r="AX242" s="522">
        <f t="shared" si="118"/>
        <v>0</v>
      </c>
    </row>
    <row r="243" spans="1:50" outlineLevel="2" x14ac:dyDescent="0.2">
      <c r="A243" s="586"/>
      <c r="B243" s="352">
        <v>4</v>
      </c>
      <c r="C243" s="352">
        <v>6</v>
      </c>
      <c r="D243" s="586"/>
      <c r="E243" s="696" t="s">
        <v>148</v>
      </c>
      <c r="F243" s="86" t="str">
        <f t="shared" si="121"/>
        <v/>
      </c>
      <c r="G243" s="86" t="str">
        <f t="shared" si="121"/>
        <v/>
      </c>
      <c r="H243" s="86" t="str">
        <f t="shared" si="121"/>
        <v/>
      </c>
      <c r="I243" s="86" t="str">
        <f t="shared" si="121"/>
        <v/>
      </c>
      <c r="J243" s="86" t="str">
        <f t="shared" si="121"/>
        <v/>
      </c>
      <c r="K243" s="86" t="str">
        <f t="shared" si="121"/>
        <v/>
      </c>
      <c r="M243" s="586"/>
      <c r="N243" s="164"/>
      <c r="O243" s="164"/>
      <c r="P243" s="164"/>
      <c r="Q243" s="164"/>
      <c r="R243" s="164"/>
      <c r="S243" s="164"/>
      <c r="T243" s="164"/>
      <c r="V243" s="98"/>
      <c r="W243" s="98"/>
      <c r="X243" s="98"/>
      <c r="Y243" s="669"/>
      <c r="Z243" s="669"/>
      <c r="AA243" s="669"/>
      <c r="AB243" s="669"/>
      <c r="AC243" s="669"/>
      <c r="AD243" s="521"/>
      <c r="AE243" s="338">
        <f t="shared" si="111"/>
        <v>0</v>
      </c>
      <c r="AF243" s="338">
        <f t="shared" si="111"/>
        <v>0</v>
      </c>
      <c r="AG243" s="338">
        <f t="shared" si="111"/>
        <v>0</v>
      </c>
      <c r="AH243" s="338">
        <f t="shared" si="111"/>
        <v>0</v>
      </c>
      <c r="AI243" s="338">
        <f t="shared" si="111"/>
        <v>0</v>
      </c>
      <c r="AJ243" s="522">
        <f t="shared" si="111"/>
        <v>0</v>
      </c>
      <c r="AK243" s="521"/>
      <c r="AL243" s="338">
        <f t="shared" si="112"/>
        <v>0</v>
      </c>
      <c r="AM243" s="338">
        <f t="shared" si="112"/>
        <v>0</v>
      </c>
      <c r="AN243" s="338">
        <f t="shared" si="112"/>
        <v>0</v>
      </c>
      <c r="AO243" s="338">
        <f t="shared" si="112"/>
        <v>0</v>
      </c>
      <c r="AP243" s="338">
        <f t="shared" si="112"/>
        <v>0</v>
      </c>
      <c r="AQ243" s="522">
        <f t="shared" si="112"/>
        <v>0</v>
      </c>
      <c r="AR243" s="521"/>
      <c r="AS243" s="338">
        <f t="shared" si="113"/>
        <v>0</v>
      </c>
      <c r="AT243" s="338">
        <f t="shared" si="114"/>
        <v>0</v>
      </c>
      <c r="AU243" s="338">
        <f t="shared" si="115"/>
        <v>0</v>
      </c>
      <c r="AV243" s="338">
        <f t="shared" si="116"/>
        <v>0</v>
      </c>
      <c r="AW243" s="338">
        <f t="shared" si="117"/>
        <v>0</v>
      </c>
      <c r="AX243" s="522">
        <f t="shared" si="118"/>
        <v>0</v>
      </c>
    </row>
    <row r="244" spans="1:50" outlineLevel="2" x14ac:dyDescent="0.2">
      <c r="A244" s="586"/>
      <c r="B244" s="352">
        <v>4</v>
      </c>
      <c r="C244" s="352">
        <v>7</v>
      </c>
      <c r="D244" s="586"/>
      <c r="E244" s="698" t="s">
        <v>149</v>
      </c>
      <c r="F244" s="86" t="str">
        <f t="shared" si="121"/>
        <v/>
      </c>
      <c r="G244" s="86" t="str">
        <f t="shared" si="121"/>
        <v/>
      </c>
      <c r="H244" s="86" t="str">
        <f t="shared" si="121"/>
        <v/>
      </c>
      <c r="I244" s="86" t="str">
        <f t="shared" si="121"/>
        <v/>
      </c>
      <c r="J244" s="86" t="str">
        <f t="shared" si="121"/>
        <v/>
      </c>
      <c r="K244" s="86" t="str">
        <f t="shared" si="121"/>
        <v/>
      </c>
      <c r="M244" s="586"/>
      <c r="N244" s="164"/>
      <c r="O244" s="164"/>
      <c r="P244" s="164"/>
      <c r="Q244" s="164"/>
      <c r="R244" s="164"/>
      <c r="S244" s="164"/>
      <c r="T244" s="164"/>
      <c r="V244" s="98"/>
      <c r="W244" s="98"/>
      <c r="X244" s="98"/>
      <c r="Y244" s="669"/>
      <c r="Z244" s="669"/>
      <c r="AA244" s="669"/>
      <c r="AB244" s="669"/>
      <c r="AC244" s="669"/>
      <c r="AD244" s="521"/>
      <c r="AE244" s="338">
        <f t="shared" si="111"/>
        <v>0</v>
      </c>
      <c r="AF244" s="338">
        <f t="shared" si="111"/>
        <v>0</v>
      </c>
      <c r="AG244" s="338">
        <f t="shared" si="111"/>
        <v>0</v>
      </c>
      <c r="AH244" s="338">
        <f t="shared" si="111"/>
        <v>0</v>
      </c>
      <c r="AI244" s="338">
        <f t="shared" si="111"/>
        <v>0</v>
      </c>
      <c r="AJ244" s="522">
        <f t="shared" si="111"/>
        <v>0</v>
      </c>
      <c r="AK244" s="521"/>
      <c r="AL244" s="338">
        <f t="shared" si="112"/>
        <v>0</v>
      </c>
      <c r="AM244" s="338">
        <f t="shared" si="112"/>
        <v>0</v>
      </c>
      <c r="AN244" s="338">
        <f t="shared" si="112"/>
        <v>0</v>
      </c>
      <c r="AO244" s="338">
        <f t="shared" si="112"/>
        <v>0</v>
      </c>
      <c r="AP244" s="338">
        <f t="shared" si="112"/>
        <v>0</v>
      </c>
      <c r="AQ244" s="522">
        <f t="shared" si="112"/>
        <v>0</v>
      </c>
      <c r="AR244" s="521"/>
      <c r="AS244" s="338">
        <f t="shared" si="113"/>
        <v>0</v>
      </c>
      <c r="AT244" s="338">
        <f t="shared" si="114"/>
        <v>0</v>
      </c>
      <c r="AU244" s="338">
        <f t="shared" si="115"/>
        <v>0</v>
      </c>
      <c r="AV244" s="338">
        <f t="shared" si="116"/>
        <v>0</v>
      </c>
      <c r="AW244" s="338">
        <f t="shared" si="117"/>
        <v>0</v>
      </c>
      <c r="AX244" s="522">
        <f t="shared" si="118"/>
        <v>0</v>
      </c>
    </row>
    <row r="245" spans="1:50" outlineLevel="1" x14ac:dyDescent="0.2">
      <c r="A245" s="586"/>
      <c r="B245" s="586"/>
      <c r="C245" s="586"/>
      <c r="D245" s="586"/>
      <c r="E245" s="586"/>
      <c r="F245" s="586"/>
      <c r="G245" s="586"/>
      <c r="H245" s="586"/>
      <c r="I245" s="586"/>
      <c r="J245" s="586"/>
      <c r="K245" s="586"/>
      <c r="L245" s="586"/>
      <c r="M245" s="586"/>
      <c r="N245" s="164"/>
      <c r="O245" s="164"/>
      <c r="P245" s="164"/>
      <c r="Q245" s="164"/>
      <c r="R245" s="164"/>
      <c r="S245" s="164"/>
      <c r="T245" s="164"/>
      <c r="V245" s="98"/>
      <c r="W245" s="98"/>
      <c r="X245" s="98"/>
      <c r="Y245" s="669"/>
      <c r="Z245" s="669"/>
      <c r="AA245" s="669"/>
      <c r="AB245" s="669"/>
      <c r="AC245" s="669"/>
      <c r="AD245" s="521"/>
      <c r="AE245" s="338">
        <f t="shared" si="111"/>
        <v>0</v>
      </c>
      <c r="AF245" s="338">
        <f t="shared" si="111"/>
        <v>0</v>
      </c>
      <c r="AG245" s="338">
        <f t="shared" si="111"/>
        <v>0</v>
      </c>
      <c r="AH245" s="338">
        <f t="shared" si="111"/>
        <v>0</v>
      </c>
      <c r="AI245" s="338">
        <f t="shared" si="111"/>
        <v>0</v>
      </c>
      <c r="AJ245" s="522">
        <f t="shared" si="111"/>
        <v>0</v>
      </c>
      <c r="AK245" s="521"/>
      <c r="AL245" s="338">
        <f t="shared" si="112"/>
        <v>0</v>
      </c>
      <c r="AM245" s="338">
        <f t="shared" si="112"/>
        <v>0</v>
      </c>
      <c r="AN245" s="338">
        <f t="shared" si="112"/>
        <v>0</v>
      </c>
      <c r="AO245" s="338">
        <f t="shared" si="112"/>
        <v>0</v>
      </c>
      <c r="AP245" s="338">
        <f t="shared" si="112"/>
        <v>0</v>
      </c>
      <c r="AQ245" s="522">
        <f t="shared" si="112"/>
        <v>0</v>
      </c>
      <c r="AR245" s="521"/>
      <c r="AS245" s="338">
        <f t="shared" si="113"/>
        <v>0</v>
      </c>
      <c r="AT245" s="338">
        <f t="shared" si="114"/>
        <v>0</v>
      </c>
      <c r="AU245" s="338">
        <f t="shared" si="115"/>
        <v>0</v>
      </c>
      <c r="AV245" s="338">
        <f t="shared" si="116"/>
        <v>0</v>
      </c>
      <c r="AW245" s="338">
        <f t="shared" si="117"/>
        <v>0</v>
      </c>
      <c r="AX245" s="522">
        <f t="shared" si="118"/>
        <v>0</v>
      </c>
    </row>
    <row r="246" spans="1:50" x14ac:dyDescent="0.2">
      <c r="A246" s="586"/>
      <c r="B246" s="586"/>
      <c r="C246" s="586"/>
      <c r="D246" s="586"/>
      <c r="E246" s="586"/>
      <c r="F246" s="586"/>
      <c r="G246" s="586"/>
      <c r="H246" s="586"/>
      <c r="I246" s="586"/>
      <c r="J246" s="586"/>
      <c r="K246" s="586"/>
      <c r="L246" s="586"/>
      <c r="M246" s="586"/>
      <c r="N246" s="164"/>
      <c r="O246" s="164"/>
      <c r="P246" s="164"/>
      <c r="Q246" s="164"/>
      <c r="R246" s="164"/>
      <c r="S246" s="164"/>
      <c r="T246" s="164"/>
      <c r="V246" s="98"/>
      <c r="W246" s="98"/>
      <c r="X246" s="98"/>
      <c r="Y246" s="669"/>
      <c r="Z246" s="669"/>
      <c r="AA246" s="669"/>
      <c r="AB246" s="669"/>
      <c r="AC246" s="669"/>
      <c r="AD246" s="521"/>
      <c r="AE246" s="338"/>
      <c r="AF246" s="338"/>
      <c r="AG246" s="338"/>
      <c r="AH246" s="338"/>
      <c r="AI246" s="338"/>
      <c r="AJ246" s="522"/>
      <c r="AK246" s="521"/>
      <c r="AL246" s="338"/>
      <c r="AM246" s="338"/>
      <c r="AN246" s="338"/>
      <c r="AO246" s="338"/>
      <c r="AP246" s="338"/>
      <c r="AQ246" s="522"/>
      <c r="AR246" s="521"/>
      <c r="AS246" s="338"/>
      <c r="AT246" s="338"/>
      <c r="AU246" s="338"/>
      <c r="AV246" s="338"/>
      <c r="AW246" s="338"/>
      <c r="AX246" s="522"/>
    </row>
    <row r="247" spans="1:50" ht="15.75" x14ac:dyDescent="0.2">
      <c r="A247" s="353"/>
      <c r="B247" s="353"/>
      <c r="C247" s="353"/>
      <c r="D247" s="110" t="s">
        <v>954</v>
      </c>
      <c r="E247" s="110"/>
      <c r="F247" s="154"/>
      <c r="G247" s="154"/>
      <c r="H247" s="154"/>
      <c r="I247" s="154"/>
      <c r="J247" s="154"/>
      <c r="K247" s="154"/>
      <c r="L247" s="154"/>
      <c r="M247" s="154"/>
      <c r="N247" s="154"/>
      <c r="O247" s="154"/>
      <c r="P247" s="154"/>
      <c r="Q247" s="154"/>
      <c r="R247" s="154"/>
      <c r="S247" s="154"/>
      <c r="T247" s="154"/>
      <c r="V247" s="679"/>
      <c r="W247" s="679"/>
      <c r="X247" s="679"/>
      <c r="Y247" s="679"/>
      <c r="Z247" s="679"/>
      <c r="AA247" s="679"/>
      <c r="AB247" s="679"/>
      <c r="AC247" s="679"/>
      <c r="AD247" s="521"/>
      <c r="AE247" s="338">
        <f t="shared" ref="AE247:AJ248" si="122">IF(OR(ScriptSourceCode=1,ScriptSourceCode=3),IF($AB261&lt;&gt;0,ROUND(AD261*INDEX(PxTxPhase1,$AB261,8),0),0),0)</f>
        <v>0</v>
      </c>
      <c r="AF247" s="338">
        <f t="shared" si="122"/>
        <v>0</v>
      </c>
      <c r="AG247" s="338">
        <f t="shared" si="122"/>
        <v>0</v>
      </c>
      <c r="AH247" s="338">
        <f t="shared" si="122"/>
        <v>0</v>
      </c>
      <c r="AI247" s="338">
        <f t="shared" si="122"/>
        <v>0</v>
      </c>
      <c r="AJ247" s="522">
        <f t="shared" si="122"/>
        <v>0</v>
      </c>
      <c r="AK247" s="521"/>
      <c r="AL247" s="338">
        <f t="shared" ref="AL247:AQ248" si="123">IF(OR(ScriptSourceCode=1,ScriptSourceCode=3),IF($AB261&lt;&gt;0,ROUND(AK261*INDEX(PxTxPhase1,$AB261,8),0),0),0)</f>
        <v>0</v>
      </c>
      <c r="AM247" s="338">
        <f t="shared" si="123"/>
        <v>0</v>
      </c>
      <c r="AN247" s="338">
        <f t="shared" si="123"/>
        <v>0</v>
      </c>
      <c r="AO247" s="338">
        <f t="shared" si="123"/>
        <v>0</v>
      </c>
      <c r="AP247" s="338">
        <f t="shared" si="123"/>
        <v>0</v>
      </c>
      <c r="AQ247" s="522">
        <f t="shared" si="123"/>
        <v>0</v>
      </c>
      <c r="AR247" s="521"/>
      <c r="AS247" s="338">
        <f t="shared" si="113"/>
        <v>0</v>
      </c>
      <c r="AT247" s="338">
        <f t="shared" si="114"/>
        <v>0</v>
      </c>
      <c r="AU247" s="338">
        <f t="shared" si="115"/>
        <v>0</v>
      </c>
      <c r="AV247" s="338">
        <f t="shared" si="116"/>
        <v>0</v>
      </c>
      <c r="AW247" s="338">
        <f t="shared" si="117"/>
        <v>0</v>
      </c>
      <c r="AX247" s="522">
        <f t="shared" si="118"/>
        <v>0</v>
      </c>
    </row>
    <row r="248" spans="1:50" ht="13.5" outlineLevel="1" thickBot="1" x14ac:dyDescent="0.25">
      <c r="A248" s="149"/>
      <c r="B248" s="149"/>
      <c r="C248" s="149"/>
      <c r="D248" s="586"/>
      <c r="E248" s="586"/>
      <c r="F248" s="686"/>
      <c r="G248" s="149"/>
      <c r="H248" s="149"/>
      <c r="I248" s="149"/>
      <c r="J248" s="149"/>
      <c r="K248" s="149"/>
      <c r="L248" s="149"/>
      <c r="M248" s="149"/>
      <c r="N248" s="149"/>
      <c r="O248" s="149"/>
      <c r="P248" s="149"/>
      <c r="Q248" s="149"/>
      <c r="R248" s="149"/>
      <c r="S248" s="149"/>
      <c r="T248" s="149"/>
      <c r="V248" s="91"/>
      <c r="W248" s="91"/>
      <c r="X248" s="91"/>
      <c r="Y248" s="91"/>
      <c r="Z248" s="91"/>
      <c r="AA248" s="91"/>
      <c r="AB248" s="91"/>
      <c r="AC248" s="91"/>
      <c r="AD248" s="523"/>
      <c r="AE248" s="524">
        <f t="shared" si="122"/>
        <v>0</v>
      </c>
      <c r="AF248" s="524">
        <f t="shared" si="122"/>
        <v>0</v>
      </c>
      <c r="AG248" s="524">
        <f t="shared" si="122"/>
        <v>0</v>
      </c>
      <c r="AH248" s="524">
        <f t="shared" si="122"/>
        <v>0</v>
      </c>
      <c r="AI248" s="524">
        <f t="shared" si="122"/>
        <v>0</v>
      </c>
      <c r="AJ248" s="525">
        <f t="shared" si="122"/>
        <v>0</v>
      </c>
      <c r="AK248" s="523"/>
      <c r="AL248" s="524">
        <f t="shared" si="123"/>
        <v>0</v>
      </c>
      <c r="AM248" s="524">
        <f t="shared" si="123"/>
        <v>0</v>
      </c>
      <c r="AN248" s="524">
        <f t="shared" si="123"/>
        <v>0</v>
      </c>
      <c r="AO248" s="524">
        <f t="shared" si="123"/>
        <v>0</v>
      </c>
      <c r="AP248" s="524">
        <f t="shared" si="123"/>
        <v>0</v>
      </c>
      <c r="AQ248" s="525">
        <f t="shared" si="123"/>
        <v>0</v>
      </c>
      <c r="AR248" s="523"/>
      <c r="AS248" s="524">
        <f t="shared" si="113"/>
        <v>0</v>
      </c>
      <c r="AT248" s="524">
        <f t="shared" si="114"/>
        <v>0</v>
      </c>
      <c r="AU248" s="524">
        <f t="shared" si="115"/>
        <v>0</v>
      </c>
      <c r="AV248" s="524">
        <f t="shared" si="116"/>
        <v>0</v>
      </c>
      <c r="AW248" s="524">
        <f t="shared" si="117"/>
        <v>0</v>
      </c>
      <c r="AX248" s="525">
        <f t="shared" si="118"/>
        <v>0</v>
      </c>
    </row>
    <row r="249" spans="1:50" outlineLevel="1" x14ac:dyDescent="0.2">
      <c r="A249" s="149"/>
      <c r="B249" s="149"/>
      <c r="C249" s="149"/>
      <c r="D249" s="586" t="s">
        <v>927</v>
      </c>
      <c r="E249" s="586"/>
      <c r="F249" s="686"/>
      <c r="G249" s="149"/>
      <c r="H249" s="149"/>
      <c r="I249" s="149"/>
      <c r="J249" s="149"/>
      <c r="K249" s="149"/>
      <c r="L249" s="149"/>
      <c r="M249" s="149"/>
      <c r="N249" s="149"/>
      <c r="O249" s="149"/>
      <c r="P249" s="149"/>
      <c r="Q249" s="149"/>
      <c r="R249" s="149"/>
      <c r="S249" s="149"/>
      <c r="T249" s="149"/>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row>
    <row r="250" spans="1:50" outlineLevel="1" x14ac:dyDescent="0.2">
      <c r="A250" s="149"/>
      <c r="B250" s="149"/>
      <c r="C250" s="149"/>
      <c r="D250" s="586" t="s">
        <v>266</v>
      </c>
      <c r="E250" s="586"/>
      <c r="F250" s="686"/>
      <c r="G250" s="149"/>
      <c r="H250" s="149"/>
      <c r="I250" s="149"/>
      <c r="J250" s="149"/>
      <c r="K250" s="149"/>
      <c r="L250" s="149"/>
      <c r="M250" s="149"/>
      <c r="N250" s="149"/>
      <c r="O250" s="149"/>
      <c r="Q250" s="149"/>
      <c r="R250" s="149"/>
      <c r="S250" s="149"/>
      <c r="T250" s="149"/>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row>
    <row r="251" spans="1:50" outlineLevel="1" x14ac:dyDescent="0.2">
      <c r="A251" s="149"/>
      <c r="B251" s="149"/>
      <c r="C251" s="149"/>
      <c r="D251" s="586"/>
      <c r="E251" s="586"/>
      <c r="F251" s="686"/>
      <c r="G251" s="149"/>
      <c r="H251" s="149"/>
      <c r="I251" s="149"/>
      <c r="J251" s="149"/>
      <c r="K251" s="149"/>
      <c r="L251" s="149"/>
      <c r="M251" s="149"/>
      <c r="N251" s="149"/>
      <c r="O251" s="149"/>
      <c r="P251" s="149"/>
      <c r="Q251" s="149"/>
      <c r="R251" s="149"/>
      <c r="S251" s="149"/>
      <c r="T251" s="149"/>
      <c r="V251" s="91"/>
      <c r="W251" s="91"/>
      <c r="X251" s="91"/>
      <c r="Y251" s="91"/>
      <c r="Z251" s="91"/>
      <c r="AA251" s="91"/>
      <c r="AB251" s="91"/>
      <c r="AC251" s="91"/>
      <c r="AD251" s="83">
        <v>1</v>
      </c>
      <c r="AE251" s="83">
        <v>2</v>
      </c>
      <c r="AF251" s="83">
        <v>3</v>
      </c>
      <c r="AG251" s="83">
        <v>4</v>
      </c>
      <c r="AH251" s="83">
        <v>5</v>
      </c>
      <c r="AI251" s="83">
        <v>6</v>
      </c>
      <c r="AJ251" s="83">
        <v>1</v>
      </c>
      <c r="AK251" s="83">
        <v>2</v>
      </c>
      <c r="AL251" s="83">
        <v>3</v>
      </c>
      <c r="AM251" s="83">
        <v>4</v>
      </c>
      <c r="AN251" s="83">
        <v>5</v>
      </c>
      <c r="AO251" s="83">
        <v>6</v>
      </c>
      <c r="AP251" s="91"/>
      <c r="AQ251" s="91"/>
      <c r="AR251" s="91"/>
      <c r="AS251" s="91"/>
      <c r="AT251" s="91"/>
      <c r="AU251" s="91"/>
    </row>
    <row r="252" spans="1:50" ht="38.25" outlineLevel="1" x14ac:dyDescent="0.2">
      <c r="A252" s="149"/>
      <c r="B252" s="149"/>
      <c r="C252" s="149"/>
      <c r="D252" s="90" t="s">
        <v>342</v>
      </c>
      <c r="E252" s="854" t="s">
        <v>881</v>
      </c>
      <c r="F252" s="855"/>
      <c r="G252" s="90" t="s">
        <v>35</v>
      </c>
      <c r="H252" s="90" t="s">
        <v>78</v>
      </c>
      <c r="I252" s="90" t="s">
        <v>477</v>
      </c>
      <c r="J252" s="90" t="s">
        <v>79</v>
      </c>
      <c r="K252" s="90" t="s">
        <v>817</v>
      </c>
      <c r="L252" s="90" t="s">
        <v>167</v>
      </c>
      <c r="M252" s="90" t="s">
        <v>144</v>
      </c>
      <c r="N252" s="90" t="s">
        <v>145</v>
      </c>
      <c r="O252" s="90" t="s">
        <v>267</v>
      </c>
      <c r="P252" s="716" t="str">
        <f>"Scheduled fee (" &amp; MBSRebateRate &amp; ")"</f>
        <v>Scheduled fee (0.8)</v>
      </c>
      <c r="Q252" s="90" t="s">
        <v>57</v>
      </c>
      <c r="R252" s="90" t="s">
        <v>404</v>
      </c>
      <c r="S252" s="90" t="s">
        <v>463</v>
      </c>
      <c r="T252" s="90" t="s">
        <v>469</v>
      </c>
      <c r="V252" s="335" t="s">
        <v>343</v>
      </c>
      <c r="W252" s="335" t="s">
        <v>344</v>
      </c>
      <c r="X252" s="335" t="s">
        <v>345</v>
      </c>
      <c r="Y252" s="335" t="s">
        <v>326</v>
      </c>
      <c r="Z252" s="687" t="s">
        <v>292</v>
      </c>
      <c r="AA252" s="687" t="s">
        <v>52</v>
      </c>
      <c r="AB252" s="687" t="s">
        <v>381</v>
      </c>
      <c r="AC252" s="335" t="s">
        <v>468</v>
      </c>
      <c r="AD252" s="335">
        <f>FirstYear</f>
        <v>0</v>
      </c>
      <c r="AE252" s="335">
        <f>AD252+1</f>
        <v>1</v>
      </c>
      <c r="AF252" s="335">
        <f>AE252+1</f>
        <v>2</v>
      </c>
      <c r="AG252" s="335">
        <f>AF252+1</f>
        <v>3</v>
      </c>
      <c r="AH252" s="335">
        <f>AG252+1</f>
        <v>4</v>
      </c>
      <c r="AI252" s="335">
        <f>AH252+1</f>
        <v>5</v>
      </c>
      <c r="AJ252" s="335">
        <f>FirstYear</f>
        <v>0</v>
      </c>
      <c r="AK252" s="335">
        <f>AJ252+1</f>
        <v>1</v>
      </c>
      <c r="AL252" s="335">
        <f>AK252+1</f>
        <v>2</v>
      </c>
      <c r="AM252" s="335">
        <f>AL252+1</f>
        <v>3</v>
      </c>
      <c r="AN252" s="335">
        <f>AM252+1</f>
        <v>4</v>
      </c>
      <c r="AO252" s="335">
        <f>AN252+1</f>
        <v>5</v>
      </c>
      <c r="AP252" s="91"/>
      <c r="AQ252" s="91"/>
      <c r="AR252" s="91"/>
      <c r="AS252" s="91"/>
      <c r="AT252" s="91"/>
      <c r="AU252" s="91"/>
    </row>
    <row r="253" spans="1:50" ht="14.25" customHeight="1" outlineLevel="1" x14ac:dyDescent="0.2">
      <c r="A253" s="149"/>
      <c r="B253" s="149"/>
      <c r="C253" s="352">
        <v>1</v>
      </c>
      <c r="D253" s="708"/>
      <c r="E253" s="800"/>
      <c r="F253" s="787"/>
      <c r="G253" s="69" t="str">
        <f t="shared" ref="G253:G262" si="124">IF(K253&lt;&gt;"",INDEX(ServiceSplitPublic,K253),"")</f>
        <v/>
      </c>
      <c r="H253" s="69" t="str">
        <f t="shared" ref="H253:H262" si="125">IF(K253&lt;&gt;"",INDEX(ServiceSplitPrivate,K253),"")</f>
        <v/>
      </c>
      <c r="I253" s="233"/>
      <c r="J253" s="69" t="str">
        <f t="shared" ref="J253:J262" si="126">IF(I253&lt;&gt;"",1-I253,"")</f>
        <v/>
      </c>
      <c r="K253" s="496"/>
      <c r="L253" s="496"/>
      <c r="M253" s="705"/>
      <c r="N253" s="705"/>
      <c r="O253" s="706"/>
      <c r="P253" s="719">
        <f t="shared" ref="P253:P262" si="127">O253*MBSRebateRate</f>
        <v>0</v>
      </c>
      <c r="Q253" s="707"/>
      <c r="R253" s="355"/>
      <c r="S253" s="707"/>
      <c r="T253" s="708"/>
      <c r="V253" s="83">
        <f>IF(ScriptSourceCode=1,1,-11)</f>
        <v>-11</v>
      </c>
      <c r="W253" s="83">
        <f t="shared" ref="W253:W262" si="128">IF(K253="Per patient",1,IF(K253="Per script",2,0))</f>
        <v>0</v>
      </c>
      <c r="X253" s="95" t="str">
        <f t="shared" ref="X253:X262" si="129">IF(INDEX(MBSItemsDec,C253,1)&lt;&gt;"",INDEX(MBSItemsDec,C253,1) &amp; " - " &amp; INDEX(MBSItemsDec,C253,2),MsgNotUsed)</f>
        <v>** NOT USED **</v>
      </c>
      <c r="Y253" s="106">
        <f t="shared" ref="Y253:Y262" si="130">IF(Q253&lt;&gt;"",VLOOKUP(Q253,TPShortCode,2,FALSE),0)</f>
        <v>0</v>
      </c>
      <c r="Z253" s="598">
        <f t="shared" ref="Z253:Z262" si="131">IF(S253&lt;&gt;"",MATCH(S253,PxTxSource,0)-1,0)</f>
        <v>0</v>
      </c>
      <c r="AA253" s="598">
        <f ca="1">IF(T253&lt;&gt;"",MATCH(T253,OFFSET(References!$AB$23,0,Z253,PxTxCount),0),0)</f>
        <v>0</v>
      </c>
      <c r="AB253" s="598">
        <f t="shared" ref="AB253:AB262" ca="1" si="132">(Z253*PxTxCount)+AA253</f>
        <v>0</v>
      </c>
      <c r="AC253" s="346" t="e">
        <f ca="1">OFFSET(References!$AB$23,0,$Z$253,INDEX(PxTxValid,,$Z$253+1))</f>
        <v>#REF!</v>
      </c>
      <c r="AD253" s="338">
        <f t="shared" ref="AD253:AI262" ca="1" si="133">IF($AB253&lt;&gt;0,INDEX(PxTxPhase1,$AB253,AD$251),0)</f>
        <v>0</v>
      </c>
      <c r="AE253" s="338">
        <f t="shared" ca="1" si="133"/>
        <v>0</v>
      </c>
      <c r="AF253" s="338">
        <f t="shared" ca="1" si="133"/>
        <v>0</v>
      </c>
      <c r="AG253" s="338">
        <f t="shared" ca="1" si="133"/>
        <v>0</v>
      </c>
      <c r="AH253" s="338">
        <f t="shared" ca="1" si="133"/>
        <v>0</v>
      </c>
      <c r="AI253" s="338">
        <f t="shared" ca="1" si="133"/>
        <v>0</v>
      </c>
      <c r="AJ253" s="338">
        <f t="shared" ref="AJ253:AO262" ca="1" si="134">IF($AB253&lt;&gt;0,INDEX(PxTxPhase2,$AB253,AJ$251),0)</f>
        <v>0</v>
      </c>
      <c r="AK253" s="338">
        <f t="shared" ca="1" si="134"/>
        <v>0</v>
      </c>
      <c r="AL253" s="338">
        <f t="shared" ca="1" si="134"/>
        <v>0</v>
      </c>
      <c r="AM253" s="338">
        <f t="shared" ca="1" si="134"/>
        <v>0</v>
      </c>
      <c r="AN253" s="338">
        <f t="shared" ca="1" si="134"/>
        <v>0</v>
      </c>
      <c r="AO253" s="338">
        <f t="shared" ca="1" si="134"/>
        <v>0</v>
      </c>
      <c r="AP253" s="91"/>
      <c r="AQ253" s="91"/>
      <c r="AR253" s="91"/>
      <c r="AS253" s="91"/>
      <c r="AT253" s="91"/>
      <c r="AU253" s="91"/>
    </row>
    <row r="254" spans="1:50" ht="14.25" customHeight="1" outlineLevel="1" x14ac:dyDescent="0.2">
      <c r="A254" s="149"/>
      <c r="B254" s="149"/>
      <c r="C254" s="352">
        <v>2</v>
      </c>
      <c r="D254" s="708"/>
      <c r="E254" s="800"/>
      <c r="F254" s="787"/>
      <c r="G254" s="69" t="str">
        <f t="shared" si="124"/>
        <v/>
      </c>
      <c r="H254" s="69" t="str">
        <f t="shared" si="125"/>
        <v/>
      </c>
      <c r="I254" s="233"/>
      <c r="J254" s="69" t="str">
        <f t="shared" si="126"/>
        <v/>
      </c>
      <c r="K254" s="496"/>
      <c r="L254" s="496"/>
      <c r="M254" s="705"/>
      <c r="N254" s="705"/>
      <c r="O254" s="706"/>
      <c r="P254" s="719">
        <f t="shared" si="127"/>
        <v>0</v>
      </c>
      <c r="Q254" s="707"/>
      <c r="R254" s="355"/>
      <c r="S254" s="707"/>
      <c r="T254" s="708"/>
      <c r="V254" s="83">
        <f>V253</f>
        <v>-11</v>
      </c>
      <c r="W254" s="83">
        <f t="shared" si="128"/>
        <v>0</v>
      </c>
      <c r="X254" s="95" t="str">
        <f t="shared" si="129"/>
        <v>** NOT USED **</v>
      </c>
      <c r="Y254" s="106">
        <f t="shared" si="130"/>
        <v>0</v>
      </c>
      <c r="Z254" s="598">
        <f t="shared" si="131"/>
        <v>0</v>
      </c>
      <c r="AA254" s="598">
        <f ca="1">IF(T254&lt;&gt;"",MATCH(T254,OFFSET(References!$AB$23,0,Z254,PxTxCount),0),0)</f>
        <v>0</v>
      </c>
      <c r="AB254" s="598">
        <f t="shared" ca="1" si="132"/>
        <v>0</v>
      </c>
      <c r="AC254" s="346" t="e">
        <f ca="1">OFFSET(References!$AB$23,0,Z254,INDEX(PxTxValid,,Z254+1))</f>
        <v>#REF!</v>
      </c>
      <c r="AD254" s="338">
        <f t="shared" ca="1" si="133"/>
        <v>0</v>
      </c>
      <c r="AE254" s="338">
        <f t="shared" ca="1" si="133"/>
        <v>0</v>
      </c>
      <c r="AF254" s="338">
        <f t="shared" ca="1" si="133"/>
        <v>0</v>
      </c>
      <c r="AG254" s="338">
        <f t="shared" ca="1" si="133"/>
        <v>0</v>
      </c>
      <c r="AH254" s="338">
        <f t="shared" ca="1" si="133"/>
        <v>0</v>
      </c>
      <c r="AI254" s="338">
        <f t="shared" ca="1" si="133"/>
        <v>0</v>
      </c>
      <c r="AJ254" s="338">
        <f t="shared" ca="1" si="134"/>
        <v>0</v>
      </c>
      <c r="AK254" s="338">
        <f t="shared" ca="1" si="134"/>
        <v>0</v>
      </c>
      <c r="AL254" s="338">
        <f t="shared" ca="1" si="134"/>
        <v>0</v>
      </c>
      <c r="AM254" s="338">
        <f t="shared" ca="1" si="134"/>
        <v>0</v>
      </c>
      <c r="AN254" s="338">
        <f t="shared" ca="1" si="134"/>
        <v>0</v>
      </c>
      <c r="AO254" s="338">
        <f t="shared" ca="1" si="134"/>
        <v>0</v>
      </c>
      <c r="AP254" s="91"/>
      <c r="AQ254" s="91"/>
      <c r="AR254" s="91"/>
      <c r="AS254" s="91"/>
      <c r="AT254" s="91"/>
      <c r="AU254" s="91"/>
    </row>
    <row r="255" spans="1:50" ht="14.25" customHeight="1" outlineLevel="1" x14ac:dyDescent="0.2">
      <c r="A255" s="149"/>
      <c r="B255" s="149"/>
      <c r="C255" s="352">
        <v>3</v>
      </c>
      <c r="D255" s="708"/>
      <c r="E255" s="800"/>
      <c r="F255" s="787"/>
      <c r="G255" s="69" t="str">
        <f t="shared" si="124"/>
        <v/>
      </c>
      <c r="H255" s="69" t="str">
        <f t="shared" si="125"/>
        <v/>
      </c>
      <c r="I255" s="233"/>
      <c r="J255" s="69" t="str">
        <f t="shared" si="126"/>
        <v/>
      </c>
      <c r="K255" s="496"/>
      <c r="L255" s="496"/>
      <c r="M255" s="705"/>
      <c r="N255" s="705"/>
      <c r="O255" s="706"/>
      <c r="P255" s="719">
        <f t="shared" si="127"/>
        <v>0</v>
      </c>
      <c r="Q255" s="707"/>
      <c r="R255" s="355"/>
      <c r="S255" s="707"/>
      <c r="T255" s="708"/>
      <c r="V255" s="83">
        <f t="shared" ref="V255:V262" si="135">V254</f>
        <v>-11</v>
      </c>
      <c r="W255" s="83">
        <f t="shared" si="128"/>
        <v>0</v>
      </c>
      <c r="X255" s="95" t="str">
        <f t="shared" si="129"/>
        <v>** NOT USED **</v>
      </c>
      <c r="Y255" s="106">
        <f t="shared" si="130"/>
        <v>0</v>
      </c>
      <c r="Z255" s="598">
        <f t="shared" si="131"/>
        <v>0</v>
      </c>
      <c r="AA255" s="598">
        <f ca="1">IF(T255&lt;&gt;"",MATCH(T255,OFFSET(References!$AB$23,0,Z255,PxTxCount),0),0)</f>
        <v>0</v>
      </c>
      <c r="AB255" s="598">
        <f t="shared" ca="1" si="132"/>
        <v>0</v>
      </c>
      <c r="AC255" s="346" t="e">
        <f ca="1">OFFSET(References!$AB$23,0,Z255,INDEX(PxTxValid,,Z255+1))</f>
        <v>#REF!</v>
      </c>
      <c r="AD255" s="338">
        <f t="shared" ca="1" si="133"/>
        <v>0</v>
      </c>
      <c r="AE255" s="338">
        <f t="shared" ca="1" si="133"/>
        <v>0</v>
      </c>
      <c r="AF255" s="338">
        <f t="shared" ca="1" si="133"/>
        <v>0</v>
      </c>
      <c r="AG255" s="338">
        <f t="shared" ca="1" si="133"/>
        <v>0</v>
      </c>
      <c r="AH255" s="338">
        <f t="shared" ca="1" si="133"/>
        <v>0</v>
      </c>
      <c r="AI255" s="338">
        <f t="shared" ca="1" si="133"/>
        <v>0</v>
      </c>
      <c r="AJ255" s="338">
        <f t="shared" ca="1" si="134"/>
        <v>0</v>
      </c>
      <c r="AK255" s="338">
        <f t="shared" ca="1" si="134"/>
        <v>0</v>
      </c>
      <c r="AL255" s="338">
        <f t="shared" ca="1" si="134"/>
        <v>0</v>
      </c>
      <c r="AM255" s="338">
        <f t="shared" ca="1" si="134"/>
        <v>0</v>
      </c>
      <c r="AN255" s="338">
        <f t="shared" ca="1" si="134"/>
        <v>0</v>
      </c>
      <c r="AO255" s="338">
        <f t="shared" ca="1" si="134"/>
        <v>0</v>
      </c>
      <c r="AP255" s="91"/>
      <c r="AQ255" s="91"/>
      <c r="AR255" s="91"/>
      <c r="AS255" s="91"/>
      <c r="AT255" s="91"/>
      <c r="AU255" s="91"/>
    </row>
    <row r="256" spans="1:50" ht="14.25" customHeight="1" outlineLevel="1" x14ac:dyDescent="0.2">
      <c r="A256" s="149"/>
      <c r="B256" s="149"/>
      <c r="C256" s="352">
        <v>4</v>
      </c>
      <c r="D256" s="708"/>
      <c r="E256" s="800"/>
      <c r="F256" s="787"/>
      <c r="G256" s="69" t="str">
        <f t="shared" si="124"/>
        <v/>
      </c>
      <c r="H256" s="69" t="str">
        <f t="shared" si="125"/>
        <v/>
      </c>
      <c r="I256" s="233"/>
      <c r="J256" s="69" t="str">
        <f t="shared" si="126"/>
        <v/>
      </c>
      <c r="K256" s="496"/>
      <c r="L256" s="496"/>
      <c r="M256" s="705"/>
      <c r="N256" s="705"/>
      <c r="O256" s="706"/>
      <c r="P256" s="719">
        <f t="shared" si="127"/>
        <v>0</v>
      </c>
      <c r="Q256" s="707"/>
      <c r="R256" s="355"/>
      <c r="S256" s="707"/>
      <c r="T256" s="708"/>
      <c r="V256" s="83">
        <f t="shared" si="135"/>
        <v>-11</v>
      </c>
      <c r="W256" s="83">
        <f t="shared" si="128"/>
        <v>0</v>
      </c>
      <c r="X256" s="95" t="str">
        <f t="shared" si="129"/>
        <v>** NOT USED **</v>
      </c>
      <c r="Y256" s="106">
        <f t="shared" si="130"/>
        <v>0</v>
      </c>
      <c r="Z256" s="598">
        <f t="shared" si="131"/>
        <v>0</v>
      </c>
      <c r="AA256" s="598">
        <f ca="1">IF(T256&lt;&gt;"",MATCH(T256,OFFSET(References!$AB$23,0,Z256,PxTxCount),0),0)</f>
        <v>0</v>
      </c>
      <c r="AB256" s="598">
        <f t="shared" ca="1" si="132"/>
        <v>0</v>
      </c>
      <c r="AC256" s="346" t="e">
        <f ca="1">OFFSET(References!$AB$23,0,Z256,INDEX(PxTxValid,,Z256+1))</f>
        <v>#REF!</v>
      </c>
      <c r="AD256" s="338">
        <f t="shared" ca="1" si="133"/>
        <v>0</v>
      </c>
      <c r="AE256" s="338">
        <f t="shared" ca="1" si="133"/>
        <v>0</v>
      </c>
      <c r="AF256" s="338">
        <f t="shared" ca="1" si="133"/>
        <v>0</v>
      </c>
      <c r="AG256" s="338">
        <f t="shared" ca="1" si="133"/>
        <v>0</v>
      </c>
      <c r="AH256" s="338">
        <f t="shared" ca="1" si="133"/>
        <v>0</v>
      </c>
      <c r="AI256" s="338">
        <f t="shared" ca="1" si="133"/>
        <v>0</v>
      </c>
      <c r="AJ256" s="338">
        <f t="shared" ca="1" si="134"/>
        <v>0</v>
      </c>
      <c r="AK256" s="338">
        <f t="shared" ca="1" si="134"/>
        <v>0</v>
      </c>
      <c r="AL256" s="338">
        <f t="shared" ca="1" si="134"/>
        <v>0</v>
      </c>
      <c r="AM256" s="338">
        <f t="shared" ca="1" si="134"/>
        <v>0</v>
      </c>
      <c r="AN256" s="338">
        <f t="shared" ca="1" si="134"/>
        <v>0</v>
      </c>
      <c r="AO256" s="338">
        <f t="shared" ca="1" si="134"/>
        <v>0</v>
      </c>
      <c r="AP256" s="91"/>
      <c r="AQ256" s="91"/>
      <c r="AR256" s="91"/>
      <c r="AS256" s="91"/>
      <c r="AT256" s="91"/>
      <c r="AU256" s="91"/>
    </row>
    <row r="257" spans="1:47" ht="14.25" customHeight="1" outlineLevel="1" x14ac:dyDescent="0.2">
      <c r="A257" s="149"/>
      <c r="B257" s="149"/>
      <c r="C257" s="352">
        <v>5</v>
      </c>
      <c r="D257" s="708"/>
      <c r="E257" s="800"/>
      <c r="F257" s="787"/>
      <c r="G257" s="69" t="str">
        <f t="shared" si="124"/>
        <v/>
      </c>
      <c r="H257" s="69" t="str">
        <f t="shared" si="125"/>
        <v/>
      </c>
      <c r="I257" s="233"/>
      <c r="J257" s="69" t="str">
        <f t="shared" si="126"/>
        <v/>
      </c>
      <c r="K257" s="496"/>
      <c r="L257" s="496"/>
      <c r="M257" s="705"/>
      <c r="N257" s="705"/>
      <c r="O257" s="706"/>
      <c r="P257" s="719">
        <f t="shared" si="127"/>
        <v>0</v>
      </c>
      <c r="Q257" s="707"/>
      <c r="R257" s="355"/>
      <c r="S257" s="707"/>
      <c r="T257" s="708"/>
      <c r="V257" s="83">
        <f t="shared" si="135"/>
        <v>-11</v>
      </c>
      <c r="W257" s="83">
        <f t="shared" si="128"/>
        <v>0</v>
      </c>
      <c r="X257" s="95" t="str">
        <f t="shared" si="129"/>
        <v>** NOT USED **</v>
      </c>
      <c r="Y257" s="106">
        <f t="shared" si="130"/>
        <v>0</v>
      </c>
      <c r="Z257" s="598">
        <f t="shared" si="131"/>
        <v>0</v>
      </c>
      <c r="AA257" s="598">
        <f ca="1">IF(T257&lt;&gt;"",MATCH(T257,OFFSET(References!$AB$23,0,Z257,PxTxCount),0),0)</f>
        <v>0</v>
      </c>
      <c r="AB257" s="598">
        <f t="shared" ca="1" si="132"/>
        <v>0</v>
      </c>
      <c r="AC257" s="346" t="e">
        <f ca="1">OFFSET(References!$AB$23,0,Z257,INDEX(PxTxValid,,Z257+1))</f>
        <v>#REF!</v>
      </c>
      <c r="AD257" s="338">
        <f t="shared" ca="1" si="133"/>
        <v>0</v>
      </c>
      <c r="AE257" s="338">
        <f t="shared" ca="1" si="133"/>
        <v>0</v>
      </c>
      <c r="AF257" s="338">
        <f t="shared" ca="1" si="133"/>
        <v>0</v>
      </c>
      <c r="AG257" s="338">
        <f t="shared" ca="1" si="133"/>
        <v>0</v>
      </c>
      <c r="AH257" s="338">
        <f t="shared" ca="1" si="133"/>
        <v>0</v>
      </c>
      <c r="AI257" s="338">
        <f t="shared" ca="1" si="133"/>
        <v>0</v>
      </c>
      <c r="AJ257" s="338">
        <f t="shared" ca="1" si="134"/>
        <v>0</v>
      </c>
      <c r="AK257" s="338">
        <f t="shared" ca="1" si="134"/>
        <v>0</v>
      </c>
      <c r="AL257" s="338">
        <f t="shared" ca="1" si="134"/>
        <v>0</v>
      </c>
      <c r="AM257" s="338">
        <f t="shared" ca="1" si="134"/>
        <v>0</v>
      </c>
      <c r="AN257" s="338">
        <f t="shared" ca="1" si="134"/>
        <v>0</v>
      </c>
      <c r="AO257" s="338">
        <f t="shared" ca="1" si="134"/>
        <v>0</v>
      </c>
      <c r="AP257" s="91"/>
      <c r="AQ257" s="91"/>
      <c r="AR257" s="91"/>
      <c r="AS257" s="91"/>
      <c r="AT257" s="91"/>
      <c r="AU257" s="91"/>
    </row>
    <row r="258" spans="1:47" ht="14.25" customHeight="1" outlineLevel="1" x14ac:dyDescent="0.2">
      <c r="A258" s="149"/>
      <c r="B258" s="149"/>
      <c r="C258" s="352">
        <v>6</v>
      </c>
      <c r="D258" s="708"/>
      <c r="E258" s="800"/>
      <c r="F258" s="787"/>
      <c r="G258" s="69" t="str">
        <f t="shared" si="124"/>
        <v/>
      </c>
      <c r="H258" s="69" t="str">
        <f t="shared" si="125"/>
        <v/>
      </c>
      <c r="I258" s="233"/>
      <c r="J258" s="69" t="str">
        <f t="shared" si="126"/>
        <v/>
      </c>
      <c r="K258" s="496"/>
      <c r="L258" s="496"/>
      <c r="M258" s="705"/>
      <c r="N258" s="705"/>
      <c r="O258" s="706"/>
      <c r="P258" s="719">
        <f t="shared" si="127"/>
        <v>0</v>
      </c>
      <c r="Q258" s="707"/>
      <c r="R258" s="355"/>
      <c r="S258" s="707"/>
      <c r="T258" s="708"/>
      <c r="V258" s="83">
        <f t="shared" si="135"/>
        <v>-11</v>
      </c>
      <c r="W258" s="83">
        <f t="shared" si="128"/>
        <v>0</v>
      </c>
      <c r="X258" s="95" t="str">
        <f t="shared" si="129"/>
        <v>** NOT USED **</v>
      </c>
      <c r="Y258" s="106">
        <f t="shared" si="130"/>
        <v>0</v>
      </c>
      <c r="Z258" s="598">
        <f t="shared" si="131"/>
        <v>0</v>
      </c>
      <c r="AA258" s="598">
        <f ca="1">IF(T258&lt;&gt;"",MATCH(T258,OFFSET(References!$AB$23,0,Z258,PxTxCount),0),0)</f>
        <v>0</v>
      </c>
      <c r="AB258" s="598">
        <f t="shared" ca="1" si="132"/>
        <v>0</v>
      </c>
      <c r="AC258" s="346" t="e">
        <f ca="1">OFFSET(References!$AB$23,0,Z258,INDEX(PxTxValid,,Z258+1))</f>
        <v>#REF!</v>
      </c>
      <c r="AD258" s="338">
        <f t="shared" ca="1" si="133"/>
        <v>0</v>
      </c>
      <c r="AE258" s="338">
        <f t="shared" ca="1" si="133"/>
        <v>0</v>
      </c>
      <c r="AF258" s="338">
        <f t="shared" ca="1" si="133"/>
        <v>0</v>
      </c>
      <c r="AG258" s="338">
        <f t="shared" ca="1" si="133"/>
        <v>0</v>
      </c>
      <c r="AH258" s="338">
        <f t="shared" ca="1" si="133"/>
        <v>0</v>
      </c>
      <c r="AI258" s="338">
        <f t="shared" ca="1" si="133"/>
        <v>0</v>
      </c>
      <c r="AJ258" s="338">
        <f t="shared" ca="1" si="134"/>
        <v>0</v>
      </c>
      <c r="AK258" s="338">
        <f t="shared" ca="1" si="134"/>
        <v>0</v>
      </c>
      <c r="AL258" s="338">
        <f t="shared" ca="1" si="134"/>
        <v>0</v>
      </c>
      <c r="AM258" s="338">
        <f t="shared" ca="1" si="134"/>
        <v>0</v>
      </c>
      <c r="AN258" s="338">
        <f t="shared" ca="1" si="134"/>
        <v>0</v>
      </c>
      <c r="AO258" s="338">
        <f t="shared" ca="1" si="134"/>
        <v>0</v>
      </c>
      <c r="AP258" s="91"/>
      <c r="AQ258" s="91"/>
      <c r="AR258" s="91"/>
      <c r="AS258" s="91"/>
      <c r="AT258" s="91"/>
      <c r="AU258" s="91"/>
    </row>
    <row r="259" spans="1:47" ht="14.25" customHeight="1" outlineLevel="1" x14ac:dyDescent="0.2">
      <c r="A259" s="149"/>
      <c r="B259" s="149"/>
      <c r="C259" s="352">
        <v>7</v>
      </c>
      <c r="D259" s="708"/>
      <c r="E259" s="800"/>
      <c r="F259" s="787"/>
      <c r="G259" s="69" t="str">
        <f t="shared" si="124"/>
        <v/>
      </c>
      <c r="H259" s="69" t="str">
        <f t="shared" si="125"/>
        <v/>
      </c>
      <c r="I259" s="233"/>
      <c r="J259" s="69" t="str">
        <f t="shared" si="126"/>
        <v/>
      </c>
      <c r="K259" s="496"/>
      <c r="L259" s="496"/>
      <c r="M259" s="705"/>
      <c r="N259" s="705"/>
      <c r="O259" s="706"/>
      <c r="P259" s="719">
        <f t="shared" si="127"/>
        <v>0</v>
      </c>
      <c r="Q259" s="707"/>
      <c r="R259" s="355"/>
      <c r="S259" s="707"/>
      <c r="T259" s="708"/>
      <c r="V259" s="83">
        <f t="shared" si="135"/>
        <v>-11</v>
      </c>
      <c r="W259" s="83">
        <f t="shared" si="128"/>
        <v>0</v>
      </c>
      <c r="X259" s="95" t="str">
        <f t="shared" si="129"/>
        <v>** NOT USED **</v>
      </c>
      <c r="Y259" s="106">
        <f t="shared" si="130"/>
        <v>0</v>
      </c>
      <c r="Z259" s="598">
        <f t="shared" si="131"/>
        <v>0</v>
      </c>
      <c r="AA259" s="598">
        <f ca="1">IF(T259&lt;&gt;"",MATCH(T259,OFFSET(References!$AB$23,0,Z259,PxTxCount),0),0)</f>
        <v>0</v>
      </c>
      <c r="AB259" s="598">
        <f t="shared" ca="1" si="132"/>
        <v>0</v>
      </c>
      <c r="AC259" s="346" t="e">
        <f ca="1">OFFSET(References!$AB$23,0,Z259,INDEX(PxTxValid,,Z259+1))</f>
        <v>#REF!</v>
      </c>
      <c r="AD259" s="338">
        <f t="shared" ca="1" si="133"/>
        <v>0</v>
      </c>
      <c r="AE259" s="338">
        <f t="shared" ca="1" si="133"/>
        <v>0</v>
      </c>
      <c r="AF259" s="338">
        <f t="shared" ca="1" si="133"/>
        <v>0</v>
      </c>
      <c r="AG259" s="338">
        <f t="shared" ca="1" si="133"/>
        <v>0</v>
      </c>
      <c r="AH259" s="338">
        <f t="shared" ca="1" si="133"/>
        <v>0</v>
      </c>
      <c r="AI259" s="338">
        <f t="shared" ca="1" si="133"/>
        <v>0</v>
      </c>
      <c r="AJ259" s="338">
        <f t="shared" ca="1" si="134"/>
        <v>0</v>
      </c>
      <c r="AK259" s="338">
        <f t="shared" ca="1" si="134"/>
        <v>0</v>
      </c>
      <c r="AL259" s="338">
        <f t="shared" ca="1" si="134"/>
        <v>0</v>
      </c>
      <c r="AM259" s="338">
        <f t="shared" ca="1" si="134"/>
        <v>0</v>
      </c>
      <c r="AN259" s="338">
        <f t="shared" ca="1" si="134"/>
        <v>0</v>
      </c>
      <c r="AO259" s="338">
        <f t="shared" ca="1" si="134"/>
        <v>0</v>
      </c>
      <c r="AP259" s="91"/>
      <c r="AQ259" s="91"/>
      <c r="AR259" s="91"/>
      <c r="AS259" s="91"/>
      <c r="AT259" s="91"/>
      <c r="AU259" s="91"/>
    </row>
    <row r="260" spans="1:47" ht="14.25" customHeight="1" outlineLevel="1" x14ac:dyDescent="0.2">
      <c r="A260" s="149"/>
      <c r="B260" s="149"/>
      <c r="C260" s="352">
        <v>8</v>
      </c>
      <c r="D260" s="708"/>
      <c r="E260" s="800"/>
      <c r="F260" s="787"/>
      <c r="G260" s="69" t="str">
        <f t="shared" si="124"/>
        <v/>
      </c>
      <c r="H260" s="69" t="str">
        <f t="shared" si="125"/>
        <v/>
      </c>
      <c r="I260" s="233"/>
      <c r="J260" s="69" t="str">
        <f t="shared" si="126"/>
        <v/>
      </c>
      <c r="K260" s="496"/>
      <c r="L260" s="496"/>
      <c r="M260" s="705"/>
      <c r="N260" s="705"/>
      <c r="O260" s="706"/>
      <c r="P260" s="719">
        <f t="shared" si="127"/>
        <v>0</v>
      </c>
      <c r="Q260" s="707"/>
      <c r="R260" s="355"/>
      <c r="S260" s="707"/>
      <c r="T260" s="708"/>
      <c r="V260" s="83">
        <f t="shared" si="135"/>
        <v>-11</v>
      </c>
      <c r="W260" s="83">
        <f t="shared" si="128"/>
        <v>0</v>
      </c>
      <c r="X260" s="95" t="str">
        <f t="shared" si="129"/>
        <v>** NOT USED **</v>
      </c>
      <c r="Y260" s="106">
        <f t="shared" si="130"/>
        <v>0</v>
      </c>
      <c r="Z260" s="598">
        <f t="shared" si="131"/>
        <v>0</v>
      </c>
      <c r="AA260" s="598">
        <f ca="1">IF(T260&lt;&gt;"",MATCH(T260,OFFSET(References!$AB$23,0,Z260,PxTxCount),0),0)</f>
        <v>0</v>
      </c>
      <c r="AB260" s="598">
        <f t="shared" ca="1" si="132"/>
        <v>0</v>
      </c>
      <c r="AC260" s="346" t="e">
        <f ca="1">OFFSET(References!$AB$23,0,Z260,INDEX(PxTxValid,,Z260+1))</f>
        <v>#REF!</v>
      </c>
      <c r="AD260" s="338">
        <f t="shared" ca="1" si="133"/>
        <v>0</v>
      </c>
      <c r="AE260" s="338">
        <f t="shared" ca="1" si="133"/>
        <v>0</v>
      </c>
      <c r="AF260" s="338">
        <f t="shared" ca="1" si="133"/>
        <v>0</v>
      </c>
      <c r="AG260" s="338">
        <f t="shared" ca="1" si="133"/>
        <v>0</v>
      </c>
      <c r="AH260" s="338">
        <f t="shared" ca="1" si="133"/>
        <v>0</v>
      </c>
      <c r="AI260" s="338">
        <f t="shared" ca="1" si="133"/>
        <v>0</v>
      </c>
      <c r="AJ260" s="338">
        <f t="shared" ca="1" si="134"/>
        <v>0</v>
      </c>
      <c r="AK260" s="338">
        <f t="shared" ca="1" si="134"/>
        <v>0</v>
      </c>
      <c r="AL260" s="338">
        <f t="shared" ca="1" si="134"/>
        <v>0</v>
      </c>
      <c r="AM260" s="338">
        <f t="shared" ca="1" si="134"/>
        <v>0</v>
      </c>
      <c r="AN260" s="338">
        <f t="shared" ca="1" si="134"/>
        <v>0</v>
      </c>
      <c r="AO260" s="338">
        <f t="shared" ca="1" si="134"/>
        <v>0</v>
      </c>
      <c r="AP260" s="91"/>
      <c r="AQ260" s="91"/>
      <c r="AR260" s="91"/>
      <c r="AS260" s="91"/>
      <c r="AT260" s="91"/>
      <c r="AU260" s="91"/>
    </row>
    <row r="261" spans="1:47" ht="14.25" customHeight="1" outlineLevel="1" x14ac:dyDescent="0.2">
      <c r="A261" s="149"/>
      <c r="B261" s="149"/>
      <c r="C261" s="352">
        <v>9</v>
      </c>
      <c r="D261" s="708"/>
      <c r="E261" s="800"/>
      <c r="F261" s="787"/>
      <c r="G261" s="69" t="str">
        <f t="shared" si="124"/>
        <v/>
      </c>
      <c r="H261" s="69" t="str">
        <f t="shared" si="125"/>
        <v/>
      </c>
      <c r="I261" s="233"/>
      <c r="J261" s="69" t="str">
        <f t="shared" si="126"/>
        <v/>
      </c>
      <c r="K261" s="496"/>
      <c r="L261" s="496"/>
      <c r="M261" s="705"/>
      <c r="N261" s="705"/>
      <c r="O261" s="706"/>
      <c r="P261" s="719">
        <f t="shared" si="127"/>
        <v>0</v>
      </c>
      <c r="Q261" s="707"/>
      <c r="R261" s="355"/>
      <c r="S261" s="707"/>
      <c r="T261" s="708"/>
      <c r="V261" s="83">
        <f t="shared" si="135"/>
        <v>-11</v>
      </c>
      <c r="W261" s="83">
        <f t="shared" si="128"/>
        <v>0</v>
      </c>
      <c r="X261" s="95" t="str">
        <f t="shared" si="129"/>
        <v>** NOT USED **</v>
      </c>
      <c r="Y261" s="106">
        <f t="shared" si="130"/>
        <v>0</v>
      </c>
      <c r="Z261" s="598">
        <f t="shared" si="131"/>
        <v>0</v>
      </c>
      <c r="AA261" s="598">
        <f ca="1">IF(T261&lt;&gt;"",MATCH(T261,OFFSET(References!$AB$23,0,Z261,PxTxCount),0),0)</f>
        <v>0</v>
      </c>
      <c r="AB261" s="598">
        <f t="shared" ca="1" si="132"/>
        <v>0</v>
      </c>
      <c r="AC261" s="346" t="e">
        <f ca="1">OFFSET(References!$AB$23,0,Z261,INDEX(PxTxValid,,Z261+1))</f>
        <v>#REF!</v>
      </c>
      <c r="AD261" s="338">
        <f t="shared" ca="1" si="133"/>
        <v>0</v>
      </c>
      <c r="AE261" s="338">
        <f t="shared" ca="1" si="133"/>
        <v>0</v>
      </c>
      <c r="AF261" s="338">
        <f t="shared" ca="1" si="133"/>
        <v>0</v>
      </c>
      <c r="AG261" s="338">
        <f t="shared" ca="1" si="133"/>
        <v>0</v>
      </c>
      <c r="AH261" s="338">
        <f t="shared" ca="1" si="133"/>
        <v>0</v>
      </c>
      <c r="AI261" s="338">
        <f t="shared" ca="1" si="133"/>
        <v>0</v>
      </c>
      <c r="AJ261" s="338">
        <f t="shared" ca="1" si="134"/>
        <v>0</v>
      </c>
      <c r="AK261" s="338">
        <f t="shared" ca="1" si="134"/>
        <v>0</v>
      </c>
      <c r="AL261" s="338">
        <f t="shared" ca="1" si="134"/>
        <v>0</v>
      </c>
      <c r="AM261" s="338">
        <f t="shared" ca="1" si="134"/>
        <v>0</v>
      </c>
      <c r="AN261" s="338">
        <f t="shared" ca="1" si="134"/>
        <v>0</v>
      </c>
      <c r="AO261" s="338">
        <f t="shared" ca="1" si="134"/>
        <v>0</v>
      </c>
      <c r="AP261" s="91"/>
      <c r="AQ261" s="91"/>
      <c r="AR261" s="91"/>
      <c r="AS261" s="91"/>
      <c r="AT261" s="91"/>
      <c r="AU261" s="91"/>
    </row>
    <row r="262" spans="1:47" ht="14.25" customHeight="1" outlineLevel="1" x14ac:dyDescent="0.2">
      <c r="A262" s="149"/>
      <c r="B262" s="149"/>
      <c r="C262" s="352">
        <v>10</v>
      </c>
      <c r="D262" s="708"/>
      <c r="E262" s="800"/>
      <c r="F262" s="787"/>
      <c r="G262" s="69" t="str">
        <f t="shared" si="124"/>
        <v/>
      </c>
      <c r="H262" s="69" t="str">
        <f t="shared" si="125"/>
        <v/>
      </c>
      <c r="I262" s="233"/>
      <c r="J262" s="69" t="str">
        <f t="shared" si="126"/>
        <v/>
      </c>
      <c r="K262" s="496"/>
      <c r="L262" s="496"/>
      <c r="M262" s="705"/>
      <c r="N262" s="705"/>
      <c r="O262" s="706"/>
      <c r="P262" s="719">
        <f t="shared" si="127"/>
        <v>0</v>
      </c>
      <c r="Q262" s="707"/>
      <c r="R262" s="355"/>
      <c r="S262" s="707"/>
      <c r="T262" s="708"/>
      <c r="V262" s="83">
        <f t="shared" si="135"/>
        <v>-11</v>
      </c>
      <c r="W262" s="83">
        <f t="shared" si="128"/>
        <v>0</v>
      </c>
      <c r="X262" s="95" t="str">
        <f t="shared" si="129"/>
        <v>** NOT USED **</v>
      </c>
      <c r="Y262" s="106">
        <f t="shared" si="130"/>
        <v>0</v>
      </c>
      <c r="Z262" s="598">
        <f t="shared" si="131"/>
        <v>0</v>
      </c>
      <c r="AA262" s="598">
        <f ca="1">IF(T262&lt;&gt;"",MATCH(T262,OFFSET(References!$AB$23,0,Z262,PxTxCount),0),0)</f>
        <v>0</v>
      </c>
      <c r="AB262" s="598">
        <f t="shared" ca="1" si="132"/>
        <v>0</v>
      </c>
      <c r="AC262" s="346" t="e">
        <f ca="1">OFFSET(References!$AB$23,0,Z262,INDEX(PxTxValid,,Z262+1))</f>
        <v>#REF!</v>
      </c>
      <c r="AD262" s="338">
        <f t="shared" ca="1" si="133"/>
        <v>0</v>
      </c>
      <c r="AE262" s="338">
        <f t="shared" ca="1" si="133"/>
        <v>0</v>
      </c>
      <c r="AF262" s="338">
        <f t="shared" ca="1" si="133"/>
        <v>0</v>
      </c>
      <c r="AG262" s="338">
        <f t="shared" ca="1" si="133"/>
        <v>0</v>
      </c>
      <c r="AH262" s="338">
        <f t="shared" ca="1" si="133"/>
        <v>0</v>
      </c>
      <c r="AI262" s="338">
        <f t="shared" ca="1" si="133"/>
        <v>0</v>
      </c>
      <c r="AJ262" s="338">
        <f t="shared" ca="1" si="134"/>
        <v>0</v>
      </c>
      <c r="AK262" s="338">
        <f t="shared" ca="1" si="134"/>
        <v>0</v>
      </c>
      <c r="AL262" s="338">
        <f t="shared" ca="1" si="134"/>
        <v>0</v>
      </c>
      <c r="AM262" s="338">
        <f t="shared" ca="1" si="134"/>
        <v>0</v>
      </c>
      <c r="AN262" s="338">
        <f t="shared" ca="1" si="134"/>
        <v>0</v>
      </c>
      <c r="AO262" s="338">
        <f t="shared" ca="1" si="134"/>
        <v>0</v>
      </c>
      <c r="AP262" s="91"/>
      <c r="AQ262" s="91"/>
      <c r="AR262" s="91"/>
      <c r="AS262" s="91"/>
      <c r="AT262" s="91"/>
      <c r="AU262" s="91"/>
    </row>
    <row r="263" spans="1:47" outlineLevel="1" x14ac:dyDescent="0.2">
      <c r="A263" s="149"/>
      <c r="B263" s="149"/>
      <c r="C263" s="149"/>
      <c r="D263" s="149"/>
      <c r="E263" s="149"/>
      <c r="F263" s="149"/>
      <c r="G263" s="149"/>
      <c r="H263" s="149"/>
      <c r="I263" s="149"/>
      <c r="J263" s="149"/>
      <c r="K263" s="149"/>
      <c r="L263" s="149"/>
      <c r="M263" s="149"/>
      <c r="N263" s="149"/>
      <c r="O263" s="149"/>
      <c r="P263" s="149"/>
      <c r="Q263" s="149"/>
      <c r="R263" s="149"/>
      <c r="S263" s="149"/>
      <c r="T263" s="149"/>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row>
    <row r="264" spans="1:47" x14ac:dyDescent="0.2">
      <c r="A264" s="149"/>
      <c r="B264" s="149"/>
      <c r="C264" s="149"/>
      <c r="D264" s="149"/>
      <c r="E264" s="149"/>
      <c r="F264" s="149"/>
      <c r="G264" s="149"/>
      <c r="H264" s="149"/>
      <c r="I264" s="149"/>
      <c r="J264" s="149"/>
      <c r="K264" s="149"/>
      <c r="L264" s="149"/>
      <c r="M264" s="149"/>
      <c r="N264" s="149"/>
      <c r="O264" s="149"/>
      <c r="P264" s="149"/>
      <c r="Q264" s="149"/>
      <c r="R264" s="149"/>
      <c r="S264" s="149"/>
      <c r="T264" s="149"/>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row>
    <row r="265" spans="1:47" ht="15.75" x14ac:dyDescent="0.2">
      <c r="A265" s="152"/>
      <c r="B265" s="152"/>
      <c r="C265" s="152"/>
      <c r="D265" s="110" t="s">
        <v>955</v>
      </c>
      <c r="E265" s="689"/>
      <c r="F265" s="154"/>
      <c r="G265" s="154"/>
      <c r="H265" s="154"/>
      <c r="I265" s="154"/>
      <c r="J265" s="154"/>
      <c r="K265" s="154"/>
      <c r="L265" s="154"/>
      <c r="M265" s="154"/>
      <c r="N265" s="154"/>
      <c r="O265" s="154"/>
      <c r="P265" s="154"/>
      <c r="Q265" s="154"/>
      <c r="R265" s="154"/>
      <c r="S265" s="154"/>
      <c r="T265" s="154"/>
      <c r="V265" s="688"/>
      <c r="W265" s="685"/>
      <c r="X265" s="685"/>
      <c r="Y265" s="685"/>
      <c r="Z265" s="685"/>
      <c r="AA265" s="685"/>
      <c r="AB265" s="685"/>
      <c r="AC265" s="685"/>
      <c r="AD265" s="685"/>
      <c r="AE265" s="685"/>
      <c r="AF265" s="685"/>
      <c r="AG265" s="685"/>
      <c r="AH265" s="685"/>
      <c r="AI265" s="685"/>
      <c r="AJ265" s="685"/>
      <c r="AK265" s="685"/>
      <c r="AL265" s="685"/>
      <c r="AM265" s="685"/>
      <c r="AN265" s="685"/>
      <c r="AO265" s="685"/>
      <c r="AP265" s="685"/>
      <c r="AQ265" s="685"/>
      <c r="AR265" s="685"/>
      <c r="AS265" s="685"/>
      <c r="AT265" s="685"/>
      <c r="AU265" s="685"/>
    </row>
    <row r="266" spans="1:47" outlineLevel="2" x14ac:dyDescent="0.2">
      <c r="A266" s="149"/>
      <c r="B266" s="149"/>
      <c r="C266" s="149"/>
      <c r="D266" s="149"/>
      <c r="E266" s="149"/>
      <c r="F266" s="149"/>
      <c r="G266" s="149"/>
      <c r="H266" s="149"/>
      <c r="I266" s="149"/>
      <c r="J266" s="149"/>
      <c r="K266" s="149"/>
      <c r="L266" s="149"/>
      <c r="M266" s="149"/>
      <c r="N266" s="149"/>
      <c r="O266" s="149"/>
      <c r="P266" s="149"/>
      <c r="Q266" s="149"/>
      <c r="R266" s="149"/>
      <c r="S266" s="149"/>
      <c r="T266" s="149"/>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row>
    <row r="267" spans="1:47" ht="25.5" outlineLevel="2" x14ac:dyDescent="0.2">
      <c r="A267" s="149"/>
      <c r="B267" s="149"/>
      <c r="C267" s="149"/>
      <c r="D267" s="854" t="s">
        <v>346</v>
      </c>
      <c r="E267" s="854"/>
      <c r="F267" s="854"/>
      <c r="G267" s="854" t="s">
        <v>928</v>
      </c>
      <c r="H267" s="855"/>
      <c r="I267" s="855"/>
      <c r="J267" s="90" t="s">
        <v>349</v>
      </c>
      <c r="K267" s="149"/>
      <c r="L267" s="149"/>
      <c r="M267" s="149"/>
      <c r="N267" s="149"/>
      <c r="O267" s="149"/>
      <c r="P267" s="149"/>
      <c r="Q267" s="149"/>
      <c r="R267" s="149"/>
      <c r="S267" s="149"/>
      <c r="T267" s="149"/>
      <c r="V267" s="335" t="s">
        <v>281</v>
      </c>
      <c r="W267" s="335" t="s">
        <v>886</v>
      </c>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row>
    <row r="268" spans="1:47" outlineLevel="2" x14ac:dyDescent="0.2">
      <c r="A268" s="149"/>
      <c r="B268" s="149"/>
      <c r="C268" s="352">
        <v>1</v>
      </c>
      <c r="D268" s="853" t="str">
        <f t="shared" ref="D268:D277" si="136">INDEX(MBSNamesChange,C268)</f>
        <v>** NOT USED **</v>
      </c>
      <c r="E268" s="853"/>
      <c r="F268" s="853"/>
      <c r="G268" s="856"/>
      <c r="H268" s="857"/>
      <c r="I268" s="857"/>
      <c r="J268" s="92" t="str">
        <f t="shared" ref="J268:J277" si="137">IF(W253=2,IF(AND(D268&lt;&gt;MsgNotUsed,G268=""),"All scripts","Specific medicine"),IF(W253=1,"All patients",""))</f>
        <v/>
      </c>
      <c r="K268" s="149"/>
      <c r="L268" s="149"/>
      <c r="M268" s="149"/>
      <c r="N268" s="149"/>
      <c r="O268" s="149"/>
      <c r="P268" s="149"/>
      <c r="Q268" s="149"/>
      <c r="R268" s="149"/>
      <c r="S268" s="149"/>
      <c r="T268" s="149"/>
      <c r="V268" s="83">
        <f t="shared" ref="V268:V277" si="138">IF(OR(D268=MsgNotUsed,W253=1),0,1)</f>
        <v>0</v>
      </c>
      <c r="W268" s="83" t="str">
        <f t="shared" ref="W268:W277" si="139">IF(G268&lt;&gt;"",MATCH(G268,NamesScriptsChangedTx,0),IF(J268="All scripts",21,""))</f>
        <v/>
      </c>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row>
    <row r="269" spans="1:47" outlineLevel="2" x14ac:dyDescent="0.2">
      <c r="A269" s="149"/>
      <c r="B269" s="149"/>
      <c r="C269" s="352">
        <v>2</v>
      </c>
      <c r="D269" s="853" t="str">
        <f t="shared" si="136"/>
        <v>** NOT USED **</v>
      </c>
      <c r="E269" s="853"/>
      <c r="F269" s="853"/>
      <c r="G269" s="856"/>
      <c r="H269" s="857"/>
      <c r="I269" s="857"/>
      <c r="J269" s="92" t="str">
        <f t="shared" si="137"/>
        <v/>
      </c>
      <c r="K269" s="149"/>
      <c r="L269" s="149"/>
      <c r="M269" s="149"/>
      <c r="N269" s="149"/>
      <c r="O269" s="149"/>
      <c r="P269" s="149"/>
      <c r="Q269" s="149"/>
      <c r="R269" s="149"/>
      <c r="S269" s="149"/>
      <c r="T269" s="149"/>
      <c r="V269" s="83">
        <f t="shared" si="138"/>
        <v>0</v>
      </c>
      <c r="W269" s="83" t="str">
        <f t="shared" si="139"/>
        <v/>
      </c>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row>
    <row r="270" spans="1:47" outlineLevel="2" x14ac:dyDescent="0.2">
      <c r="A270" s="149"/>
      <c r="B270" s="149"/>
      <c r="C270" s="352">
        <v>3</v>
      </c>
      <c r="D270" s="853" t="str">
        <f t="shared" si="136"/>
        <v>** NOT USED **</v>
      </c>
      <c r="E270" s="853"/>
      <c r="F270" s="853"/>
      <c r="G270" s="856"/>
      <c r="H270" s="857"/>
      <c r="I270" s="857"/>
      <c r="J270" s="92" t="str">
        <f t="shared" si="137"/>
        <v/>
      </c>
      <c r="K270" s="149"/>
      <c r="L270" s="149"/>
      <c r="M270" s="149"/>
      <c r="N270" s="149"/>
      <c r="O270" s="149"/>
      <c r="P270" s="149"/>
      <c r="Q270" s="149"/>
      <c r="R270" s="149"/>
      <c r="S270" s="149"/>
      <c r="T270" s="149"/>
      <c r="V270" s="83">
        <f t="shared" si="138"/>
        <v>0</v>
      </c>
      <c r="W270" s="83" t="str">
        <f t="shared" si="139"/>
        <v/>
      </c>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row>
    <row r="271" spans="1:47" outlineLevel="2" x14ac:dyDescent="0.2">
      <c r="A271" s="149"/>
      <c r="B271" s="149"/>
      <c r="C271" s="352">
        <v>4</v>
      </c>
      <c r="D271" s="853" t="str">
        <f t="shared" si="136"/>
        <v>** NOT USED **</v>
      </c>
      <c r="E271" s="853"/>
      <c r="F271" s="853"/>
      <c r="G271" s="856"/>
      <c r="H271" s="857"/>
      <c r="I271" s="857"/>
      <c r="J271" s="92" t="str">
        <f t="shared" si="137"/>
        <v/>
      </c>
      <c r="K271" s="149"/>
      <c r="L271" s="149"/>
      <c r="M271" s="149"/>
      <c r="N271" s="149"/>
      <c r="O271" s="149"/>
      <c r="P271" s="149"/>
      <c r="Q271" s="149"/>
      <c r="R271" s="149"/>
      <c r="S271" s="149"/>
      <c r="T271" s="149"/>
      <c r="V271" s="83">
        <f t="shared" si="138"/>
        <v>0</v>
      </c>
      <c r="W271" s="83" t="str">
        <f t="shared" si="139"/>
        <v/>
      </c>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row>
    <row r="272" spans="1:47" outlineLevel="2" x14ac:dyDescent="0.2">
      <c r="A272" s="149"/>
      <c r="B272" s="149"/>
      <c r="C272" s="352">
        <v>5</v>
      </c>
      <c r="D272" s="853" t="str">
        <f t="shared" si="136"/>
        <v>** NOT USED **</v>
      </c>
      <c r="E272" s="853"/>
      <c r="F272" s="853"/>
      <c r="G272" s="856"/>
      <c r="H272" s="857"/>
      <c r="I272" s="857"/>
      <c r="J272" s="92" t="str">
        <f t="shared" si="137"/>
        <v/>
      </c>
      <c r="K272" s="149"/>
      <c r="L272" s="149"/>
      <c r="M272" s="149"/>
      <c r="N272" s="149"/>
      <c r="O272" s="149"/>
      <c r="P272" s="149"/>
      <c r="Q272" s="149"/>
      <c r="R272" s="149"/>
      <c r="S272" s="149"/>
      <c r="T272" s="149"/>
      <c r="V272" s="83">
        <f t="shared" si="138"/>
        <v>0</v>
      </c>
      <c r="W272" s="83" t="str">
        <f t="shared" si="139"/>
        <v/>
      </c>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row>
    <row r="273" spans="1:47" outlineLevel="2" x14ac:dyDescent="0.2">
      <c r="A273" s="149"/>
      <c r="B273" s="149"/>
      <c r="C273" s="352">
        <v>6</v>
      </c>
      <c r="D273" s="853" t="str">
        <f t="shared" si="136"/>
        <v>** NOT USED **</v>
      </c>
      <c r="E273" s="853"/>
      <c r="F273" s="853"/>
      <c r="G273" s="856"/>
      <c r="H273" s="857"/>
      <c r="I273" s="857"/>
      <c r="J273" s="92" t="str">
        <f t="shared" si="137"/>
        <v/>
      </c>
      <c r="K273" s="149"/>
      <c r="L273" s="149"/>
      <c r="M273" s="149"/>
      <c r="N273" s="149"/>
      <c r="O273" s="149"/>
      <c r="P273" s="149"/>
      <c r="Q273" s="149"/>
      <c r="R273" s="149"/>
      <c r="S273" s="149"/>
      <c r="T273" s="149"/>
      <c r="V273" s="83">
        <f t="shared" si="138"/>
        <v>0</v>
      </c>
      <c r="W273" s="83" t="str">
        <f t="shared" si="139"/>
        <v/>
      </c>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row>
    <row r="274" spans="1:47" outlineLevel="2" x14ac:dyDescent="0.2">
      <c r="A274" s="149"/>
      <c r="B274" s="149"/>
      <c r="C274" s="352">
        <v>7</v>
      </c>
      <c r="D274" s="853" t="str">
        <f t="shared" si="136"/>
        <v>** NOT USED **</v>
      </c>
      <c r="E274" s="853"/>
      <c r="F274" s="853"/>
      <c r="G274" s="856"/>
      <c r="H274" s="857"/>
      <c r="I274" s="857"/>
      <c r="J274" s="92" t="str">
        <f t="shared" si="137"/>
        <v/>
      </c>
      <c r="K274" s="149"/>
      <c r="L274" s="149"/>
      <c r="M274" s="149"/>
      <c r="N274" s="149"/>
      <c r="O274" s="149"/>
      <c r="P274" s="149"/>
      <c r="Q274" s="149"/>
      <c r="R274" s="149"/>
      <c r="S274" s="149"/>
      <c r="T274" s="149"/>
      <c r="V274" s="83">
        <f t="shared" si="138"/>
        <v>0</v>
      </c>
      <c r="W274" s="83" t="str">
        <f t="shared" si="139"/>
        <v/>
      </c>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row>
    <row r="275" spans="1:47" outlineLevel="2" x14ac:dyDescent="0.2">
      <c r="A275" s="149"/>
      <c r="B275" s="149"/>
      <c r="C275" s="352">
        <v>8</v>
      </c>
      <c r="D275" s="853" t="str">
        <f t="shared" si="136"/>
        <v>** NOT USED **</v>
      </c>
      <c r="E275" s="853"/>
      <c r="F275" s="853"/>
      <c r="G275" s="856"/>
      <c r="H275" s="857"/>
      <c r="I275" s="857"/>
      <c r="J275" s="92" t="str">
        <f t="shared" si="137"/>
        <v/>
      </c>
      <c r="K275" s="149"/>
      <c r="L275" s="149"/>
      <c r="M275" s="149"/>
      <c r="N275" s="149"/>
      <c r="O275" s="149"/>
      <c r="P275" s="149"/>
      <c r="Q275" s="149"/>
      <c r="R275" s="149"/>
      <c r="S275" s="149"/>
      <c r="T275" s="149"/>
      <c r="V275" s="83">
        <f t="shared" si="138"/>
        <v>0</v>
      </c>
      <c r="W275" s="83" t="str">
        <f t="shared" si="139"/>
        <v/>
      </c>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row>
    <row r="276" spans="1:47" outlineLevel="2" x14ac:dyDescent="0.2">
      <c r="A276" s="149"/>
      <c r="B276" s="149"/>
      <c r="C276" s="352">
        <v>9</v>
      </c>
      <c r="D276" s="853" t="str">
        <f t="shared" si="136"/>
        <v>** NOT USED **</v>
      </c>
      <c r="E276" s="853"/>
      <c r="F276" s="853"/>
      <c r="G276" s="856"/>
      <c r="H276" s="857"/>
      <c r="I276" s="857"/>
      <c r="J276" s="92" t="str">
        <f t="shared" si="137"/>
        <v/>
      </c>
      <c r="K276" s="149"/>
      <c r="L276" s="149"/>
      <c r="M276" s="149"/>
      <c r="N276" s="149"/>
      <c r="O276" s="149"/>
      <c r="P276" s="149"/>
      <c r="Q276" s="149"/>
      <c r="R276" s="149"/>
      <c r="S276" s="149"/>
      <c r="T276" s="149"/>
      <c r="V276" s="83">
        <f t="shared" si="138"/>
        <v>0</v>
      </c>
      <c r="W276" s="83" t="str">
        <f t="shared" si="139"/>
        <v/>
      </c>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row>
    <row r="277" spans="1:47" outlineLevel="2" x14ac:dyDescent="0.2">
      <c r="A277" s="149"/>
      <c r="B277" s="149"/>
      <c r="C277" s="352">
        <v>10</v>
      </c>
      <c r="D277" s="853" t="str">
        <f t="shared" si="136"/>
        <v>** NOT USED **</v>
      </c>
      <c r="E277" s="853"/>
      <c r="F277" s="853"/>
      <c r="G277" s="856"/>
      <c r="H277" s="857"/>
      <c r="I277" s="857"/>
      <c r="J277" s="92" t="str">
        <f t="shared" si="137"/>
        <v/>
      </c>
      <c r="K277" s="149"/>
      <c r="L277" s="149"/>
      <c r="M277" s="149"/>
      <c r="N277" s="149"/>
      <c r="O277" s="149"/>
      <c r="P277" s="149"/>
      <c r="Q277" s="149"/>
      <c r="R277" s="149"/>
      <c r="S277" s="149"/>
      <c r="T277" s="149"/>
      <c r="V277" s="83">
        <f t="shared" si="138"/>
        <v>0</v>
      </c>
      <c r="W277" s="83" t="str">
        <f t="shared" si="139"/>
        <v/>
      </c>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row>
    <row r="278" spans="1:47" outlineLevel="2" x14ac:dyDescent="0.2">
      <c r="A278" s="149"/>
      <c r="B278" s="149"/>
      <c r="C278" s="149"/>
      <c r="D278" s="164"/>
      <c r="E278" s="690"/>
      <c r="F278" s="149"/>
      <c r="G278" s="149"/>
      <c r="H278" s="149"/>
      <c r="I278" s="149"/>
      <c r="J278" s="149"/>
      <c r="K278" s="149"/>
      <c r="L278" s="149"/>
      <c r="M278" s="149"/>
      <c r="N278" s="149"/>
      <c r="O278" s="149"/>
      <c r="P278" s="149"/>
      <c r="Q278" s="149"/>
      <c r="R278" s="149"/>
      <c r="S278" s="149"/>
      <c r="T278" s="149"/>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row>
    <row r="279" spans="1:47" outlineLevel="2" x14ac:dyDescent="0.2">
      <c r="A279" s="586"/>
      <c r="B279" s="586"/>
      <c r="C279" s="586"/>
      <c r="D279" s="586" t="s">
        <v>341</v>
      </c>
      <c r="E279" s="586"/>
      <c r="F279" s="586"/>
      <c r="G279" s="586"/>
      <c r="H279" s="586"/>
      <c r="I279" s="586"/>
      <c r="J279" s="586"/>
      <c r="K279" s="586"/>
      <c r="L279" s="586"/>
      <c r="M279" s="586"/>
      <c r="N279" s="586"/>
      <c r="O279" s="586"/>
      <c r="P279" s="586"/>
      <c r="Q279" s="586"/>
      <c r="R279" s="586"/>
      <c r="S279" s="586"/>
      <c r="T279" s="586"/>
      <c r="V279" s="669"/>
      <c r="W279" s="669"/>
      <c r="X279" s="669"/>
      <c r="Y279" s="669"/>
      <c r="Z279" s="669"/>
      <c r="AA279" s="669"/>
      <c r="AB279" s="669"/>
      <c r="AC279" s="669"/>
      <c r="AD279" s="669"/>
      <c r="AE279" s="669"/>
      <c r="AF279" s="669"/>
      <c r="AG279" s="669"/>
      <c r="AH279" s="669"/>
      <c r="AI279" s="669"/>
      <c r="AJ279" s="669"/>
      <c r="AK279" s="669"/>
      <c r="AL279" s="669"/>
      <c r="AM279" s="669"/>
      <c r="AN279" s="669"/>
      <c r="AO279" s="669"/>
      <c r="AP279" s="669"/>
      <c r="AQ279" s="669"/>
      <c r="AR279" s="669"/>
      <c r="AS279" s="669"/>
      <c r="AT279" s="669"/>
      <c r="AU279" s="669"/>
    </row>
    <row r="280" spans="1:47" outlineLevel="1" x14ac:dyDescent="0.2">
      <c r="A280" s="586"/>
      <c r="B280" s="586"/>
      <c r="C280" s="586"/>
      <c r="D280" s="586"/>
      <c r="E280" s="586"/>
      <c r="F280" s="586"/>
      <c r="G280" s="586"/>
      <c r="H280" s="586"/>
      <c r="I280" s="586"/>
      <c r="J280" s="586"/>
      <c r="K280" s="586"/>
      <c r="L280" s="586"/>
      <c r="M280" s="586"/>
      <c r="N280" s="586"/>
      <c r="O280" s="586"/>
      <c r="P280" s="586"/>
      <c r="Q280" s="586"/>
      <c r="R280" s="586"/>
      <c r="S280" s="586"/>
      <c r="T280" s="586"/>
      <c r="V280" s="669"/>
      <c r="W280" s="669"/>
      <c r="X280" s="669"/>
      <c r="Y280" s="669"/>
      <c r="Z280" s="669"/>
      <c r="AA280" s="669"/>
      <c r="AB280" s="669"/>
      <c r="AC280" s="669"/>
      <c r="AD280" s="669"/>
      <c r="AE280" s="669"/>
      <c r="AF280" s="669"/>
      <c r="AG280" s="669"/>
      <c r="AH280" s="669"/>
      <c r="AI280" s="669"/>
      <c r="AJ280" s="669"/>
      <c r="AK280" s="669"/>
      <c r="AL280" s="669"/>
      <c r="AM280" s="669"/>
      <c r="AN280" s="669"/>
      <c r="AO280" s="669"/>
      <c r="AP280" s="669"/>
      <c r="AQ280" s="669"/>
      <c r="AR280" s="669"/>
      <c r="AS280" s="669"/>
      <c r="AT280" s="669"/>
      <c r="AU280" s="669"/>
    </row>
    <row r="281" spans="1:47" ht="15.75" outlineLevel="1" x14ac:dyDescent="0.2">
      <c r="A281" s="586"/>
      <c r="B281" s="586"/>
      <c r="C281" s="352">
        <v>1</v>
      </c>
      <c r="D281" s="110" t="str">
        <f>INDEX(MBSNamesChange,C281)</f>
        <v>** NOT USED **</v>
      </c>
      <c r="E281" s="110"/>
      <c r="F281" s="154"/>
      <c r="G281" s="154"/>
      <c r="H281" s="154"/>
      <c r="I281" s="154"/>
      <c r="J281" s="782" t="str">
        <f>IF(D281&lt;&gt;MsgNotUsed,"Co-payment group " &amp; K253,"")</f>
        <v/>
      </c>
      <c r="K281" s="782"/>
      <c r="L281" s="154"/>
      <c r="M281" s="154"/>
      <c r="N281" s="154"/>
      <c r="O281" s="154"/>
      <c r="P281" s="154"/>
      <c r="Q281" s="154"/>
      <c r="R281" s="154"/>
      <c r="S281" s="154"/>
      <c r="T281" s="154"/>
      <c r="V281" s="669"/>
      <c r="W281" s="669"/>
      <c r="X281" s="669"/>
      <c r="Y281" s="669"/>
      <c r="Z281" s="669"/>
      <c r="AA281" s="669"/>
      <c r="AB281" s="669"/>
      <c r="AC281" s="669"/>
      <c r="AD281" s="669"/>
      <c r="AE281" s="669"/>
      <c r="AF281" s="669"/>
      <c r="AG281" s="669"/>
      <c r="AH281" s="669"/>
      <c r="AI281" s="669"/>
      <c r="AJ281" s="669"/>
      <c r="AK281" s="669"/>
      <c r="AL281" s="669"/>
      <c r="AM281" s="669"/>
      <c r="AN281" s="669"/>
      <c r="AO281" s="669"/>
      <c r="AP281" s="669"/>
      <c r="AQ281" s="669"/>
      <c r="AR281" s="669"/>
      <c r="AS281" s="669"/>
      <c r="AT281" s="669"/>
      <c r="AU281" s="669"/>
    </row>
    <row r="282" spans="1:47" outlineLevel="2" x14ac:dyDescent="0.2">
      <c r="A282" s="674"/>
      <c r="B282" s="674"/>
      <c r="C282" s="674"/>
      <c r="D282" s="674"/>
      <c r="E282" s="674"/>
      <c r="F282" s="691">
        <v>2</v>
      </c>
      <c r="G282" s="691">
        <v>3</v>
      </c>
      <c r="H282" s="691">
        <v>4</v>
      </c>
      <c r="I282" s="691">
        <v>5</v>
      </c>
      <c r="J282" s="691">
        <v>6</v>
      </c>
      <c r="K282" s="691">
        <v>7</v>
      </c>
      <c r="L282" s="691"/>
      <c r="M282" s="674"/>
      <c r="N282" s="674"/>
      <c r="O282" s="715"/>
      <c r="P282" s="674"/>
      <c r="Q282" s="674"/>
      <c r="R282" s="674"/>
      <c r="S282" s="674"/>
      <c r="T282" s="674"/>
    </row>
    <row r="283" spans="1:47" ht="15" outlineLevel="2" x14ac:dyDescent="0.2">
      <c r="A283" s="586"/>
      <c r="B283" s="586"/>
      <c r="C283" s="586"/>
      <c r="D283" s="681" t="s">
        <v>0</v>
      </c>
      <c r="E283" s="681"/>
      <c r="F283" s="671">
        <f>FirstYear</f>
        <v>0</v>
      </c>
      <c r="G283" s="671">
        <f>F283+1</f>
        <v>1</v>
      </c>
      <c r="H283" s="671">
        <f>G283+1</f>
        <v>2</v>
      </c>
      <c r="I283" s="671">
        <f>H283+1</f>
        <v>3</v>
      </c>
      <c r="J283" s="671">
        <f>I283+1</f>
        <v>4</v>
      </c>
      <c r="K283" s="671">
        <f>J283+1</f>
        <v>5</v>
      </c>
      <c r="M283" s="149"/>
      <c r="N283" s="692"/>
      <c r="O283" s="692"/>
      <c r="P283" s="692"/>
      <c r="Q283" s="99"/>
      <c r="R283" s="99"/>
      <c r="S283" s="99"/>
      <c r="T283" s="99"/>
      <c r="V283" s="99"/>
      <c r="W283" s="99"/>
      <c r="X283" s="99"/>
      <c r="Y283" s="669"/>
      <c r="Z283" s="669"/>
      <c r="AA283" s="669"/>
      <c r="AB283" s="669"/>
      <c r="AC283" s="669"/>
      <c r="AD283" s="669"/>
      <c r="AE283" s="669"/>
      <c r="AF283" s="669"/>
      <c r="AG283" s="669"/>
      <c r="AH283" s="669"/>
      <c r="AI283" s="669"/>
      <c r="AJ283" s="669"/>
      <c r="AK283" s="669"/>
      <c r="AL283" s="669"/>
      <c r="AM283" s="669"/>
      <c r="AN283" s="669"/>
      <c r="AO283" s="669"/>
      <c r="AP283" s="669"/>
      <c r="AQ283" s="669"/>
      <c r="AR283" s="669"/>
      <c r="AS283" s="669"/>
      <c r="AT283" s="669"/>
      <c r="AU283" s="669"/>
    </row>
    <row r="284" spans="1:47" ht="14.25" outlineLevel="2" x14ac:dyDescent="0.2">
      <c r="A284" s="586"/>
      <c r="B284" s="586"/>
      <c r="C284" s="586"/>
      <c r="D284" s="586"/>
      <c r="E284" s="590" t="s">
        <v>269</v>
      </c>
      <c r="F284" s="397">
        <f t="shared" ref="F284:K284" si="140">F285*$P253</f>
        <v>0</v>
      </c>
      <c r="G284" s="397">
        <f t="shared" si="140"/>
        <v>0</v>
      </c>
      <c r="H284" s="397">
        <f t="shared" si="140"/>
        <v>0</v>
      </c>
      <c r="I284" s="397">
        <f t="shared" si="140"/>
        <v>0</v>
      </c>
      <c r="J284" s="397">
        <f t="shared" si="140"/>
        <v>0</v>
      </c>
      <c r="K284" s="397">
        <f t="shared" si="140"/>
        <v>0</v>
      </c>
      <c r="M284" s="701"/>
      <c r="N284" s="684"/>
      <c r="O284" s="684"/>
      <c r="P284" s="684"/>
      <c r="Q284" s="694"/>
      <c r="R284" s="694"/>
      <c r="S284" s="694"/>
      <c r="T284" s="694"/>
      <c r="V284" s="97">
        <f>FirstYear</f>
        <v>0</v>
      </c>
      <c r="W284" s="96">
        <f>IF(F285&lt;&gt;0,F285-F288,0)</f>
        <v>0</v>
      </c>
      <c r="X284" s="695"/>
      <c r="Y284" s="669"/>
      <c r="Z284" s="669"/>
      <c r="AA284" s="669"/>
      <c r="AB284" s="669"/>
      <c r="AC284" s="669"/>
      <c r="AD284" s="669"/>
      <c r="AE284" s="669"/>
      <c r="AF284" s="669"/>
      <c r="AG284" s="669"/>
      <c r="AH284" s="669"/>
      <c r="AI284" s="669"/>
      <c r="AJ284" s="669"/>
      <c r="AK284" s="669"/>
      <c r="AL284" s="669"/>
      <c r="AM284" s="669"/>
      <c r="AN284" s="669"/>
      <c r="AO284" s="669"/>
      <c r="AP284" s="669"/>
      <c r="AQ284" s="669"/>
      <c r="AR284" s="669"/>
      <c r="AS284" s="669"/>
      <c r="AT284" s="669"/>
      <c r="AU284" s="669"/>
    </row>
    <row r="285" spans="1:47" ht="14.25" outlineLevel="2" x14ac:dyDescent="0.2">
      <c r="A285" s="586"/>
      <c r="B285" s="586"/>
      <c r="C285" s="352" t="str">
        <f>W268</f>
        <v/>
      </c>
      <c r="D285" s="586"/>
      <c r="E285" s="85" t="s">
        <v>80</v>
      </c>
      <c r="F285" s="86">
        <f t="shared" ref="F285:K285" si="141">IF($W$253=2,$N$253*IF($C285&lt;&gt;"",INDEX(PBSScriptsChanged,$C285,F282),0),IF($Y253&lt;&gt;0,$M$253*INDEX(MBSPBSDec,$C281,($Y253-1)*7+F282),0))*$V$253</f>
        <v>0</v>
      </c>
      <c r="G285" s="86">
        <f t="shared" si="141"/>
        <v>0</v>
      </c>
      <c r="H285" s="86">
        <f t="shared" si="141"/>
        <v>0</v>
      </c>
      <c r="I285" s="86">
        <f t="shared" si="141"/>
        <v>0</v>
      </c>
      <c r="J285" s="86">
        <f t="shared" si="141"/>
        <v>0</v>
      </c>
      <c r="K285" s="86">
        <f t="shared" si="141"/>
        <v>0</v>
      </c>
      <c r="M285" s="701"/>
      <c r="N285" s="684"/>
      <c r="O285" s="684"/>
      <c r="P285" s="684"/>
      <c r="Q285" s="694"/>
      <c r="R285" s="694"/>
      <c r="S285" s="694"/>
      <c r="T285" s="694"/>
      <c r="V285" s="97">
        <f>V284+1</f>
        <v>1</v>
      </c>
      <c r="W285" s="96">
        <f>IF(G285&lt;&gt;0,G285-G288,0)</f>
        <v>0</v>
      </c>
      <c r="X285" s="695"/>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row>
    <row r="286" spans="1:47" outlineLevel="2" x14ac:dyDescent="0.2">
      <c r="A286" s="586"/>
      <c r="B286" s="352">
        <v>5</v>
      </c>
      <c r="C286" s="352">
        <v>6</v>
      </c>
      <c r="D286" s="586"/>
      <c r="E286" s="696" t="s">
        <v>146</v>
      </c>
      <c r="F286" s="86" t="str">
        <f t="shared" ref="F286:K289" si="142">IF(INDEX(MBSItemsDec,$C$281,1)&lt;&gt;"",F$285*INDEX(MBSItemsDec,$C$281,$B286)*INDEX(MBSItemsDec,$C$281,$C286),"")</f>
        <v/>
      </c>
      <c r="G286" s="86" t="str">
        <f t="shared" si="142"/>
        <v/>
      </c>
      <c r="H286" s="86" t="str">
        <f t="shared" si="142"/>
        <v/>
      </c>
      <c r="I286" s="86" t="str">
        <f t="shared" si="142"/>
        <v/>
      </c>
      <c r="J286" s="86" t="str">
        <f t="shared" si="142"/>
        <v/>
      </c>
      <c r="K286" s="86" t="str">
        <f t="shared" si="142"/>
        <v/>
      </c>
      <c r="M286" s="149"/>
      <c r="N286" s="697"/>
      <c r="O286" s="697"/>
      <c r="P286" s="697"/>
      <c r="Q286" s="694"/>
      <c r="R286" s="694"/>
      <c r="S286" s="694"/>
      <c r="T286" s="694"/>
      <c r="V286" s="97">
        <f>V285+1</f>
        <v>2</v>
      </c>
      <c r="W286" s="96">
        <f>IF(H285&lt;&gt;0,H285-H288,0)</f>
        <v>0</v>
      </c>
      <c r="X286" s="695"/>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row>
    <row r="287" spans="1:47" outlineLevel="2" x14ac:dyDescent="0.2">
      <c r="A287" s="586"/>
      <c r="B287" s="352">
        <v>5</v>
      </c>
      <c r="C287" s="352">
        <v>7</v>
      </c>
      <c r="D287" s="586"/>
      <c r="E287" s="696" t="s">
        <v>147</v>
      </c>
      <c r="F287" s="86" t="str">
        <f t="shared" si="142"/>
        <v/>
      </c>
      <c r="G287" s="86" t="str">
        <f t="shared" si="142"/>
        <v/>
      </c>
      <c r="H287" s="86" t="str">
        <f t="shared" si="142"/>
        <v/>
      </c>
      <c r="I287" s="86" t="str">
        <f t="shared" si="142"/>
        <v/>
      </c>
      <c r="J287" s="86" t="str">
        <f t="shared" si="142"/>
        <v/>
      </c>
      <c r="K287" s="86" t="str">
        <f t="shared" si="142"/>
        <v/>
      </c>
      <c r="M287" s="149"/>
      <c r="N287" s="697"/>
      <c r="O287" s="697"/>
      <c r="P287" s="697"/>
      <c r="Q287" s="694"/>
      <c r="R287" s="694"/>
      <c r="S287" s="694"/>
      <c r="T287" s="694"/>
      <c r="V287" s="97">
        <f>V286+1</f>
        <v>3</v>
      </c>
      <c r="W287" s="96">
        <f>IF(I285&lt;&gt;0,I285-I288,0)</f>
        <v>0</v>
      </c>
      <c r="X287" s="695"/>
      <c r="Y287" s="669"/>
      <c r="Z287" s="669"/>
      <c r="AA287" s="669"/>
      <c r="AB287" s="669"/>
      <c r="AC287" s="669"/>
      <c r="AD287" s="669"/>
      <c r="AE287" s="669"/>
      <c r="AF287" s="669"/>
      <c r="AG287" s="669"/>
      <c r="AH287" s="669"/>
      <c r="AI287" s="669"/>
      <c r="AJ287" s="669"/>
      <c r="AK287" s="669"/>
      <c r="AL287" s="669"/>
      <c r="AM287" s="669"/>
      <c r="AN287" s="669"/>
      <c r="AO287" s="669"/>
      <c r="AP287" s="669"/>
      <c r="AQ287" s="669"/>
      <c r="AR287" s="669"/>
      <c r="AS287" s="669"/>
      <c r="AT287" s="669"/>
      <c r="AU287" s="669"/>
    </row>
    <row r="288" spans="1:47" outlineLevel="2" x14ac:dyDescent="0.2">
      <c r="A288" s="586"/>
      <c r="B288" s="352">
        <v>4</v>
      </c>
      <c r="C288" s="352">
        <v>6</v>
      </c>
      <c r="D288" s="586"/>
      <c r="E288" s="696" t="s">
        <v>148</v>
      </c>
      <c r="F288" s="86" t="str">
        <f t="shared" si="142"/>
        <v/>
      </c>
      <c r="G288" s="86" t="str">
        <f t="shared" si="142"/>
        <v/>
      </c>
      <c r="H288" s="86" t="str">
        <f t="shared" si="142"/>
        <v/>
      </c>
      <c r="I288" s="86" t="str">
        <f t="shared" si="142"/>
        <v/>
      </c>
      <c r="J288" s="86" t="str">
        <f t="shared" si="142"/>
        <v/>
      </c>
      <c r="K288" s="86" t="str">
        <f t="shared" si="142"/>
        <v/>
      </c>
      <c r="M288" s="149"/>
      <c r="N288" s="697"/>
      <c r="O288" s="697"/>
      <c r="P288" s="697"/>
      <c r="Q288" s="694"/>
      <c r="R288" s="694"/>
      <c r="S288" s="694"/>
      <c r="T288" s="694"/>
      <c r="V288" s="97">
        <f>V287+1</f>
        <v>4</v>
      </c>
      <c r="W288" s="96">
        <f>IF(J285&lt;&gt;0,J285-J288,0)</f>
        <v>0</v>
      </c>
      <c r="X288" s="695"/>
      <c r="Y288" s="669"/>
      <c r="Z288" s="669"/>
      <c r="AA288" s="669"/>
      <c r="AB288" s="669"/>
      <c r="AC288" s="669"/>
      <c r="AD288" s="669"/>
      <c r="AE288" s="669"/>
      <c r="AF288" s="669"/>
      <c r="AG288" s="669"/>
      <c r="AH288" s="669"/>
      <c r="AI288" s="669"/>
      <c r="AJ288" s="669"/>
      <c r="AK288" s="669"/>
      <c r="AL288" s="669"/>
      <c r="AM288" s="669"/>
      <c r="AN288" s="669"/>
      <c r="AO288" s="669"/>
      <c r="AP288" s="669"/>
      <c r="AQ288" s="669"/>
      <c r="AR288" s="669"/>
      <c r="AS288" s="669"/>
      <c r="AT288" s="669"/>
      <c r="AU288" s="669"/>
    </row>
    <row r="289" spans="1:47" ht="12.75" customHeight="1" outlineLevel="2" x14ac:dyDescent="0.2">
      <c r="A289" s="586"/>
      <c r="B289" s="352">
        <v>4</v>
      </c>
      <c r="C289" s="352">
        <v>7</v>
      </c>
      <c r="D289" s="586"/>
      <c r="E289" s="698" t="s">
        <v>149</v>
      </c>
      <c r="F289" s="86" t="str">
        <f t="shared" si="142"/>
        <v/>
      </c>
      <c r="G289" s="86" t="str">
        <f t="shared" si="142"/>
        <v/>
      </c>
      <c r="H289" s="86" t="str">
        <f t="shared" si="142"/>
        <v/>
      </c>
      <c r="I289" s="86" t="str">
        <f t="shared" si="142"/>
        <v/>
      </c>
      <c r="J289" s="86" t="str">
        <f t="shared" si="142"/>
        <v/>
      </c>
      <c r="K289" s="86" t="str">
        <f t="shared" si="142"/>
        <v/>
      </c>
      <c r="M289" s="149"/>
      <c r="N289" s="697"/>
      <c r="O289" s="697"/>
      <c r="P289" s="697"/>
      <c r="Q289" s="694"/>
      <c r="R289" s="694"/>
      <c r="S289" s="694"/>
      <c r="T289" s="694"/>
      <c r="V289" s="97">
        <f>V288+1</f>
        <v>5</v>
      </c>
      <c r="W289" s="96">
        <f>IF(K285&lt;&gt;0,K285-K288,0)</f>
        <v>0</v>
      </c>
      <c r="X289" s="695"/>
      <c r="Y289" s="669"/>
      <c r="Z289" s="669"/>
      <c r="AA289" s="669"/>
      <c r="AB289" s="669"/>
      <c r="AC289" s="669"/>
      <c r="AD289" s="669"/>
      <c r="AE289" s="669"/>
      <c r="AF289" s="669"/>
      <c r="AG289" s="669"/>
      <c r="AH289" s="669"/>
      <c r="AI289" s="669"/>
      <c r="AJ289" s="669"/>
      <c r="AK289" s="669"/>
      <c r="AL289" s="669"/>
      <c r="AM289" s="669"/>
      <c r="AN289" s="669"/>
      <c r="AO289" s="669"/>
      <c r="AP289" s="669"/>
      <c r="AQ289" s="669"/>
      <c r="AR289" s="669"/>
      <c r="AS289" s="669"/>
      <c r="AT289" s="669"/>
      <c r="AU289" s="669"/>
    </row>
    <row r="290" spans="1:47" ht="15.75" outlineLevel="2" x14ac:dyDescent="0.2">
      <c r="A290" s="586"/>
      <c r="B290" s="586"/>
      <c r="C290" s="586"/>
      <c r="D290" s="162"/>
      <c r="E290" s="162"/>
      <c r="F290" s="586"/>
      <c r="G290" s="586"/>
      <c r="H290" s="586"/>
      <c r="I290" s="586"/>
      <c r="J290" s="586"/>
      <c r="K290" s="586"/>
      <c r="M290" s="586"/>
      <c r="N290" s="700"/>
      <c r="O290" s="700"/>
      <c r="P290" s="700"/>
      <c r="Q290" s="164"/>
      <c r="R290" s="164"/>
      <c r="S290" s="164"/>
      <c r="T290" s="164"/>
      <c r="V290" s="98"/>
      <c r="W290" s="98"/>
      <c r="X290" s="98"/>
      <c r="Y290" s="669"/>
      <c r="Z290" s="669"/>
      <c r="AA290" s="669"/>
      <c r="AB290" s="669"/>
      <c r="AC290" s="669"/>
      <c r="AD290" s="669"/>
      <c r="AE290" s="669"/>
      <c r="AF290" s="669"/>
      <c r="AG290" s="669"/>
      <c r="AH290" s="669"/>
      <c r="AI290" s="669"/>
      <c r="AJ290" s="669"/>
      <c r="AK290" s="669"/>
      <c r="AL290" s="669"/>
      <c r="AM290" s="669"/>
      <c r="AN290" s="669"/>
      <c r="AO290" s="669"/>
      <c r="AP290" s="669"/>
      <c r="AQ290" s="669"/>
      <c r="AR290" s="669"/>
      <c r="AS290" s="669"/>
      <c r="AT290" s="669"/>
      <c r="AU290" s="669"/>
    </row>
    <row r="291" spans="1:47" ht="15.75" outlineLevel="2" x14ac:dyDescent="0.2">
      <c r="A291" s="586"/>
      <c r="B291" s="586"/>
      <c r="C291" s="586"/>
      <c r="D291" s="681" t="s">
        <v>1</v>
      </c>
      <c r="E291" s="681"/>
      <c r="F291" s="671">
        <f>FirstYear</f>
        <v>0</v>
      </c>
      <c r="G291" s="671">
        <f>F291+1</f>
        <v>1</v>
      </c>
      <c r="H291" s="671">
        <f>G291+1</f>
        <v>2</v>
      </c>
      <c r="I291" s="671">
        <f>H291+1</f>
        <v>3</v>
      </c>
      <c r="J291" s="671">
        <f>I291+1</f>
        <v>4</v>
      </c>
      <c r="K291" s="671">
        <f>J291+1</f>
        <v>5</v>
      </c>
      <c r="M291" s="586"/>
      <c r="N291" s="700"/>
      <c r="O291" s="700"/>
      <c r="P291" s="700"/>
      <c r="Q291" s="164"/>
      <c r="R291" s="164"/>
      <c r="S291" s="164"/>
      <c r="T291" s="164"/>
      <c r="V291" s="98"/>
      <c r="W291" s="98"/>
      <c r="X291" s="98"/>
      <c r="Y291" s="669"/>
      <c r="Z291" s="669"/>
      <c r="AA291" s="669"/>
      <c r="AB291" s="669"/>
      <c r="AC291" s="669"/>
      <c r="AD291" s="669"/>
      <c r="AE291" s="669"/>
      <c r="AF291" s="669"/>
      <c r="AG291" s="669"/>
      <c r="AH291" s="669"/>
      <c r="AI291" s="669"/>
      <c r="AJ291" s="669"/>
      <c r="AK291" s="669"/>
      <c r="AL291" s="669"/>
      <c r="AM291" s="669"/>
      <c r="AN291" s="669"/>
      <c r="AO291" s="669"/>
      <c r="AP291" s="669"/>
      <c r="AQ291" s="669"/>
      <c r="AR291" s="669"/>
      <c r="AS291" s="669"/>
      <c r="AT291" s="669"/>
      <c r="AU291" s="669"/>
    </row>
    <row r="292" spans="1:47" ht="15.75" outlineLevel="2" x14ac:dyDescent="0.2">
      <c r="A292" s="586"/>
      <c r="B292" s="586"/>
      <c r="C292" s="586"/>
      <c r="D292" s="586"/>
      <c r="E292" s="590" t="s">
        <v>269</v>
      </c>
      <c r="F292" s="397">
        <f t="shared" ref="F292:K292" si="143">F293*$P253</f>
        <v>0</v>
      </c>
      <c r="G292" s="397">
        <f t="shared" si="143"/>
        <v>0</v>
      </c>
      <c r="H292" s="397">
        <f t="shared" si="143"/>
        <v>0</v>
      </c>
      <c r="I292" s="397">
        <f t="shared" si="143"/>
        <v>0</v>
      </c>
      <c r="J292" s="397">
        <f t="shared" si="143"/>
        <v>0</v>
      </c>
      <c r="K292" s="397">
        <f t="shared" si="143"/>
        <v>0</v>
      </c>
      <c r="M292" s="586"/>
      <c r="N292" s="700"/>
      <c r="O292" s="700"/>
      <c r="P292" s="700"/>
      <c r="Q292" s="164"/>
      <c r="R292" s="164"/>
      <c r="S292" s="164"/>
      <c r="T292" s="164"/>
      <c r="V292" s="98"/>
      <c r="W292" s="98"/>
      <c r="X292" s="98"/>
      <c r="Y292" s="669"/>
      <c r="Z292" s="669"/>
      <c r="AA292" s="669"/>
      <c r="AB292" s="669"/>
      <c r="AC292" s="669"/>
      <c r="AD292" s="669"/>
      <c r="AE292" s="669"/>
      <c r="AF292" s="669"/>
      <c r="AG292" s="669"/>
      <c r="AH292" s="669"/>
      <c r="AI292" s="669"/>
      <c r="AJ292" s="669"/>
      <c r="AK292" s="669"/>
      <c r="AL292" s="669"/>
      <c r="AM292" s="669"/>
      <c r="AN292" s="669"/>
      <c r="AO292" s="669"/>
      <c r="AP292" s="669"/>
      <c r="AQ292" s="669"/>
      <c r="AR292" s="669"/>
      <c r="AS292" s="669"/>
      <c r="AT292" s="669"/>
      <c r="AU292" s="669"/>
    </row>
    <row r="293" spans="1:47" ht="15.75" outlineLevel="2" x14ac:dyDescent="0.2">
      <c r="A293" s="586"/>
      <c r="B293" s="586"/>
      <c r="C293" s="352" t="str">
        <f>W268</f>
        <v/>
      </c>
      <c r="D293" s="586"/>
      <c r="E293" s="85" t="s">
        <v>80</v>
      </c>
      <c r="F293" s="86">
        <f t="shared" ref="F293:K293" si="144">IF($W$253=2,$N$253*IF($C293&lt;&gt;"",INDEX(RPBSScriptsChanged,$C293,F282),0),IF($Y253&lt;&gt;0,$M$253*INDEX(MBSRPBSDec,$C281,($Y253-1)*7+F282),0))*$V$253</f>
        <v>0</v>
      </c>
      <c r="G293" s="86">
        <f t="shared" si="144"/>
        <v>0</v>
      </c>
      <c r="H293" s="86">
        <f t="shared" si="144"/>
        <v>0</v>
      </c>
      <c r="I293" s="86">
        <f t="shared" si="144"/>
        <v>0</v>
      </c>
      <c r="J293" s="86">
        <f t="shared" si="144"/>
        <v>0</v>
      </c>
      <c r="K293" s="86">
        <f t="shared" si="144"/>
        <v>0</v>
      </c>
      <c r="M293" s="586"/>
      <c r="N293" s="700"/>
      <c r="O293" s="700"/>
      <c r="P293" s="700"/>
      <c r="Q293" s="164"/>
      <c r="R293" s="164"/>
      <c r="S293" s="164"/>
      <c r="T293" s="164"/>
      <c r="V293" s="98"/>
      <c r="W293" s="98"/>
      <c r="X293" s="98"/>
      <c r="Y293" s="669"/>
      <c r="Z293" s="669"/>
      <c r="AA293" s="669"/>
      <c r="AB293" s="669"/>
      <c r="AC293" s="669"/>
      <c r="AD293" s="669"/>
      <c r="AE293" s="669"/>
      <c r="AF293" s="669"/>
      <c r="AG293" s="669"/>
      <c r="AH293" s="669"/>
      <c r="AI293" s="669"/>
      <c r="AJ293" s="669"/>
      <c r="AK293" s="669"/>
      <c r="AL293" s="669"/>
      <c r="AM293" s="669"/>
      <c r="AN293" s="669"/>
      <c r="AO293" s="669"/>
      <c r="AP293" s="669"/>
      <c r="AQ293" s="669"/>
      <c r="AR293" s="669"/>
      <c r="AS293" s="669"/>
      <c r="AT293" s="669"/>
      <c r="AU293" s="669"/>
    </row>
    <row r="294" spans="1:47" ht="15.75" outlineLevel="2" x14ac:dyDescent="0.2">
      <c r="A294" s="586"/>
      <c r="B294" s="352">
        <v>5</v>
      </c>
      <c r="C294" s="352">
        <v>6</v>
      </c>
      <c r="D294" s="586"/>
      <c r="E294" s="696" t="s">
        <v>146</v>
      </c>
      <c r="F294" s="86" t="str">
        <f t="shared" ref="F294:K297" si="145">IF(INDEX(MBSItemsDec,$C$281,1)&lt;&gt;"",F$293*INDEX(MBSItemsDec,$C$281,$B294)*INDEX(MBSItemsDec,$C$281,$C294),"")</f>
        <v/>
      </c>
      <c r="G294" s="86" t="str">
        <f t="shared" si="145"/>
        <v/>
      </c>
      <c r="H294" s="86" t="str">
        <f t="shared" si="145"/>
        <v/>
      </c>
      <c r="I294" s="86" t="str">
        <f t="shared" si="145"/>
        <v/>
      </c>
      <c r="J294" s="86" t="str">
        <f t="shared" si="145"/>
        <v/>
      </c>
      <c r="K294" s="86" t="str">
        <f t="shared" si="145"/>
        <v/>
      </c>
      <c r="M294" s="586"/>
      <c r="N294" s="700"/>
      <c r="O294" s="700"/>
      <c r="P294" s="700"/>
      <c r="Q294" s="164"/>
      <c r="R294" s="164"/>
      <c r="S294" s="164"/>
      <c r="T294" s="164"/>
      <c r="V294" s="98"/>
      <c r="W294" s="98"/>
      <c r="X294" s="98"/>
      <c r="Y294" s="669"/>
      <c r="Z294" s="669"/>
      <c r="AA294" s="669"/>
      <c r="AB294" s="669"/>
      <c r="AC294" s="669"/>
      <c r="AD294" s="669"/>
      <c r="AE294" s="669"/>
      <c r="AF294" s="669"/>
      <c r="AG294" s="669"/>
      <c r="AH294" s="669"/>
      <c r="AI294" s="669"/>
      <c r="AJ294" s="669"/>
      <c r="AK294" s="669"/>
      <c r="AL294" s="669"/>
      <c r="AM294" s="669"/>
      <c r="AN294" s="669"/>
      <c r="AO294" s="669"/>
      <c r="AP294" s="669"/>
      <c r="AQ294" s="669"/>
      <c r="AR294" s="669"/>
      <c r="AS294" s="669"/>
      <c r="AT294" s="669"/>
      <c r="AU294" s="669"/>
    </row>
    <row r="295" spans="1:47" ht="15.75" outlineLevel="2" x14ac:dyDescent="0.2">
      <c r="A295" s="586"/>
      <c r="B295" s="352">
        <v>5</v>
      </c>
      <c r="C295" s="352">
        <v>7</v>
      </c>
      <c r="D295" s="586"/>
      <c r="E295" s="696" t="s">
        <v>147</v>
      </c>
      <c r="F295" s="86" t="str">
        <f t="shared" si="145"/>
        <v/>
      </c>
      <c r="G295" s="86" t="str">
        <f t="shared" si="145"/>
        <v/>
      </c>
      <c r="H295" s="86" t="str">
        <f t="shared" si="145"/>
        <v/>
      </c>
      <c r="I295" s="86" t="str">
        <f t="shared" si="145"/>
        <v/>
      </c>
      <c r="J295" s="86" t="str">
        <f t="shared" si="145"/>
        <v/>
      </c>
      <c r="K295" s="86" t="str">
        <f t="shared" si="145"/>
        <v/>
      </c>
      <c r="M295" s="586"/>
      <c r="N295" s="700"/>
      <c r="O295" s="700"/>
      <c r="P295" s="700"/>
      <c r="Q295" s="164"/>
      <c r="R295" s="164"/>
      <c r="S295" s="164"/>
      <c r="T295" s="164"/>
      <c r="V295" s="98"/>
      <c r="W295" s="98"/>
      <c r="X295" s="98"/>
      <c r="Y295" s="669"/>
      <c r="Z295" s="669"/>
      <c r="AA295" s="669"/>
      <c r="AB295" s="669"/>
      <c r="AC295" s="669"/>
      <c r="AD295" s="669"/>
      <c r="AE295" s="669"/>
      <c r="AF295" s="669"/>
      <c r="AG295" s="669"/>
      <c r="AH295" s="669"/>
      <c r="AI295" s="669"/>
      <c r="AJ295" s="669"/>
      <c r="AK295" s="669"/>
      <c r="AL295" s="669"/>
      <c r="AM295" s="669"/>
      <c r="AN295" s="669"/>
      <c r="AO295" s="669"/>
      <c r="AP295" s="669"/>
      <c r="AQ295" s="669"/>
      <c r="AR295" s="669"/>
      <c r="AS295" s="669"/>
      <c r="AT295" s="669"/>
      <c r="AU295" s="669"/>
    </row>
    <row r="296" spans="1:47" ht="15.75" outlineLevel="2" x14ac:dyDescent="0.2">
      <c r="A296" s="586"/>
      <c r="B296" s="352">
        <v>4</v>
      </c>
      <c r="C296" s="352">
        <v>6</v>
      </c>
      <c r="D296" s="586"/>
      <c r="E296" s="696" t="s">
        <v>148</v>
      </c>
      <c r="F296" s="86" t="str">
        <f t="shared" si="145"/>
        <v/>
      </c>
      <c r="G296" s="86" t="str">
        <f t="shared" si="145"/>
        <v/>
      </c>
      <c r="H296" s="86" t="str">
        <f t="shared" si="145"/>
        <v/>
      </c>
      <c r="I296" s="86" t="str">
        <f t="shared" si="145"/>
        <v/>
      </c>
      <c r="J296" s="86" t="str">
        <f t="shared" si="145"/>
        <v/>
      </c>
      <c r="K296" s="86" t="str">
        <f t="shared" si="145"/>
        <v/>
      </c>
      <c r="M296" s="586"/>
      <c r="N296" s="700"/>
      <c r="O296" s="700"/>
      <c r="P296" s="700"/>
      <c r="Q296" s="164"/>
      <c r="R296" s="164"/>
      <c r="S296" s="164"/>
      <c r="T296" s="164"/>
      <c r="V296" s="98"/>
      <c r="W296" s="98"/>
      <c r="X296" s="98"/>
      <c r="Y296" s="669"/>
      <c r="Z296" s="669"/>
      <c r="AA296" s="669"/>
      <c r="AB296" s="669"/>
      <c r="AC296" s="669"/>
      <c r="AD296" s="669"/>
      <c r="AE296" s="669"/>
      <c r="AF296" s="669"/>
      <c r="AG296" s="669"/>
      <c r="AH296" s="669"/>
      <c r="AI296" s="669"/>
      <c r="AJ296" s="669"/>
      <c r="AK296" s="669"/>
      <c r="AL296" s="669"/>
      <c r="AM296" s="669"/>
      <c r="AN296" s="669"/>
      <c r="AO296" s="669"/>
      <c r="AP296" s="669"/>
      <c r="AQ296" s="669"/>
      <c r="AR296" s="669"/>
      <c r="AS296" s="669"/>
      <c r="AT296" s="669"/>
      <c r="AU296" s="669"/>
    </row>
    <row r="297" spans="1:47" ht="15.75" outlineLevel="2" x14ac:dyDescent="0.2">
      <c r="A297" s="586"/>
      <c r="B297" s="352">
        <v>4</v>
      </c>
      <c r="C297" s="352">
        <v>7</v>
      </c>
      <c r="D297" s="586"/>
      <c r="E297" s="698" t="s">
        <v>149</v>
      </c>
      <c r="F297" s="86" t="str">
        <f t="shared" si="145"/>
        <v/>
      </c>
      <c r="G297" s="86" t="str">
        <f t="shared" si="145"/>
        <v/>
      </c>
      <c r="H297" s="86" t="str">
        <f t="shared" si="145"/>
        <v/>
      </c>
      <c r="I297" s="86" t="str">
        <f t="shared" si="145"/>
        <v/>
      </c>
      <c r="J297" s="86" t="str">
        <f t="shared" si="145"/>
        <v/>
      </c>
      <c r="K297" s="86" t="str">
        <f t="shared" si="145"/>
        <v/>
      </c>
      <c r="M297" s="586"/>
      <c r="N297" s="700"/>
      <c r="O297" s="700"/>
      <c r="P297" s="700"/>
      <c r="Q297" s="164"/>
      <c r="R297" s="164"/>
      <c r="S297" s="164"/>
      <c r="T297" s="164"/>
      <c r="V297" s="98"/>
      <c r="W297" s="98"/>
      <c r="X297" s="98"/>
      <c r="Y297" s="669"/>
      <c r="Z297" s="669"/>
      <c r="AA297" s="669"/>
      <c r="AB297" s="669"/>
      <c r="AC297" s="669"/>
      <c r="AD297" s="669"/>
      <c r="AE297" s="669"/>
      <c r="AF297" s="669"/>
      <c r="AG297" s="669"/>
      <c r="AH297" s="669"/>
      <c r="AI297" s="669"/>
      <c r="AJ297" s="669"/>
      <c r="AK297" s="669"/>
      <c r="AL297" s="669"/>
      <c r="AM297" s="669"/>
      <c r="AN297" s="669"/>
      <c r="AO297" s="669"/>
      <c r="AP297" s="669"/>
      <c r="AQ297" s="669"/>
      <c r="AR297" s="669"/>
      <c r="AS297" s="669"/>
      <c r="AT297" s="669"/>
      <c r="AU297" s="669"/>
    </row>
    <row r="298" spans="1:47" ht="15.75" outlineLevel="1" x14ac:dyDescent="0.2">
      <c r="A298" s="586"/>
      <c r="B298" s="586"/>
      <c r="C298" s="586"/>
      <c r="D298" s="162"/>
      <c r="E298" s="162"/>
      <c r="F298" s="586"/>
      <c r="G298" s="586"/>
      <c r="H298" s="586"/>
      <c r="I298" s="586"/>
      <c r="J298" s="586"/>
      <c r="K298" s="586"/>
      <c r="L298" s="586"/>
      <c r="M298" s="586"/>
      <c r="N298" s="700"/>
      <c r="O298" s="700"/>
      <c r="P298" s="700"/>
      <c r="Q298" s="164"/>
      <c r="R298" s="164"/>
      <c r="S298" s="164"/>
      <c r="T298" s="164"/>
      <c r="V298" s="98"/>
      <c r="W298" s="98"/>
      <c r="X298" s="98"/>
      <c r="Y298" s="669"/>
      <c r="Z298" s="669"/>
      <c r="AA298" s="669"/>
      <c r="AB298" s="669"/>
      <c r="AC298" s="669"/>
      <c r="AD298" s="669"/>
      <c r="AE298" s="669"/>
      <c r="AF298" s="669"/>
      <c r="AG298" s="669"/>
      <c r="AH298" s="669"/>
      <c r="AI298" s="669"/>
      <c r="AJ298" s="669"/>
      <c r="AK298" s="669"/>
      <c r="AL298" s="669"/>
      <c r="AM298" s="669"/>
      <c r="AN298" s="669"/>
      <c r="AO298" s="669"/>
      <c r="AP298" s="669"/>
      <c r="AQ298" s="669"/>
      <c r="AR298" s="669"/>
      <c r="AS298" s="669"/>
      <c r="AT298" s="669"/>
      <c r="AU298" s="669"/>
    </row>
    <row r="299" spans="1:47" ht="15.75" outlineLevel="1" x14ac:dyDescent="0.2">
      <c r="A299" s="586"/>
      <c r="B299" s="586"/>
      <c r="C299" s="352">
        <v>2</v>
      </c>
      <c r="D299" s="110" t="str">
        <f>INDEX(MBSNamesChange,C299)</f>
        <v>** NOT USED **</v>
      </c>
      <c r="E299" s="110"/>
      <c r="F299" s="154"/>
      <c r="G299" s="154"/>
      <c r="H299" s="154"/>
      <c r="I299" s="154"/>
      <c r="J299" s="782" t="str">
        <f>IF(D299&lt;&gt;MsgNotUsed,"Co-payment group " &amp; K254,"")</f>
        <v/>
      </c>
      <c r="K299" s="782"/>
      <c r="L299" s="154"/>
      <c r="M299" s="154"/>
      <c r="N299" s="154"/>
      <c r="O299" s="154"/>
      <c r="P299" s="154"/>
      <c r="Q299" s="154"/>
      <c r="R299" s="154"/>
      <c r="S299" s="154"/>
      <c r="T299" s="154"/>
      <c r="V299" s="98"/>
      <c r="W299" s="98"/>
      <c r="X299" s="98"/>
      <c r="Y299" s="669"/>
      <c r="Z299" s="669"/>
      <c r="AA299" s="669"/>
      <c r="AB299" s="669"/>
      <c r="AC299" s="669"/>
      <c r="AD299" s="669"/>
      <c r="AE299" s="669"/>
      <c r="AF299" s="669"/>
      <c r="AG299" s="669"/>
      <c r="AH299" s="669"/>
      <c r="AI299" s="669"/>
      <c r="AJ299" s="669"/>
      <c r="AK299" s="669"/>
      <c r="AL299" s="669"/>
      <c r="AM299" s="669"/>
      <c r="AN299" s="669"/>
      <c r="AO299" s="669"/>
      <c r="AP299" s="669"/>
      <c r="AQ299" s="669"/>
      <c r="AR299" s="669"/>
      <c r="AS299" s="669"/>
      <c r="AT299" s="669"/>
      <c r="AU299" s="669"/>
    </row>
    <row r="300" spans="1:47" outlineLevel="2" x14ac:dyDescent="0.2">
      <c r="A300" s="586"/>
      <c r="B300" s="586"/>
      <c r="C300" s="586"/>
      <c r="D300" s="674"/>
      <c r="E300" s="674"/>
      <c r="F300" s="691">
        <v>2</v>
      </c>
      <c r="G300" s="691">
        <v>3</v>
      </c>
      <c r="H300" s="691">
        <v>4</v>
      </c>
      <c r="I300" s="691">
        <v>5</v>
      </c>
      <c r="J300" s="691">
        <v>6</v>
      </c>
      <c r="K300" s="691">
        <v>7</v>
      </c>
      <c r="L300" s="691"/>
      <c r="M300" s="674"/>
      <c r="N300" s="674"/>
      <c r="O300" s="715"/>
      <c r="P300" s="674"/>
      <c r="Q300" s="674"/>
      <c r="R300" s="674"/>
      <c r="S300" s="674"/>
      <c r="T300" s="674"/>
      <c r="V300" s="98"/>
      <c r="W300" s="98"/>
      <c r="X300" s="98"/>
      <c r="Y300" s="669"/>
      <c r="Z300" s="669"/>
      <c r="AA300" s="669"/>
      <c r="AB300" s="669"/>
      <c r="AC300" s="669"/>
      <c r="AD300" s="669"/>
      <c r="AE300" s="669"/>
      <c r="AF300" s="669"/>
      <c r="AG300" s="669"/>
      <c r="AH300" s="669"/>
      <c r="AI300" s="669"/>
      <c r="AJ300" s="669"/>
      <c r="AK300" s="669"/>
      <c r="AL300" s="669"/>
      <c r="AM300" s="669"/>
      <c r="AN300" s="669"/>
      <c r="AO300" s="669"/>
      <c r="AP300" s="669"/>
      <c r="AQ300" s="669"/>
      <c r="AR300" s="669"/>
      <c r="AS300" s="669"/>
      <c r="AT300" s="669"/>
      <c r="AU300" s="669"/>
    </row>
    <row r="301" spans="1:47" ht="15" outlineLevel="2" x14ac:dyDescent="0.2">
      <c r="A301" s="586"/>
      <c r="B301" s="586"/>
      <c r="C301" s="586"/>
      <c r="D301" s="681" t="s">
        <v>0</v>
      </c>
      <c r="E301" s="681"/>
      <c r="F301" s="671">
        <f>FirstYear</f>
        <v>0</v>
      </c>
      <c r="G301" s="671">
        <f>F301+1</f>
        <v>1</v>
      </c>
      <c r="H301" s="671">
        <f>G301+1</f>
        <v>2</v>
      </c>
      <c r="I301" s="671">
        <f>H301+1</f>
        <v>3</v>
      </c>
      <c r="J301" s="671">
        <f>I301+1</f>
        <v>4</v>
      </c>
      <c r="K301" s="671">
        <f>J301+1</f>
        <v>5</v>
      </c>
      <c r="M301" s="149"/>
      <c r="N301" s="692"/>
      <c r="O301" s="692"/>
      <c r="P301" s="692"/>
      <c r="Q301" s="99"/>
      <c r="R301" s="99"/>
      <c r="S301" s="99"/>
      <c r="T301" s="99"/>
      <c r="V301" s="99"/>
      <c r="W301" s="99"/>
      <c r="X301" s="99"/>
      <c r="Y301" s="669"/>
      <c r="Z301" s="669"/>
      <c r="AA301" s="669"/>
      <c r="AB301" s="669"/>
      <c r="AC301" s="669"/>
      <c r="AD301" s="669"/>
      <c r="AE301" s="669"/>
      <c r="AF301" s="669"/>
      <c r="AG301" s="669"/>
      <c r="AH301" s="669"/>
      <c r="AI301" s="669"/>
      <c r="AJ301" s="669"/>
      <c r="AK301" s="669"/>
      <c r="AL301" s="669"/>
      <c r="AM301" s="669"/>
      <c r="AN301" s="669"/>
      <c r="AO301" s="669"/>
      <c r="AP301" s="669"/>
      <c r="AQ301" s="669"/>
      <c r="AR301" s="669"/>
      <c r="AS301" s="669"/>
      <c r="AT301" s="669"/>
      <c r="AU301" s="669"/>
    </row>
    <row r="302" spans="1:47" outlineLevel="2" x14ac:dyDescent="0.2">
      <c r="A302" s="586"/>
      <c r="B302" s="586"/>
      <c r="C302" s="586"/>
      <c r="D302" s="586"/>
      <c r="E302" s="590" t="s">
        <v>269</v>
      </c>
      <c r="F302" s="397">
        <f t="shared" ref="F302:K302" si="146">F303*$P254</f>
        <v>0</v>
      </c>
      <c r="G302" s="397">
        <f t="shared" si="146"/>
        <v>0</v>
      </c>
      <c r="H302" s="397">
        <f t="shared" si="146"/>
        <v>0</v>
      </c>
      <c r="I302" s="397">
        <f t="shared" si="146"/>
        <v>0</v>
      </c>
      <c r="J302" s="397">
        <f t="shared" si="146"/>
        <v>0</v>
      </c>
      <c r="K302" s="397">
        <f t="shared" si="146"/>
        <v>0</v>
      </c>
      <c r="M302" s="149"/>
      <c r="N302" s="669"/>
      <c r="O302" s="692"/>
      <c r="P302" s="692"/>
      <c r="Q302" s="99"/>
      <c r="R302" s="99"/>
      <c r="S302" s="99"/>
      <c r="T302" s="99"/>
      <c r="V302" s="97">
        <f>FirstYear</f>
        <v>0</v>
      </c>
      <c r="W302" s="96">
        <f>IF(F303&lt;&gt;0,F303-F306,0)</f>
        <v>0</v>
      </c>
      <c r="X302" s="99"/>
      <c r="Y302" s="669"/>
      <c r="Z302" s="669"/>
      <c r="AA302" s="669"/>
      <c r="AB302" s="669"/>
      <c r="AC302" s="669"/>
      <c r="AD302" s="669"/>
      <c r="AE302" s="669"/>
      <c r="AF302" s="669"/>
      <c r="AG302" s="669"/>
      <c r="AH302" s="669"/>
      <c r="AI302" s="669"/>
      <c r="AJ302" s="669"/>
      <c r="AK302" s="669"/>
      <c r="AL302" s="669"/>
      <c r="AM302" s="669"/>
      <c r="AN302" s="669"/>
      <c r="AO302" s="669"/>
      <c r="AP302" s="669"/>
      <c r="AQ302" s="669"/>
      <c r="AR302" s="669"/>
      <c r="AS302" s="669"/>
      <c r="AT302" s="669"/>
      <c r="AU302" s="669"/>
    </row>
    <row r="303" spans="1:47" ht="14.25" outlineLevel="2" x14ac:dyDescent="0.2">
      <c r="A303" s="586"/>
      <c r="B303" s="586"/>
      <c r="C303" s="352" t="str">
        <f>W269</f>
        <v/>
      </c>
      <c r="D303" s="586"/>
      <c r="E303" s="85" t="s">
        <v>80</v>
      </c>
      <c r="F303" s="86">
        <f t="shared" ref="F303:K303" si="147">IF($W$254=2,$N$254*IF($C303&lt;&gt;"",INDEX(PBSScriptsChanged,$C303,F300),0),IF($Y254&lt;&gt;0,$M$254*INDEX(MBSPBSDec,$C299,($Y254-1)*7+F300),0))*$V$254</f>
        <v>0</v>
      </c>
      <c r="G303" s="86">
        <f t="shared" si="147"/>
        <v>0</v>
      </c>
      <c r="H303" s="86">
        <f t="shared" si="147"/>
        <v>0</v>
      </c>
      <c r="I303" s="86">
        <f t="shared" si="147"/>
        <v>0</v>
      </c>
      <c r="J303" s="86">
        <f t="shared" si="147"/>
        <v>0</v>
      </c>
      <c r="K303" s="86">
        <f t="shared" si="147"/>
        <v>0</v>
      </c>
      <c r="M303" s="701"/>
      <c r="N303" s="669"/>
      <c r="O303" s="684"/>
      <c r="P303" s="684"/>
      <c r="Q303" s="694"/>
      <c r="R303" s="694"/>
      <c r="S303" s="694"/>
      <c r="T303" s="694"/>
      <c r="V303" s="97">
        <f>V302+1</f>
        <v>1</v>
      </c>
      <c r="W303" s="96">
        <f>IF(G303&lt;&gt;0,G303-G306,0)</f>
        <v>0</v>
      </c>
      <c r="X303" s="695"/>
      <c r="Y303" s="669"/>
      <c r="Z303" s="669"/>
      <c r="AA303" s="669"/>
      <c r="AB303" s="669"/>
      <c r="AC303" s="669"/>
      <c r="AD303" s="669"/>
      <c r="AE303" s="669"/>
      <c r="AF303" s="669"/>
      <c r="AG303" s="669"/>
      <c r="AH303" s="669"/>
      <c r="AI303" s="669"/>
      <c r="AJ303" s="669"/>
      <c r="AK303" s="669"/>
      <c r="AL303" s="669"/>
      <c r="AM303" s="669"/>
      <c r="AN303" s="669"/>
      <c r="AO303" s="669"/>
      <c r="AP303" s="669"/>
      <c r="AQ303" s="669"/>
      <c r="AR303" s="669"/>
      <c r="AS303" s="669"/>
      <c r="AT303" s="669"/>
      <c r="AU303" s="669"/>
    </row>
    <row r="304" spans="1:47" outlineLevel="2" x14ac:dyDescent="0.2">
      <c r="A304" s="586"/>
      <c r="B304" s="352">
        <v>5</v>
      </c>
      <c r="C304" s="352">
        <v>6</v>
      </c>
      <c r="D304" s="586"/>
      <c r="E304" s="696" t="s">
        <v>146</v>
      </c>
      <c r="F304" s="86" t="str">
        <f t="shared" ref="F304:K307" si="148">IF(INDEX(MBSItemsDec,$C$299,1)&lt;&gt;"",F$303*INDEX(MBSItemsDec,$C$299,$B304)*INDEX(MBSItemsDec,$C$299,$C304),"")</f>
        <v/>
      </c>
      <c r="G304" s="86" t="str">
        <f t="shared" si="148"/>
        <v/>
      </c>
      <c r="H304" s="86" t="str">
        <f t="shared" si="148"/>
        <v/>
      </c>
      <c r="I304" s="86" t="str">
        <f t="shared" si="148"/>
        <v/>
      </c>
      <c r="J304" s="86" t="str">
        <f t="shared" si="148"/>
        <v/>
      </c>
      <c r="K304" s="86" t="str">
        <f t="shared" si="148"/>
        <v/>
      </c>
      <c r="M304" s="149"/>
      <c r="N304" s="669"/>
      <c r="O304" s="697"/>
      <c r="P304" s="697"/>
      <c r="Q304" s="694"/>
      <c r="R304" s="694"/>
      <c r="S304" s="694"/>
      <c r="T304" s="694"/>
      <c r="V304" s="97">
        <f>V303+1</f>
        <v>2</v>
      </c>
      <c r="W304" s="96">
        <f>IF(H303&lt;&gt;0,H303-H306,0)</f>
        <v>0</v>
      </c>
      <c r="X304" s="695"/>
      <c r="Y304" s="669"/>
      <c r="Z304" s="669"/>
      <c r="AA304" s="669"/>
      <c r="AB304" s="669"/>
      <c r="AC304" s="669"/>
      <c r="AD304" s="669"/>
      <c r="AE304" s="669"/>
      <c r="AF304" s="669"/>
      <c r="AG304" s="669"/>
      <c r="AH304" s="669"/>
      <c r="AI304" s="669"/>
      <c r="AJ304" s="669"/>
      <c r="AK304" s="669"/>
      <c r="AL304" s="669"/>
      <c r="AM304" s="669"/>
      <c r="AN304" s="669"/>
      <c r="AO304" s="669"/>
      <c r="AP304" s="669"/>
      <c r="AQ304" s="669"/>
      <c r="AR304" s="669"/>
      <c r="AS304" s="669"/>
      <c r="AT304" s="669"/>
      <c r="AU304" s="669"/>
    </row>
    <row r="305" spans="1:47" outlineLevel="2" x14ac:dyDescent="0.2">
      <c r="A305" s="586"/>
      <c r="B305" s="352">
        <v>5</v>
      </c>
      <c r="C305" s="352">
        <v>7</v>
      </c>
      <c r="D305" s="586"/>
      <c r="E305" s="696" t="s">
        <v>147</v>
      </c>
      <c r="F305" s="86" t="str">
        <f t="shared" si="148"/>
        <v/>
      </c>
      <c r="G305" s="86" t="str">
        <f t="shared" si="148"/>
        <v/>
      </c>
      <c r="H305" s="86" t="str">
        <f t="shared" si="148"/>
        <v/>
      </c>
      <c r="I305" s="86" t="str">
        <f t="shared" si="148"/>
        <v/>
      </c>
      <c r="J305" s="86" t="str">
        <f t="shared" si="148"/>
        <v/>
      </c>
      <c r="K305" s="86" t="str">
        <f t="shared" si="148"/>
        <v/>
      </c>
      <c r="M305" s="149"/>
      <c r="N305" s="702"/>
      <c r="O305" s="697"/>
      <c r="P305" s="697"/>
      <c r="Q305" s="694"/>
      <c r="R305" s="694"/>
      <c r="S305" s="694"/>
      <c r="T305" s="694"/>
      <c r="V305" s="97">
        <f>V304+1</f>
        <v>3</v>
      </c>
      <c r="W305" s="96">
        <f>IF(I303&lt;&gt;0,I303-I306,0)</f>
        <v>0</v>
      </c>
      <c r="X305" s="695"/>
      <c r="Y305" s="669"/>
      <c r="Z305" s="669"/>
      <c r="AA305" s="669"/>
      <c r="AB305" s="669"/>
      <c r="AC305" s="669"/>
      <c r="AD305" s="669"/>
      <c r="AE305" s="669"/>
      <c r="AF305" s="669"/>
      <c r="AG305" s="669"/>
      <c r="AH305" s="669"/>
      <c r="AI305" s="669"/>
      <c r="AJ305" s="669"/>
      <c r="AK305" s="669"/>
      <c r="AL305" s="669"/>
      <c r="AM305" s="669"/>
      <c r="AN305" s="669"/>
      <c r="AO305" s="669"/>
      <c r="AP305" s="669"/>
      <c r="AQ305" s="669"/>
      <c r="AR305" s="669"/>
      <c r="AS305" s="669"/>
      <c r="AT305" s="669"/>
      <c r="AU305" s="669"/>
    </row>
    <row r="306" spans="1:47" outlineLevel="2" x14ac:dyDescent="0.2">
      <c r="A306" s="586"/>
      <c r="B306" s="352">
        <v>4</v>
      </c>
      <c r="C306" s="352">
        <v>6</v>
      </c>
      <c r="D306" s="586"/>
      <c r="E306" s="696" t="s">
        <v>148</v>
      </c>
      <c r="F306" s="86" t="str">
        <f t="shared" si="148"/>
        <v/>
      </c>
      <c r="G306" s="86" t="str">
        <f t="shared" si="148"/>
        <v/>
      </c>
      <c r="H306" s="86" t="str">
        <f t="shared" si="148"/>
        <v/>
      </c>
      <c r="I306" s="86" t="str">
        <f t="shared" si="148"/>
        <v/>
      </c>
      <c r="J306" s="86" t="str">
        <f t="shared" si="148"/>
        <v/>
      </c>
      <c r="K306" s="86" t="str">
        <f t="shared" si="148"/>
        <v/>
      </c>
      <c r="M306" s="149"/>
      <c r="N306" s="669"/>
      <c r="O306" s="697"/>
      <c r="P306" s="697"/>
      <c r="Q306" s="694"/>
      <c r="R306" s="694"/>
      <c r="S306" s="694"/>
      <c r="T306" s="694"/>
      <c r="V306" s="97">
        <f>V305+1</f>
        <v>4</v>
      </c>
      <c r="W306" s="96">
        <f>IF(J303&lt;&gt;0,J303-J306,0)</f>
        <v>0</v>
      </c>
      <c r="X306" s="695"/>
      <c r="Y306" s="669"/>
      <c r="Z306" s="669"/>
      <c r="AA306" s="669"/>
      <c r="AB306" s="669"/>
      <c r="AC306" s="669"/>
      <c r="AD306" s="669"/>
      <c r="AE306" s="669"/>
      <c r="AF306" s="669"/>
      <c r="AG306" s="669"/>
      <c r="AH306" s="669"/>
      <c r="AI306" s="669"/>
      <c r="AJ306" s="669"/>
      <c r="AK306" s="669"/>
      <c r="AL306" s="669"/>
      <c r="AM306" s="669"/>
      <c r="AN306" s="669"/>
      <c r="AO306" s="669"/>
      <c r="AP306" s="669"/>
      <c r="AQ306" s="669"/>
      <c r="AR306" s="669"/>
      <c r="AS306" s="669"/>
      <c r="AT306" s="669"/>
      <c r="AU306" s="669"/>
    </row>
    <row r="307" spans="1:47" ht="15" customHeight="1" outlineLevel="2" x14ac:dyDescent="0.2">
      <c r="A307" s="586"/>
      <c r="B307" s="352">
        <v>4</v>
      </c>
      <c r="C307" s="352">
        <v>7</v>
      </c>
      <c r="D307" s="586"/>
      <c r="E307" s="698" t="s">
        <v>149</v>
      </c>
      <c r="F307" s="86" t="str">
        <f t="shared" si="148"/>
        <v/>
      </c>
      <c r="G307" s="86" t="str">
        <f t="shared" si="148"/>
        <v/>
      </c>
      <c r="H307" s="86" t="str">
        <f t="shared" si="148"/>
        <v/>
      </c>
      <c r="I307" s="86" t="str">
        <f t="shared" si="148"/>
        <v/>
      </c>
      <c r="J307" s="86" t="str">
        <f t="shared" si="148"/>
        <v/>
      </c>
      <c r="K307" s="86" t="str">
        <f t="shared" si="148"/>
        <v/>
      </c>
      <c r="M307" s="149"/>
      <c r="N307" s="669"/>
      <c r="O307" s="697"/>
      <c r="P307" s="697"/>
      <c r="Q307" s="694"/>
      <c r="R307" s="694"/>
      <c r="S307" s="694"/>
      <c r="T307" s="694"/>
      <c r="V307" s="97">
        <f>V306+1</f>
        <v>5</v>
      </c>
      <c r="W307" s="96">
        <f>IF(K303&lt;&gt;0,K303-K306,0)</f>
        <v>0</v>
      </c>
      <c r="X307" s="695"/>
      <c r="Y307" s="669"/>
      <c r="Z307" s="669"/>
      <c r="AA307" s="669"/>
      <c r="AB307" s="669"/>
      <c r="AC307" s="669"/>
      <c r="AD307" s="669"/>
      <c r="AE307" s="669"/>
      <c r="AF307" s="669"/>
      <c r="AG307" s="669"/>
      <c r="AH307" s="669"/>
      <c r="AI307" s="669"/>
      <c r="AJ307" s="669"/>
      <c r="AK307" s="669"/>
      <c r="AL307" s="669"/>
      <c r="AM307" s="669"/>
      <c r="AN307" s="669"/>
      <c r="AO307" s="669"/>
      <c r="AP307" s="669"/>
      <c r="AQ307" s="669"/>
      <c r="AR307" s="669"/>
      <c r="AS307" s="669"/>
      <c r="AT307" s="669"/>
      <c r="AU307" s="669"/>
    </row>
    <row r="308" spans="1:47" ht="15.75" outlineLevel="2" x14ac:dyDescent="0.2">
      <c r="A308" s="586"/>
      <c r="B308" s="586"/>
      <c r="C308" s="586"/>
      <c r="D308" s="162"/>
      <c r="E308" s="162"/>
      <c r="F308" s="586"/>
      <c r="G308" s="586"/>
      <c r="H308" s="586"/>
      <c r="I308" s="586"/>
      <c r="J308" s="586"/>
      <c r="K308" s="586"/>
      <c r="M308" s="586"/>
      <c r="N308" s="669"/>
      <c r="O308" s="700"/>
      <c r="P308" s="700"/>
      <c r="Q308" s="164"/>
      <c r="R308" s="164"/>
      <c r="S308" s="164"/>
      <c r="T308" s="164"/>
      <c r="V308" s="98"/>
      <c r="W308" s="98"/>
      <c r="X308" s="98"/>
      <c r="Y308" s="669"/>
      <c r="Z308" s="669"/>
      <c r="AA308" s="669"/>
      <c r="AB308" s="669"/>
      <c r="AC308" s="669"/>
      <c r="AD308" s="669"/>
      <c r="AE308" s="669"/>
      <c r="AF308" s="669"/>
      <c r="AG308" s="669"/>
      <c r="AH308" s="669"/>
      <c r="AI308" s="669"/>
      <c r="AJ308" s="669"/>
      <c r="AK308" s="669"/>
      <c r="AL308" s="669"/>
      <c r="AM308" s="669"/>
      <c r="AN308" s="669"/>
      <c r="AO308" s="669"/>
      <c r="AP308" s="669"/>
      <c r="AQ308" s="669"/>
      <c r="AR308" s="669"/>
      <c r="AS308" s="669"/>
      <c r="AT308" s="669"/>
      <c r="AU308" s="669"/>
    </row>
    <row r="309" spans="1:47" ht="15.75" outlineLevel="2" x14ac:dyDescent="0.2">
      <c r="A309" s="586"/>
      <c r="B309" s="586"/>
      <c r="C309" s="586"/>
      <c r="D309" s="681" t="s">
        <v>1</v>
      </c>
      <c r="E309" s="681"/>
      <c r="F309" s="671">
        <f>FirstYear</f>
        <v>0</v>
      </c>
      <c r="G309" s="671">
        <f>F309+1</f>
        <v>1</v>
      </c>
      <c r="H309" s="671">
        <f>G309+1</f>
        <v>2</v>
      </c>
      <c r="I309" s="671">
        <f>H309+1</f>
        <v>3</v>
      </c>
      <c r="J309" s="671">
        <f>I309+1</f>
        <v>4</v>
      </c>
      <c r="K309" s="671">
        <f>J309+1</f>
        <v>5</v>
      </c>
      <c r="M309" s="586"/>
      <c r="N309" s="700"/>
      <c r="O309" s="700"/>
      <c r="P309" s="700"/>
      <c r="Q309" s="164"/>
      <c r="R309" s="164"/>
      <c r="S309" s="164"/>
      <c r="T309" s="164"/>
      <c r="V309" s="98"/>
      <c r="W309" s="98"/>
      <c r="X309" s="98"/>
      <c r="Y309" s="669"/>
      <c r="Z309" s="669"/>
      <c r="AA309" s="669"/>
      <c r="AB309" s="669"/>
      <c r="AC309" s="669"/>
      <c r="AD309" s="669"/>
      <c r="AE309" s="669"/>
      <c r="AF309" s="669"/>
      <c r="AG309" s="669"/>
      <c r="AH309" s="669"/>
      <c r="AI309" s="669"/>
      <c r="AJ309" s="669"/>
      <c r="AK309" s="669"/>
      <c r="AL309" s="669"/>
      <c r="AM309" s="669"/>
      <c r="AN309" s="669"/>
      <c r="AO309" s="669"/>
      <c r="AP309" s="669"/>
      <c r="AQ309" s="669"/>
      <c r="AR309" s="669"/>
      <c r="AS309" s="669"/>
      <c r="AT309" s="669"/>
      <c r="AU309" s="669"/>
    </row>
    <row r="310" spans="1:47" ht="15.75" outlineLevel="2" x14ac:dyDescent="0.2">
      <c r="A310" s="586"/>
      <c r="B310" s="586"/>
      <c r="C310" s="586"/>
      <c r="D310" s="586"/>
      <c r="E310" s="590" t="s">
        <v>269</v>
      </c>
      <c r="F310" s="397">
        <f t="shared" ref="F310:K310" si="149">F311*$P254</f>
        <v>0</v>
      </c>
      <c r="G310" s="397">
        <f t="shared" si="149"/>
        <v>0</v>
      </c>
      <c r="H310" s="397">
        <f t="shared" si="149"/>
        <v>0</v>
      </c>
      <c r="I310" s="397">
        <f t="shared" si="149"/>
        <v>0</v>
      </c>
      <c r="J310" s="397">
        <f t="shared" si="149"/>
        <v>0</v>
      </c>
      <c r="K310" s="397">
        <f t="shared" si="149"/>
        <v>0</v>
      </c>
      <c r="M310" s="586"/>
      <c r="N310" s="700"/>
      <c r="O310" s="700"/>
      <c r="P310" s="700"/>
      <c r="Q310" s="164"/>
      <c r="R310" s="164"/>
      <c r="S310" s="164"/>
      <c r="T310" s="164"/>
      <c r="V310" s="98"/>
      <c r="W310" s="98"/>
      <c r="X310" s="98"/>
      <c r="Y310" s="669"/>
      <c r="Z310" s="669"/>
      <c r="AA310" s="669"/>
      <c r="AB310" s="669"/>
      <c r="AC310" s="669"/>
      <c r="AD310" s="669"/>
      <c r="AE310" s="669"/>
      <c r="AF310" s="669"/>
      <c r="AG310" s="669"/>
      <c r="AH310" s="669"/>
      <c r="AI310" s="669"/>
      <c r="AJ310" s="669"/>
      <c r="AK310" s="669"/>
      <c r="AL310" s="669"/>
      <c r="AM310" s="669"/>
      <c r="AN310" s="669"/>
      <c r="AO310" s="669"/>
      <c r="AP310" s="669"/>
      <c r="AQ310" s="669"/>
      <c r="AR310" s="669"/>
      <c r="AS310" s="669"/>
      <c r="AT310" s="669"/>
      <c r="AU310" s="669"/>
    </row>
    <row r="311" spans="1:47" ht="15.75" outlineLevel="2" x14ac:dyDescent="0.2">
      <c r="A311" s="586"/>
      <c r="B311" s="586"/>
      <c r="C311" s="352" t="str">
        <f>W269</f>
        <v/>
      </c>
      <c r="D311" s="586"/>
      <c r="E311" s="85" t="s">
        <v>80</v>
      </c>
      <c r="F311" s="86">
        <f t="shared" ref="F311:K311" si="150">IF($W$254=2,$N$254*IF($C311&lt;&gt;"",INDEX(RPBSScriptsChanged,$C311,F300),0),IF($Y254&lt;&gt;0,$M$254*INDEX(MBSRPBSDec,$C299,($Y254-1)*7+F300),0))*$V$254</f>
        <v>0</v>
      </c>
      <c r="G311" s="86">
        <f t="shared" si="150"/>
        <v>0</v>
      </c>
      <c r="H311" s="86">
        <f t="shared" si="150"/>
        <v>0</v>
      </c>
      <c r="I311" s="86">
        <f t="shared" si="150"/>
        <v>0</v>
      </c>
      <c r="J311" s="86">
        <f t="shared" si="150"/>
        <v>0</v>
      </c>
      <c r="K311" s="86">
        <f t="shared" si="150"/>
        <v>0</v>
      </c>
      <c r="M311" s="586"/>
      <c r="N311" s="700"/>
      <c r="O311" s="700"/>
      <c r="P311" s="700"/>
      <c r="Q311" s="164"/>
      <c r="R311" s="164"/>
      <c r="S311" s="164"/>
      <c r="T311" s="164"/>
      <c r="V311" s="98"/>
      <c r="W311" s="98"/>
      <c r="X311" s="98"/>
      <c r="Y311" s="669"/>
      <c r="Z311" s="669"/>
      <c r="AA311" s="669"/>
      <c r="AB311" s="669"/>
      <c r="AC311" s="669"/>
      <c r="AD311" s="669"/>
      <c r="AE311" s="669"/>
      <c r="AF311" s="669"/>
      <c r="AG311" s="669"/>
      <c r="AH311" s="669"/>
      <c r="AI311" s="669"/>
      <c r="AJ311" s="669"/>
      <c r="AK311" s="669"/>
      <c r="AL311" s="669"/>
      <c r="AM311" s="669"/>
      <c r="AN311" s="669"/>
      <c r="AO311" s="669"/>
      <c r="AP311" s="669"/>
      <c r="AQ311" s="669"/>
      <c r="AR311" s="669"/>
      <c r="AS311" s="669"/>
      <c r="AT311" s="669"/>
      <c r="AU311" s="669"/>
    </row>
    <row r="312" spans="1:47" ht="15.75" outlineLevel="2" x14ac:dyDescent="0.2">
      <c r="A312" s="586"/>
      <c r="B312" s="352">
        <v>5</v>
      </c>
      <c r="C312" s="352">
        <v>6</v>
      </c>
      <c r="D312" s="586"/>
      <c r="E312" s="696" t="s">
        <v>146</v>
      </c>
      <c r="F312" s="86" t="str">
        <f t="shared" ref="F312:K315" si="151">IF(INDEX(MBSItemsDec,$C$299,1)&lt;&gt;"",F$311*INDEX(MBSItemsDec,$C$299,$B312)*INDEX(MBSItemsDec,$C$299,$C312),"")</f>
        <v/>
      </c>
      <c r="G312" s="86" t="str">
        <f t="shared" si="151"/>
        <v/>
      </c>
      <c r="H312" s="86" t="str">
        <f t="shared" si="151"/>
        <v/>
      </c>
      <c r="I312" s="86" t="str">
        <f t="shared" si="151"/>
        <v/>
      </c>
      <c r="J312" s="86" t="str">
        <f t="shared" si="151"/>
        <v/>
      </c>
      <c r="K312" s="86" t="str">
        <f t="shared" si="151"/>
        <v/>
      </c>
      <c r="M312" s="586"/>
      <c r="N312" s="700"/>
      <c r="O312" s="700"/>
      <c r="P312" s="700"/>
      <c r="Q312" s="164"/>
      <c r="R312" s="164"/>
      <c r="S312" s="164"/>
      <c r="T312" s="164"/>
      <c r="V312" s="98"/>
      <c r="W312" s="98"/>
      <c r="X312" s="98"/>
      <c r="Y312" s="669"/>
      <c r="Z312" s="669"/>
      <c r="AA312" s="669"/>
      <c r="AB312" s="669"/>
      <c r="AC312" s="669"/>
      <c r="AD312" s="669"/>
      <c r="AE312" s="669"/>
      <c r="AF312" s="669"/>
      <c r="AG312" s="669"/>
      <c r="AH312" s="669"/>
      <c r="AI312" s="669"/>
      <c r="AJ312" s="669"/>
      <c r="AK312" s="669"/>
      <c r="AL312" s="669"/>
      <c r="AM312" s="669"/>
      <c r="AN312" s="669"/>
      <c r="AO312" s="669"/>
      <c r="AP312" s="669"/>
      <c r="AQ312" s="669"/>
      <c r="AR312" s="669"/>
      <c r="AS312" s="669"/>
      <c r="AT312" s="669"/>
      <c r="AU312" s="669"/>
    </row>
    <row r="313" spans="1:47" ht="15.75" outlineLevel="2" x14ac:dyDescent="0.2">
      <c r="A313" s="586"/>
      <c r="B313" s="352">
        <v>5</v>
      </c>
      <c r="C313" s="352">
        <v>7</v>
      </c>
      <c r="D313" s="586"/>
      <c r="E313" s="696" t="s">
        <v>147</v>
      </c>
      <c r="F313" s="86" t="str">
        <f t="shared" si="151"/>
        <v/>
      </c>
      <c r="G313" s="86" t="str">
        <f t="shared" si="151"/>
        <v/>
      </c>
      <c r="H313" s="86" t="str">
        <f t="shared" si="151"/>
        <v/>
      </c>
      <c r="I313" s="86" t="str">
        <f t="shared" si="151"/>
        <v/>
      </c>
      <c r="J313" s="86" t="str">
        <f t="shared" si="151"/>
        <v/>
      </c>
      <c r="K313" s="86" t="str">
        <f t="shared" si="151"/>
        <v/>
      </c>
      <c r="M313" s="586"/>
      <c r="N313" s="700"/>
      <c r="O313" s="700"/>
      <c r="P313" s="700"/>
      <c r="Q313" s="164"/>
      <c r="R313" s="164"/>
      <c r="S313" s="164"/>
      <c r="T313" s="164"/>
      <c r="V313" s="98"/>
      <c r="W313" s="98"/>
      <c r="X313" s="98"/>
      <c r="Y313" s="669"/>
      <c r="Z313" s="669"/>
      <c r="AA313" s="669"/>
      <c r="AB313" s="669"/>
      <c r="AC313" s="669"/>
      <c r="AD313" s="669"/>
      <c r="AE313" s="669"/>
      <c r="AF313" s="669"/>
      <c r="AG313" s="669"/>
      <c r="AH313" s="669"/>
      <c r="AI313" s="669"/>
      <c r="AJ313" s="669"/>
      <c r="AK313" s="669"/>
      <c r="AL313" s="669"/>
      <c r="AM313" s="669"/>
      <c r="AN313" s="669"/>
      <c r="AO313" s="669"/>
      <c r="AP313" s="669"/>
      <c r="AQ313" s="669"/>
      <c r="AR313" s="669"/>
      <c r="AS313" s="669"/>
      <c r="AT313" s="669"/>
      <c r="AU313" s="669"/>
    </row>
    <row r="314" spans="1:47" ht="15.75" outlineLevel="2" x14ac:dyDescent="0.2">
      <c r="A314" s="586"/>
      <c r="B314" s="352">
        <v>4</v>
      </c>
      <c r="C314" s="352">
        <v>6</v>
      </c>
      <c r="D314" s="586"/>
      <c r="E314" s="696" t="s">
        <v>148</v>
      </c>
      <c r="F314" s="86" t="str">
        <f t="shared" si="151"/>
        <v/>
      </c>
      <c r="G314" s="86" t="str">
        <f t="shared" si="151"/>
        <v/>
      </c>
      <c r="H314" s="86" t="str">
        <f t="shared" si="151"/>
        <v/>
      </c>
      <c r="I314" s="86" t="str">
        <f t="shared" si="151"/>
        <v/>
      </c>
      <c r="J314" s="86" t="str">
        <f t="shared" si="151"/>
        <v/>
      </c>
      <c r="K314" s="86" t="str">
        <f t="shared" si="151"/>
        <v/>
      </c>
      <c r="M314" s="586"/>
      <c r="N314" s="700"/>
      <c r="O314" s="700"/>
      <c r="P314" s="700"/>
      <c r="Q314" s="164"/>
      <c r="R314" s="164"/>
      <c r="S314" s="164"/>
      <c r="T314" s="164"/>
      <c r="V314" s="98"/>
      <c r="W314" s="98"/>
      <c r="X314" s="98"/>
      <c r="Y314" s="669"/>
      <c r="Z314" s="669"/>
      <c r="AA314" s="669"/>
      <c r="AB314" s="669"/>
      <c r="AC314" s="669"/>
      <c r="AD314" s="669"/>
      <c r="AE314" s="669"/>
      <c r="AF314" s="669"/>
      <c r="AG314" s="669"/>
      <c r="AH314" s="669"/>
      <c r="AI314" s="669"/>
      <c r="AJ314" s="669"/>
      <c r="AK314" s="669"/>
      <c r="AL314" s="669"/>
      <c r="AM314" s="669"/>
      <c r="AN314" s="669"/>
      <c r="AO314" s="669"/>
      <c r="AP314" s="669"/>
      <c r="AQ314" s="669"/>
      <c r="AR314" s="669"/>
      <c r="AS314" s="669"/>
      <c r="AT314" s="669"/>
      <c r="AU314" s="669"/>
    </row>
    <row r="315" spans="1:47" ht="15.75" outlineLevel="2" x14ac:dyDescent="0.2">
      <c r="A315" s="586"/>
      <c r="B315" s="352">
        <v>4</v>
      </c>
      <c r="C315" s="352">
        <v>7</v>
      </c>
      <c r="D315" s="586"/>
      <c r="E315" s="698" t="s">
        <v>149</v>
      </c>
      <c r="F315" s="86" t="str">
        <f t="shared" si="151"/>
        <v/>
      </c>
      <c r="G315" s="86" t="str">
        <f t="shared" si="151"/>
        <v/>
      </c>
      <c r="H315" s="86" t="str">
        <f t="shared" si="151"/>
        <v/>
      </c>
      <c r="I315" s="86" t="str">
        <f t="shared" si="151"/>
        <v/>
      </c>
      <c r="J315" s="86" t="str">
        <f t="shared" si="151"/>
        <v/>
      </c>
      <c r="K315" s="86" t="str">
        <f t="shared" si="151"/>
        <v/>
      </c>
      <c r="M315" s="586"/>
      <c r="N315" s="700"/>
      <c r="O315" s="700"/>
      <c r="P315" s="700"/>
      <c r="Q315" s="164"/>
      <c r="R315" s="164"/>
      <c r="S315" s="164"/>
      <c r="T315" s="164"/>
      <c r="V315" s="98"/>
      <c r="W315" s="98"/>
      <c r="X315" s="98"/>
      <c r="Y315" s="669"/>
      <c r="Z315" s="669"/>
      <c r="AA315" s="669"/>
      <c r="AB315" s="669"/>
      <c r="AC315" s="669"/>
      <c r="AD315" s="669"/>
      <c r="AE315" s="669"/>
      <c r="AF315" s="669"/>
      <c r="AG315" s="669"/>
      <c r="AH315" s="669"/>
      <c r="AI315" s="669"/>
      <c r="AJ315" s="669"/>
      <c r="AK315" s="669"/>
      <c r="AL315" s="669"/>
      <c r="AM315" s="669"/>
      <c r="AN315" s="669"/>
      <c r="AO315" s="669"/>
      <c r="AP315" s="669"/>
      <c r="AQ315" s="669"/>
      <c r="AR315" s="669"/>
      <c r="AS315" s="669"/>
      <c r="AT315" s="669"/>
      <c r="AU315" s="669"/>
    </row>
    <row r="316" spans="1:47" ht="15.75" outlineLevel="1" x14ac:dyDescent="0.2">
      <c r="A316" s="586"/>
      <c r="B316" s="586"/>
      <c r="C316" s="586"/>
      <c r="D316" s="162"/>
      <c r="E316" s="162"/>
      <c r="F316" s="586"/>
      <c r="G316" s="586"/>
      <c r="H316" s="586"/>
      <c r="I316" s="586"/>
      <c r="J316" s="586"/>
      <c r="K316" s="586"/>
      <c r="L316" s="586"/>
      <c r="M316" s="586"/>
      <c r="N316" s="700"/>
      <c r="O316" s="700"/>
      <c r="P316" s="700"/>
      <c r="Q316" s="164"/>
      <c r="R316" s="164"/>
      <c r="S316" s="164"/>
      <c r="T316" s="164"/>
      <c r="V316" s="98"/>
      <c r="W316" s="98"/>
      <c r="X316" s="98"/>
      <c r="Y316" s="669"/>
      <c r="Z316" s="669"/>
      <c r="AA316" s="669"/>
      <c r="AB316" s="669"/>
      <c r="AC316" s="669"/>
      <c r="AD316" s="669"/>
      <c r="AE316" s="669"/>
      <c r="AF316" s="669"/>
      <c r="AG316" s="669"/>
      <c r="AH316" s="669"/>
      <c r="AI316" s="669"/>
      <c r="AJ316" s="669"/>
      <c r="AK316" s="669"/>
      <c r="AL316" s="669"/>
      <c r="AM316" s="669"/>
      <c r="AN316" s="669"/>
      <c r="AO316" s="669"/>
      <c r="AP316" s="669"/>
      <c r="AQ316" s="669"/>
      <c r="AR316" s="669"/>
      <c r="AS316" s="669"/>
      <c r="AT316" s="669"/>
      <c r="AU316" s="669"/>
    </row>
    <row r="317" spans="1:47" ht="15.75" outlineLevel="1" x14ac:dyDescent="0.2">
      <c r="A317" s="586"/>
      <c r="B317" s="586"/>
      <c r="C317" s="352">
        <v>3</v>
      </c>
      <c r="D317" s="110" t="str">
        <f>INDEX(MBSNamesChange,C317)</f>
        <v>** NOT USED **</v>
      </c>
      <c r="E317" s="110"/>
      <c r="F317" s="154"/>
      <c r="G317" s="154"/>
      <c r="H317" s="154"/>
      <c r="I317" s="154"/>
      <c r="J317" s="782" t="str">
        <f>IF(D317&lt;&gt;MsgNotUsed,"Co-payment group " &amp; K255,"")</f>
        <v/>
      </c>
      <c r="K317" s="782"/>
      <c r="L317" s="154"/>
      <c r="M317" s="154"/>
      <c r="N317" s="154"/>
      <c r="O317" s="154"/>
      <c r="P317" s="154"/>
      <c r="Q317" s="154"/>
      <c r="R317" s="154"/>
      <c r="S317" s="154"/>
      <c r="T317" s="154"/>
      <c r="V317" s="98"/>
      <c r="W317" s="98"/>
      <c r="X317" s="98"/>
      <c r="Y317" s="669"/>
      <c r="Z317" s="669"/>
      <c r="AA317" s="669"/>
      <c r="AB317" s="669"/>
      <c r="AC317" s="669"/>
      <c r="AD317" s="669"/>
      <c r="AE317" s="669"/>
      <c r="AF317" s="669"/>
      <c r="AG317" s="669"/>
      <c r="AH317" s="669"/>
      <c r="AI317" s="669"/>
      <c r="AJ317" s="669"/>
      <c r="AK317" s="669"/>
      <c r="AL317" s="669"/>
      <c r="AM317" s="669"/>
      <c r="AN317" s="669"/>
      <c r="AO317" s="669"/>
      <c r="AP317" s="669"/>
      <c r="AQ317" s="669"/>
      <c r="AR317" s="669"/>
      <c r="AS317" s="669"/>
      <c r="AT317" s="669"/>
      <c r="AU317" s="669"/>
    </row>
    <row r="318" spans="1:47" outlineLevel="2" x14ac:dyDescent="0.2">
      <c r="A318" s="586"/>
      <c r="B318" s="586"/>
      <c r="C318" s="586"/>
      <c r="D318" s="674"/>
      <c r="E318" s="674"/>
      <c r="F318" s="691">
        <v>2</v>
      </c>
      <c r="G318" s="691">
        <v>3</v>
      </c>
      <c r="H318" s="691">
        <v>4</v>
      </c>
      <c r="I318" s="691">
        <v>5</v>
      </c>
      <c r="J318" s="691">
        <v>6</v>
      </c>
      <c r="K318" s="691">
        <v>7</v>
      </c>
      <c r="L318" s="691"/>
      <c r="M318" s="674"/>
      <c r="N318" s="674"/>
      <c r="O318" s="715"/>
      <c r="P318" s="674"/>
      <c r="Q318" s="674"/>
      <c r="R318" s="674"/>
      <c r="S318" s="674"/>
      <c r="T318" s="674"/>
      <c r="V318" s="98"/>
      <c r="W318" s="98"/>
      <c r="X318" s="98"/>
      <c r="Y318" s="669"/>
      <c r="Z318" s="669"/>
      <c r="AA318" s="669"/>
      <c r="AB318" s="669"/>
      <c r="AC318" s="669"/>
      <c r="AD318" s="669"/>
      <c r="AE318" s="669"/>
      <c r="AF318" s="669"/>
      <c r="AG318" s="669"/>
      <c r="AH318" s="669"/>
      <c r="AI318" s="669"/>
      <c r="AJ318" s="669"/>
      <c r="AK318" s="669"/>
      <c r="AL318" s="669"/>
      <c r="AM318" s="669"/>
      <c r="AN318" s="669"/>
      <c r="AO318" s="669"/>
      <c r="AP318" s="669"/>
      <c r="AQ318" s="669"/>
      <c r="AR318" s="669"/>
      <c r="AS318" s="669"/>
      <c r="AT318" s="669"/>
      <c r="AU318" s="669"/>
    </row>
    <row r="319" spans="1:47" ht="15" outlineLevel="2" x14ac:dyDescent="0.2">
      <c r="A319" s="586"/>
      <c r="B319" s="586"/>
      <c r="C319" s="586"/>
      <c r="D319" s="681" t="s">
        <v>0</v>
      </c>
      <c r="E319" s="681"/>
      <c r="F319" s="671">
        <f>FirstYear</f>
        <v>0</v>
      </c>
      <c r="G319" s="671">
        <f>F319+1</f>
        <v>1</v>
      </c>
      <c r="H319" s="671">
        <f>G319+1</f>
        <v>2</v>
      </c>
      <c r="I319" s="671">
        <f>H319+1</f>
        <v>3</v>
      </c>
      <c r="J319" s="671">
        <f>I319+1</f>
        <v>4</v>
      </c>
      <c r="K319" s="671">
        <f>J319+1</f>
        <v>5</v>
      </c>
      <c r="M319" s="149"/>
      <c r="N319" s="692"/>
      <c r="O319" s="692"/>
      <c r="P319" s="692"/>
      <c r="Q319" s="99"/>
      <c r="R319" s="99"/>
      <c r="S319" s="99"/>
      <c r="T319" s="99"/>
      <c r="V319" s="99"/>
      <c r="W319" s="99"/>
      <c r="X319" s="99"/>
      <c r="Y319" s="669"/>
      <c r="Z319" s="669"/>
      <c r="AA319" s="669"/>
      <c r="AB319" s="669"/>
      <c r="AC319" s="669"/>
      <c r="AD319" s="669"/>
      <c r="AE319" s="669"/>
      <c r="AF319" s="669"/>
      <c r="AG319" s="669"/>
      <c r="AH319" s="669"/>
      <c r="AI319" s="669"/>
      <c r="AJ319" s="669"/>
      <c r="AK319" s="669"/>
      <c r="AL319" s="669"/>
      <c r="AM319" s="669"/>
      <c r="AN319" s="669"/>
      <c r="AO319" s="669"/>
      <c r="AP319" s="669"/>
      <c r="AQ319" s="669"/>
      <c r="AR319" s="669"/>
      <c r="AS319" s="669"/>
      <c r="AT319" s="669"/>
      <c r="AU319" s="669"/>
    </row>
    <row r="320" spans="1:47" outlineLevel="2" x14ac:dyDescent="0.2">
      <c r="A320" s="586"/>
      <c r="B320" s="586"/>
      <c r="C320" s="586"/>
      <c r="D320" s="586"/>
      <c r="E320" s="590" t="s">
        <v>269</v>
      </c>
      <c r="F320" s="397">
        <f t="shared" ref="F320:K320" si="152">F321*$P255</f>
        <v>0</v>
      </c>
      <c r="G320" s="397">
        <f t="shared" si="152"/>
        <v>0</v>
      </c>
      <c r="H320" s="397">
        <f t="shared" si="152"/>
        <v>0</v>
      </c>
      <c r="I320" s="397">
        <f t="shared" si="152"/>
        <v>0</v>
      </c>
      <c r="J320" s="397">
        <f t="shared" si="152"/>
        <v>0</v>
      </c>
      <c r="K320" s="397">
        <f t="shared" si="152"/>
        <v>0</v>
      </c>
      <c r="M320" s="149"/>
      <c r="N320" s="692"/>
      <c r="O320" s="692"/>
      <c r="P320" s="692"/>
      <c r="Q320" s="99"/>
      <c r="R320" s="99"/>
      <c r="S320" s="99"/>
      <c r="T320" s="99"/>
      <c r="V320" s="97">
        <f>FirstYear</f>
        <v>0</v>
      </c>
      <c r="W320" s="96">
        <f>IF(F321&lt;&gt;0,F321-F324,0)</f>
        <v>0</v>
      </c>
      <c r="X320" s="99"/>
      <c r="Y320" s="669"/>
      <c r="Z320" s="669"/>
      <c r="AA320" s="669"/>
      <c r="AB320" s="669"/>
      <c r="AC320" s="669"/>
      <c r="AD320" s="669"/>
      <c r="AE320" s="669"/>
      <c r="AF320" s="669"/>
      <c r="AG320" s="669"/>
      <c r="AH320" s="669"/>
      <c r="AI320" s="669"/>
      <c r="AJ320" s="669"/>
      <c r="AK320" s="669"/>
      <c r="AL320" s="669"/>
      <c r="AM320" s="669"/>
      <c r="AN320" s="669"/>
      <c r="AO320" s="669"/>
      <c r="AP320" s="669"/>
      <c r="AQ320" s="669"/>
      <c r="AR320" s="669"/>
      <c r="AS320" s="669"/>
      <c r="AT320" s="669"/>
      <c r="AU320" s="669"/>
    </row>
    <row r="321" spans="1:47" ht="14.25" outlineLevel="2" x14ac:dyDescent="0.2">
      <c r="A321" s="586"/>
      <c r="B321" s="586"/>
      <c r="C321" s="352" t="str">
        <f>W270</f>
        <v/>
      </c>
      <c r="D321" s="586"/>
      <c r="E321" s="85" t="s">
        <v>80</v>
      </c>
      <c r="F321" s="86">
        <f t="shared" ref="F321:K321" si="153">IF($W$255=2,$N$255*IF($C321&lt;&gt;"",INDEX(PBSScriptsChanged,$C321,F318),0),IF($Y255&lt;&gt;0,$M$255*INDEX(MBSPBSDec,$C317,($Y255-1)*7+F318),0))*$V$255</f>
        <v>0</v>
      </c>
      <c r="G321" s="86">
        <f t="shared" si="153"/>
        <v>0</v>
      </c>
      <c r="H321" s="86">
        <f t="shared" si="153"/>
        <v>0</v>
      </c>
      <c r="I321" s="86">
        <f t="shared" si="153"/>
        <v>0</v>
      </c>
      <c r="J321" s="86">
        <f t="shared" si="153"/>
        <v>0</v>
      </c>
      <c r="K321" s="86">
        <f t="shared" si="153"/>
        <v>0</v>
      </c>
      <c r="M321" s="701"/>
      <c r="N321" s="684"/>
      <c r="O321" s="684"/>
      <c r="P321" s="684"/>
      <c r="Q321" s="694"/>
      <c r="R321" s="694"/>
      <c r="S321" s="694"/>
      <c r="T321" s="694"/>
      <c r="V321" s="97">
        <f>V320+1</f>
        <v>1</v>
      </c>
      <c r="W321" s="96">
        <f>IF(G321&lt;&gt;0,G321-G324,0)</f>
        <v>0</v>
      </c>
      <c r="X321" s="695"/>
      <c r="Y321" s="669"/>
      <c r="Z321" s="669"/>
      <c r="AA321" s="669"/>
      <c r="AB321" s="669"/>
      <c r="AC321" s="669"/>
      <c r="AD321" s="669"/>
      <c r="AE321" s="669"/>
      <c r="AF321" s="669"/>
      <c r="AG321" s="669"/>
      <c r="AH321" s="669"/>
      <c r="AI321" s="669"/>
      <c r="AJ321" s="669"/>
      <c r="AK321" s="669"/>
      <c r="AL321" s="669"/>
      <c r="AM321" s="669"/>
      <c r="AN321" s="669"/>
      <c r="AO321" s="669"/>
      <c r="AP321" s="669"/>
      <c r="AQ321" s="669"/>
      <c r="AR321" s="669"/>
      <c r="AS321" s="669"/>
      <c r="AT321" s="669"/>
      <c r="AU321" s="669"/>
    </row>
    <row r="322" spans="1:47" outlineLevel="2" x14ac:dyDescent="0.2">
      <c r="A322" s="586"/>
      <c r="B322" s="352">
        <v>5</v>
      </c>
      <c r="C322" s="352">
        <v>6</v>
      </c>
      <c r="D322" s="586"/>
      <c r="E322" s="696" t="s">
        <v>146</v>
      </c>
      <c r="F322" s="86" t="str">
        <f t="shared" ref="F322:K325" si="154">IF(INDEX(MBSItemsDec,$C$317,1)&lt;&gt;"",F$321*INDEX(MBSItemsDec,$C$317,$B322)*INDEX(MBSItemsDec,$C$317,$C322),"")</f>
        <v/>
      </c>
      <c r="G322" s="86" t="str">
        <f t="shared" si="154"/>
        <v/>
      </c>
      <c r="H322" s="86" t="str">
        <f t="shared" si="154"/>
        <v/>
      </c>
      <c r="I322" s="86" t="str">
        <f t="shared" si="154"/>
        <v/>
      </c>
      <c r="J322" s="86" t="str">
        <f t="shared" si="154"/>
        <v/>
      </c>
      <c r="K322" s="86" t="str">
        <f t="shared" si="154"/>
        <v/>
      </c>
      <c r="M322" s="149"/>
      <c r="N322" s="697"/>
      <c r="O322" s="697"/>
      <c r="P322" s="697"/>
      <c r="Q322" s="694"/>
      <c r="R322" s="694"/>
      <c r="S322" s="694"/>
      <c r="T322" s="694"/>
      <c r="V322" s="97">
        <f>V321+1</f>
        <v>2</v>
      </c>
      <c r="W322" s="96">
        <f>IF(H321&lt;&gt;0,H321-H324,0)</f>
        <v>0</v>
      </c>
      <c r="X322" s="695"/>
      <c r="Y322" s="669"/>
      <c r="Z322" s="669"/>
      <c r="AA322" s="669"/>
      <c r="AB322" s="669"/>
      <c r="AC322" s="669"/>
      <c r="AD322" s="669"/>
      <c r="AE322" s="669"/>
      <c r="AF322" s="669"/>
      <c r="AG322" s="669"/>
      <c r="AH322" s="669"/>
      <c r="AI322" s="669"/>
      <c r="AJ322" s="669"/>
      <c r="AK322" s="669"/>
      <c r="AL322" s="669"/>
      <c r="AM322" s="669"/>
      <c r="AN322" s="669"/>
      <c r="AO322" s="669"/>
      <c r="AP322" s="669"/>
      <c r="AQ322" s="669"/>
      <c r="AR322" s="669"/>
      <c r="AS322" s="669"/>
      <c r="AT322" s="669"/>
      <c r="AU322" s="669"/>
    </row>
    <row r="323" spans="1:47" outlineLevel="2" x14ac:dyDescent="0.2">
      <c r="A323" s="586"/>
      <c r="B323" s="352">
        <v>5</v>
      </c>
      <c r="C323" s="352">
        <v>7</v>
      </c>
      <c r="D323" s="586"/>
      <c r="E323" s="696" t="s">
        <v>147</v>
      </c>
      <c r="F323" s="86" t="str">
        <f t="shared" si="154"/>
        <v/>
      </c>
      <c r="G323" s="86" t="str">
        <f t="shared" si="154"/>
        <v/>
      </c>
      <c r="H323" s="86" t="str">
        <f t="shared" si="154"/>
        <v/>
      </c>
      <c r="I323" s="86" t="str">
        <f t="shared" si="154"/>
        <v/>
      </c>
      <c r="J323" s="86" t="str">
        <f t="shared" si="154"/>
        <v/>
      </c>
      <c r="K323" s="86" t="str">
        <f t="shared" si="154"/>
        <v/>
      </c>
      <c r="M323" s="149"/>
      <c r="N323" s="697"/>
      <c r="O323" s="697"/>
      <c r="P323" s="697"/>
      <c r="Q323" s="694"/>
      <c r="R323" s="694"/>
      <c r="S323" s="694"/>
      <c r="T323" s="694"/>
      <c r="V323" s="97">
        <f>V322+1</f>
        <v>3</v>
      </c>
      <c r="W323" s="96">
        <f>IF(I321&lt;&gt;0,I321-I324,0)</f>
        <v>0</v>
      </c>
      <c r="X323" s="695"/>
      <c r="Y323" s="669"/>
      <c r="Z323" s="669"/>
      <c r="AA323" s="669"/>
      <c r="AB323" s="669"/>
      <c r="AC323" s="669"/>
      <c r="AD323" s="669"/>
      <c r="AE323" s="669"/>
      <c r="AF323" s="669"/>
      <c r="AG323" s="669"/>
      <c r="AH323" s="669"/>
      <c r="AI323" s="669"/>
      <c r="AJ323" s="669"/>
      <c r="AK323" s="669"/>
      <c r="AL323" s="669"/>
      <c r="AM323" s="669"/>
      <c r="AN323" s="669"/>
      <c r="AO323" s="669"/>
      <c r="AP323" s="669"/>
      <c r="AQ323" s="669"/>
      <c r="AR323" s="669"/>
      <c r="AS323" s="669"/>
      <c r="AT323" s="669"/>
      <c r="AU323" s="669"/>
    </row>
    <row r="324" spans="1:47" outlineLevel="2" x14ac:dyDescent="0.2">
      <c r="A324" s="586"/>
      <c r="B324" s="352">
        <v>4</v>
      </c>
      <c r="C324" s="352">
        <v>6</v>
      </c>
      <c r="D324" s="586"/>
      <c r="E324" s="696" t="s">
        <v>148</v>
      </c>
      <c r="F324" s="86" t="str">
        <f t="shared" si="154"/>
        <v/>
      </c>
      <c r="G324" s="86" t="str">
        <f t="shared" si="154"/>
        <v/>
      </c>
      <c r="H324" s="86" t="str">
        <f t="shared" si="154"/>
        <v/>
      </c>
      <c r="I324" s="86" t="str">
        <f t="shared" si="154"/>
        <v/>
      </c>
      <c r="J324" s="86" t="str">
        <f t="shared" si="154"/>
        <v/>
      </c>
      <c r="K324" s="86" t="str">
        <f t="shared" si="154"/>
        <v/>
      </c>
      <c r="M324" s="149"/>
      <c r="N324" s="697"/>
      <c r="O324" s="697"/>
      <c r="P324" s="697"/>
      <c r="Q324" s="694"/>
      <c r="R324" s="694"/>
      <c r="S324" s="694"/>
      <c r="T324" s="694"/>
      <c r="V324" s="97">
        <f>V323+1</f>
        <v>4</v>
      </c>
      <c r="W324" s="96">
        <f>IF(J321&lt;&gt;0,J321-J324,0)</f>
        <v>0</v>
      </c>
      <c r="X324" s="695"/>
      <c r="Y324" s="669"/>
      <c r="Z324" s="669"/>
      <c r="AA324" s="669"/>
      <c r="AB324" s="669"/>
      <c r="AC324" s="669"/>
      <c r="AD324" s="669"/>
      <c r="AE324" s="669"/>
      <c r="AF324" s="669"/>
      <c r="AG324" s="669"/>
      <c r="AH324" s="669"/>
      <c r="AI324" s="669"/>
      <c r="AJ324" s="669"/>
      <c r="AK324" s="669"/>
      <c r="AL324" s="669"/>
      <c r="AM324" s="669"/>
      <c r="AN324" s="669"/>
      <c r="AO324" s="669"/>
      <c r="AP324" s="669"/>
      <c r="AQ324" s="669"/>
      <c r="AR324" s="669"/>
      <c r="AS324" s="669"/>
      <c r="AT324" s="669"/>
      <c r="AU324" s="669"/>
    </row>
    <row r="325" spans="1:47" ht="12.75" customHeight="1" outlineLevel="2" x14ac:dyDescent="0.2">
      <c r="A325" s="586"/>
      <c r="B325" s="352">
        <v>4</v>
      </c>
      <c r="C325" s="352">
        <v>7</v>
      </c>
      <c r="D325" s="586"/>
      <c r="E325" s="698" t="s">
        <v>149</v>
      </c>
      <c r="F325" s="86" t="str">
        <f t="shared" si="154"/>
        <v/>
      </c>
      <c r="G325" s="86" t="str">
        <f t="shared" si="154"/>
        <v/>
      </c>
      <c r="H325" s="86" t="str">
        <f t="shared" si="154"/>
        <v/>
      </c>
      <c r="I325" s="86" t="str">
        <f t="shared" si="154"/>
        <v/>
      </c>
      <c r="J325" s="86" t="str">
        <f t="shared" si="154"/>
        <v/>
      </c>
      <c r="K325" s="86" t="str">
        <f t="shared" si="154"/>
        <v/>
      </c>
      <c r="M325" s="149"/>
      <c r="N325" s="697"/>
      <c r="O325" s="697"/>
      <c r="P325" s="697"/>
      <c r="Q325" s="694"/>
      <c r="R325" s="694"/>
      <c r="S325" s="694"/>
      <c r="T325" s="694"/>
      <c r="V325" s="97">
        <f>V324+1</f>
        <v>5</v>
      </c>
      <c r="W325" s="96">
        <f>IF(K321&lt;&gt;0,K321-K324,0)</f>
        <v>0</v>
      </c>
      <c r="X325" s="695"/>
      <c r="Y325" s="669"/>
      <c r="Z325" s="669"/>
      <c r="AA325" s="669"/>
      <c r="AB325" s="669"/>
      <c r="AC325" s="669"/>
      <c r="AD325" s="669"/>
      <c r="AE325" s="669"/>
      <c r="AF325" s="669"/>
      <c r="AG325" s="669"/>
      <c r="AH325" s="669"/>
      <c r="AI325" s="669"/>
      <c r="AJ325" s="669"/>
      <c r="AK325" s="669"/>
      <c r="AL325" s="669"/>
      <c r="AM325" s="669"/>
      <c r="AN325" s="669"/>
      <c r="AO325" s="669"/>
      <c r="AP325" s="669"/>
      <c r="AQ325" s="669"/>
      <c r="AR325" s="669"/>
      <c r="AS325" s="669"/>
      <c r="AT325" s="669"/>
      <c r="AU325" s="669"/>
    </row>
    <row r="326" spans="1:47" outlineLevel="2" x14ac:dyDescent="0.2">
      <c r="A326" s="586"/>
      <c r="B326" s="586"/>
      <c r="C326" s="586"/>
      <c r="D326" s="586"/>
      <c r="E326" s="586"/>
      <c r="F326" s="586"/>
      <c r="G326" s="586"/>
      <c r="H326" s="586"/>
      <c r="I326" s="586"/>
      <c r="J326" s="586"/>
      <c r="K326" s="586"/>
      <c r="M326" s="586"/>
      <c r="N326" s="164"/>
      <c r="O326" s="164"/>
      <c r="P326" s="164"/>
      <c r="Q326" s="164"/>
      <c r="R326" s="164"/>
      <c r="S326" s="164"/>
      <c r="T326" s="164"/>
      <c r="V326" s="98"/>
      <c r="W326" s="98"/>
      <c r="X326" s="98"/>
      <c r="Y326" s="669"/>
      <c r="Z326" s="669"/>
      <c r="AA326" s="669"/>
      <c r="AB326" s="669"/>
      <c r="AC326" s="669"/>
      <c r="AD326" s="669"/>
      <c r="AE326" s="669"/>
      <c r="AF326" s="669"/>
      <c r="AG326" s="669"/>
      <c r="AH326" s="669"/>
      <c r="AI326" s="669"/>
      <c r="AJ326" s="669"/>
      <c r="AK326" s="669"/>
      <c r="AL326" s="669"/>
      <c r="AM326" s="669"/>
      <c r="AN326" s="669"/>
      <c r="AO326" s="669"/>
      <c r="AP326" s="669"/>
      <c r="AQ326" s="669"/>
      <c r="AR326" s="669"/>
      <c r="AS326" s="669"/>
      <c r="AT326" s="669"/>
      <c r="AU326" s="669"/>
    </row>
    <row r="327" spans="1:47" ht="15" outlineLevel="2" x14ac:dyDescent="0.2">
      <c r="A327" s="586"/>
      <c r="B327" s="586"/>
      <c r="C327" s="586"/>
      <c r="D327" s="681" t="s">
        <v>1</v>
      </c>
      <c r="E327" s="681"/>
      <c r="F327" s="671">
        <f>FirstYear</f>
        <v>0</v>
      </c>
      <c r="G327" s="671">
        <f>F327+1</f>
        <v>1</v>
      </c>
      <c r="H327" s="671">
        <f>G327+1</f>
        <v>2</v>
      </c>
      <c r="I327" s="671">
        <f>H327+1</f>
        <v>3</v>
      </c>
      <c r="J327" s="671">
        <f>I327+1</f>
        <v>4</v>
      </c>
      <c r="K327" s="671">
        <f>J327+1</f>
        <v>5</v>
      </c>
      <c r="M327" s="586"/>
      <c r="N327" s="164"/>
      <c r="O327" s="164"/>
      <c r="P327" s="164"/>
      <c r="Q327" s="164"/>
      <c r="R327" s="164"/>
      <c r="S327" s="164"/>
      <c r="T327" s="164"/>
      <c r="V327" s="98"/>
      <c r="W327" s="98"/>
      <c r="X327" s="98"/>
      <c r="Y327" s="669"/>
      <c r="Z327" s="669"/>
      <c r="AA327" s="669"/>
      <c r="AB327" s="669"/>
      <c r="AC327" s="669"/>
      <c r="AD327" s="669"/>
      <c r="AE327" s="669"/>
      <c r="AF327" s="669"/>
      <c r="AG327" s="669"/>
      <c r="AH327" s="669"/>
      <c r="AI327" s="669"/>
      <c r="AJ327" s="669"/>
      <c r="AK327" s="669"/>
      <c r="AL327" s="669"/>
      <c r="AM327" s="669"/>
      <c r="AN327" s="669"/>
      <c r="AO327" s="669"/>
      <c r="AP327" s="669"/>
      <c r="AQ327" s="669"/>
      <c r="AR327" s="669"/>
      <c r="AS327" s="669"/>
      <c r="AT327" s="669"/>
      <c r="AU327" s="669"/>
    </row>
    <row r="328" spans="1:47" outlineLevel="2" x14ac:dyDescent="0.2">
      <c r="A328" s="586"/>
      <c r="B328" s="586"/>
      <c r="C328" s="586"/>
      <c r="D328" s="586"/>
      <c r="E328" s="590" t="s">
        <v>269</v>
      </c>
      <c r="F328" s="397">
        <f t="shared" ref="F328:K328" si="155">F329*$P255</f>
        <v>0</v>
      </c>
      <c r="G328" s="397">
        <f t="shared" si="155"/>
        <v>0</v>
      </c>
      <c r="H328" s="397">
        <f t="shared" si="155"/>
        <v>0</v>
      </c>
      <c r="I328" s="397">
        <f t="shared" si="155"/>
        <v>0</v>
      </c>
      <c r="J328" s="397">
        <f t="shared" si="155"/>
        <v>0</v>
      </c>
      <c r="K328" s="397">
        <f t="shared" si="155"/>
        <v>0</v>
      </c>
      <c r="M328" s="586"/>
      <c r="N328" s="164"/>
      <c r="O328" s="164"/>
      <c r="P328" s="164"/>
      <c r="Q328" s="164"/>
      <c r="R328" s="164"/>
      <c r="S328" s="164"/>
      <c r="T328" s="164"/>
      <c r="V328" s="98"/>
      <c r="W328" s="98"/>
      <c r="X328" s="98"/>
      <c r="Y328" s="669"/>
      <c r="Z328" s="669"/>
      <c r="AA328" s="669"/>
      <c r="AB328" s="669"/>
      <c r="AC328" s="669"/>
      <c r="AD328" s="669"/>
      <c r="AE328" s="669"/>
      <c r="AF328" s="669"/>
      <c r="AG328" s="669"/>
      <c r="AH328" s="669"/>
      <c r="AI328" s="669"/>
      <c r="AJ328" s="669"/>
      <c r="AK328" s="669"/>
      <c r="AL328" s="669"/>
      <c r="AM328" s="669"/>
      <c r="AN328" s="669"/>
      <c r="AO328" s="669"/>
      <c r="AP328" s="669"/>
      <c r="AQ328" s="669"/>
      <c r="AR328" s="669"/>
      <c r="AS328" s="669"/>
      <c r="AT328" s="669"/>
      <c r="AU328" s="669"/>
    </row>
    <row r="329" spans="1:47" outlineLevel="2" x14ac:dyDescent="0.2">
      <c r="A329" s="586"/>
      <c r="B329" s="586"/>
      <c r="C329" s="352" t="str">
        <f>W270</f>
        <v/>
      </c>
      <c r="D329" s="586"/>
      <c r="E329" s="85" t="s">
        <v>80</v>
      </c>
      <c r="F329" s="86">
        <f t="shared" ref="F329:K329" si="156">IF($W$255=2,$N$255*IF($C329&lt;&gt;"",INDEX(RPBSScriptsChanged,$C329,F318),0),IF($Y255&lt;&gt;0,$M$255*INDEX(MBSRPBSDec,$C317,($Y255-1)*7+F318),0))*$V$255</f>
        <v>0</v>
      </c>
      <c r="G329" s="86">
        <f t="shared" si="156"/>
        <v>0</v>
      </c>
      <c r="H329" s="86">
        <f t="shared" si="156"/>
        <v>0</v>
      </c>
      <c r="I329" s="86">
        <f t="shared" si="156"/>
        <v>0</v>
      </c>
      <c r="J329" s="86">
        <f t="shared" si="156"/>
        <v>0</v>
      </c>
      <c r="K329" s="86">
        <f t="shared" si="156"/>
        <v>0</v>
      </c>
      <c r="M329" s="586"/>
      <c r="N329" s="164"/>
      <c r="O329" s="164"/>
      <c r="P329" s="164"/>
      <c r="Q329" s="164"/>
      <c r="R329" s="164"/>
      <c r="S329" s="164"/>
      <c r="T329" s="164"/>
      <c r="V329" s="98"/>
      <c r="W329" s="98"/>
      <c r="X329" s="98"/>
      <c r="Y329" s="669"/>
      <c r="Z329" s="669"/>
      <c r="AA329" s="669"/>
      <c r="AB329" s="669"/>
      <c r="AC329" s="669"/>
      <c r="AD329" s="669"/>
      <c r="AE329" s="669"/>
      <c r="AF329" s="669"/>
      <c r="AG329" s="669"/>
      <c r="AH329" s="669"/>
      <c r="AI329" s="669"/>
      <c r="AJ329" s="669"/>
      <c r="AK329" s="669"/>
      <c r="AL329" s="669"/>
      <c r="AM329" s="669"/>
      <c r="AN329" s="669"/>
      <c r="AO329" s="669"/>
      <c r="AP329" s="669"/>
      <c r="AQ329" s="669"/>
      <c r="AR329" s="669"/>
      <c r="AS329" s="669"/>
      <c r="AT329" s="669"/>
      <c r="AU329" s="669"/>
    </row>
    <row r="330" spans="1:47" outlineLevel="2" x14ac:dyDescent="0.2">
      <c r="A330" s="586"/>
      <c r="B330" s="352">
        <v>5</v>
      </c>
      <c r="C330" s="352">
        <v>6</v>
      </c>
      <c r="D330" s="586"/>
      <c r="E330" s="696" t="s">
        <v>146</v>
      </c>
      <c r="F330" s="86" t="str">
        <f t="shared" ref="F330:K333" si="157">IF(INDEX(MBSItemsDec,$C$317,1)&lt;&gt;"",F$329*INDEX(MBSItemsDec,$C$317,$B330)*INDEX(MBSItemsDec,$C$317,$C330),"")</f>
        <v/>
      </c>
      <c r="G330" s="86" t="str">
        <f t="shared" si="157"/>
        <v/>
      </c>
      <c r="H330" s="86" t="str">
        <f t="shared" si="157"/>
        <v/>
      </c>
      <c r="I330" s="86" t="str">
        <f t="shared" si="157"/>
        <v/>
      </c>
      <c r="J330" s="86" t="str">
        <f t="shared" si="157"/>
        <v/>
      </c>
      <c r="K330" s="86" t="str">
        <f t="shared" si="157"/>
        <v/>
      </c>
      <c r="M330" s="586"/>
      <c r="N330" s="164"/>
      <c r="O330" s="164"/>
      <c r="P330" s="164"/>
      <c r="Q330" s="164"/>
      <c r="R330" s="164"/>
      <c r="S330" s="164"/>
      <c r="T330" s="164"/>
      <c r="V330" s="98"/>
      <c r="W330" s="98"/>
      <c r="X330" s="98"/>
      <c r="Y330" s="669"/>
      <c r="Z330" s="669"/>
      <c r="AA330" s="669"/>
      <c r="AB330" s="669"/>
      <c r="AC330" s="669"/>
      <c r="AD330" s="669"/>
      <c r="AE330" s="669"/>
      <c r="AF330" s="669"/>
      <c r="AG330" s="669"/>
      <c r="AH330" s="669"/>
      <c r="AI330" s="669"/>
      <c r="AJ330" s="669"/>
      <c r="AK330" s="669"/>
      <c r="AL330" s="669"/>
      <c r="AM330" s="669"/>
      <c r="AN330" s="669"/>
      <c r="AO330" s="669"/>
      <c r="AP330" s="669"/>
      <c r="AQ330" s="669"/>
      <c r="AR330" s="669"/>
      <c r="AS330" s="669"/>
      <c r="AT330" s="669"/>
      <c r="AU330" s="669"/>
    </row>
    <row r="331" spans="1:47" outlineLevel="2" x14ac:dyDescent="0.2">
      <c r="A331" s="586"/>
      <c r="B331" s="352">
        <v>5</v>
      </c>
      <c r="C331" s="352">
        <v>7</v>
      </c>
      <c r="D331" s="586"/>
      <c r="E331" s="696" t="s">
        <v>147</v>
      </c>
      <c r="F331" s="86" t="str">
        <f t="shared" si="157"/>
        <v/>
      </c>
      <c r="G331" s="86" t="str">
        <f t="shared" si="157"/>
        <v/>
      </c>
      <c r="H331" s="86" t="str">
        <f t="shared" si="157"/>
        <v/>
      </c>
      <c r="I331" s="86" t="str">
        <f t="shared" si="157"/>
        <v/>
      </c>
      <c r="J331" s="86" t="str">
        <f t="shared" si="157"/>
        <v/>
      </c>
      <c r="K331" s="86" t="str">
        <f t="shared" si="157"/>
        <v/>
      </c>
      <c r="M331" s="586"/>
      <c r="N331" s="164"/>
      <c r="O331" s="164"/>
      <c r="P331" s="164"/>
      <c r="Q331" s="164"/>
      <c r="R331" s="164"/>
      <c r="S331" s="164"/>
      <c r="T331" s="164"/>
      <c r="V331" s="98"/>
      <c r="W331" s="98"/>
      <c r="X331" s="98"/>
      <c r="Y331" s="669"/>
      <c r="Z331" s="669"/>
      <c r="AA331" s="669"/>
      <c r="AB331" s="669"/>
      <c r="AC331" s="669"/>
      <c r="AD331" s="669"/>
      <c r="AE331" s="669"/>
      <c r="AF331" s="669"/>
      <c r="AG331" s="669"/>
      <c r="AH331" s="669"/>
      <c r="AI331" s="669"/>
      <c r="AJ331" s="669"/>
      <c r="AK331" s="669"/>
      <c r="AL331" s="669"/>
      <c r="AM331" s="669"/>
      <c r="AN331" s="669"/>
      <c r="AO331" s="669"/>
      <c r="AP331" s="669"/>
      <c r="AQ331" s="669"/>
      <c r="AR331" s="669"/>
      <c r="AS331" s="669"/>
      <c r="AT331" s="669"/>
      <c r="AU331" s="669"/>
    </row>
    <row r="332" spans="1:47" outlineLevel="2" x14ac:dyDescent="0.2">
      <c r="A332" s="586"/>
      <c r="B332" s="352">
        <v>4</v>
      </c>
      <c r="C332" s="352">
        <v>6</v>
      </c>
      <c r="D332" s="586"/>
      <c r="E332" s="696" t="s">
        <v>148</v>
      </c>
      <c r="F332" s="86" t="str">
        <f t="shared" si="157"/>
        <v/>
      </c>
      <c r="G332" s="86" t="str">
        <f t="shared" si="157"/>
        <v/>
      </c>
      <c r="H332" s="86" t="str">
        <f t="shared" si="157"/>
        <v/>
      </c>
      <c r="I332" s="86" t="str">
        <f t="shared" si="157"/>
        <v/>
      </c>
      <c r="J332" s="86" t="str">
        <f t="shared" si="157"/>
        <v/>
      </c>
      <c r="K332" s="86" t="str">
        <f t="shared" si="157"/>
        <v/>
      </c>
      <c r="M332" s="586"/>
      <c r="N332" s="164"/>
      <c r="O332" s="164"/>
      <c r="P332" s="164"/>
      <c r="Q332" s="164"/>
      <c r="R332" s="164"/>
      <c r="S332" s="164"/>
      <c r="T332" s="164"/>
      <c r="V332" s="98"/>
      <c r="W332" s="98"/>
      <c r="X332" s="98"/>
      <c r="Y332" s="669"/>
      <c r="Z332" s="669"/>
      <c r="AA332" s="669"/>
      <c r="AB332" s="669"/>
      <c r="AC332" s="669"/>
      <c r="AD332" s="669"/>
      <c r="AE332" s="669"/>
      <c r="AF332" s="669"/>
      <c r="AG332" s="669"/>
      <c r="AH332" s="669"/>
      <c r="AI332" s="669"/>
      <c r="AJ332" s="669"/>
      <c r="AK332" s="669"/>
      <c r="AL332" s="669"/>
      <c r="AM332" s="669"/>
      <c r="AN332" s="669"/>
      <c r="AO332" s="669"/>
      <c r="AP332" s="669"/>
      <c r="AQ332" s="669"/>
      <c r="AR332" s="669"/>
      <c r="AS332" s="669"/>
      <c r="AT332" s="669"/>
      <c r="AU332" s="669"/>
    </row>
    <row r="333" spans="1:47" outlineLevel="2" x14ac:dyDescent="0.2">
      <c r="A333" s="586"/>
      <c r="B333" s="352">
        <v>4</v>
      </c>
      <c r="C333" s="352">
        <v>7</v>
      </c>
      <c r="D333" s="586"/>
      <c r="E333" s="698" t="s">
        <v>149</v>
      </c>
      <c r="F333" s="86" t="str">
        <f t="shared" si="157"/>
        <v/>
      </c>
      <c r="G333" s="86" t="str">
        <f t="shared" si="157"/>
        <v/>
      </c>
      <c r="H333" s="86" t="str">
        <f t="shared" si="157"/>
        <v/>
      </c>
      <c r="I333" s="86" t="str">
        <f t="shared" si="157"/>
        <v/>
      </c>
      <c r="J333" s="86" t="str">
        <f t="shared" si="157"/>
        <v/>
      </c>
      <c r="K333" s="86" t="str">
        <f t="shared" si="157"/>
        <v/>
      </c>
      <c r="M333" s="586"/>
      <c r="N333" s="164"/>
      <c r="O333" s="164"/>
      <c r="P333" s="164"/>
      <c r="Q333" s="164"/>
      <c r="R333" s="164"/>
      <c r="S333" s="164"/>
      <c r="T333" s="164"/>
      <c r="V333" s="98"/>
      <c r="W333" s="98"/>
      <c r="X333" s="98"/>
      <c r="Y333" s="669"/>
      <c r="Z333" s="669"/>
      <c r="AA333" s="669"/>
      <c r="AB333" s="669"/>
      <c r="AC333" s="669"/>
      <c r="AD333" s="669"/>
      <c r="AE333" s="669"/>
      <c r="AF333" s="669"/>
      <c r="AG333" s="669"/>
      <c r="AH333" s="669"/>
      <c r="AI333" s="669"/>
      <c r="AJ333" s="669"/>
      <c r="AK333" s="669"/>
      <c r="AL333" s="669"/>
      <c r="AM333" s="669"/>
      <c r="AN333" s="669"/>
      <c r="AO333" s="669"/>
      <c r="AP333" s="669"/>
      <c r="AQ333" s="669"/>
      <c r="AR333" s="669"/>
      <c r="AS333" s="669"/>
      <c r="AT333" s="669"/>
      <c r="AU333" s="669"/>
    </row>
    <row r="334" spans="1:47" outlineLevel="1" x14ac:dyDescent="0.2">
      <c r="A334" s="586"/>
      <c r="B334" s="586"/>
      <c r="C334" s="586"/>
      <c r="D334" s="586"/>
      <c r="E334" s="586"/>
      <c r="F334" s="586"/>
      <c r="G334" s="586"/>
      <c r="H334" s="586"/>
      <c r="I334" s="586"/>
      <c r="J334" s="586"/>
      <c r="K334" s="586"/>
      <c r="L334" s="586"/>
      <c r="M334" s="586"/>
      <c r="N334" s="164"/>
      <c r="O334" s="164"/>
      <c r="P334" s="164"/>
      <c r="Q334" s="164"/>
      <c r="R334" s="164"/>
      <c r="S334" s="164"/>
      <c r="T334" s="164"/>
      <c r="V334" s="98"/>
      <c r="W334" s="98"/>
      <c r="X334" s="98"/>
      <c r="Y334" s="669"/>
      <c r="Z334" s="669"/>
      <c r="AA334" s="669"/>
      <c r="AB334" s="669"/>
      <c r="AC334" s="669"/>
      <c r="AD334" s="669"/>
      <c r="AE334" s="669"/>
      <c r="AF334" s="669"/>
      <c r="AG334" s="669"/>
      <c r="AH334" s="669"/>
      <c r="AI334" s="669"/>
      <c r="AJ334" s="669"/>
      <c r="AK334" s="669"/>
      <c r="AL334" s="669"/>
      <c r="AM334" s="669"/>
      <c r="AN334" s="669"/>
      <c r="AO334" s="669"/>
      <c r="AP334" s="669"/>
      <c r="AQ334" s="669"/>
      <c r="AR334" s="669"/>
      <c r="AS334" s="669"/>
      <c r="AT334" s="669"/>
      <c r="AU334" s="669"/>
    </row>
    <row r="335" spans="1:47" ht="15.75" outlineLevel="1" x14ac:dyDescent="0.2">
      <c r="A335" s="586"/>
      <c r="B335" s="586"/>
      <c r="C335" s="352">
        <v>4</v>
      </c>
      <c r="D335" s="110" t="str">
        <f>INDEX(MBSNamesChange,C335)</f>
        <v>** NOT USED **</v>
      </c>
      <c r="E335" s="110"/>
      <c r="F335" s="154"/>
      <c r="G335" s="154"/>
      <c r="H335" s="154"/>
      <c r="I335" s="154"/>
      <c r="J335" s="782" t="str">
        <f>IF(D335&lt;&gt;MsgNotUsed,"Co-payment group " &amp; K256,"")</f>
        <v/>
      </c>
      <c r="K335" s="782"/>
      <c r="L335" s="154"/>
      <c r="M335" s="154"/>
      <c r="N335" s="154"/>
      <c r="O335" s="154"/>
      <c r="P335" s="154"/>
      <c r="Q335" s="154"/>
      <c r="R335" s="154"/>
      <c r="S335" s="154"/>
      <c r="T335" s="154"/>
      <c r="V335" s="98"/>
      <c r="W335" s="98"/>
      <c r="X335" s="98"/>
      <c r="Y335" s="669"/>
      <c r="Z335" s="669"/>
      <c r="AA335" s="669"/>
      <c r="AB335" s="669"/>
      <c r="AC335" s="669"/>
      <c r="AD335" s="669"/>
      <c r="AE335" s="669"/>
      <c r="AF335" s="669"/>
      <c r="AG335" s="669"/>
      <c r="AH335" s="669"/>
      <c r="AI335" s="669"/>
      <c r="AJ335" s="669"/>
      <c r="AK335" s="669"/>
      <c r="AL335" s="669"/>
      <c r="AM335" s="669"/>
      <c r="AN335" s="669"/>
      <c r="AO335" s="669"/>
      <c r="AP335" s="669"/>
      <c r="AQ335" s="669"/>
      <c r="AR335" s="669"/>
      <c r="AS335" s="669"/>
      <c r="AT335" s="669"/>
      <c r="AU335" s="669"/>
    </row>
    <row r="336" spans="1:47" outlineLevel="2" x14ac:dyDescent="0.2">
      <c r="A336" s="586"/>
      <c r="B336" s="586"/>
      <c r="C336" s="586"/>
      <c r="D336" s="674"/>
      <c r="E336" s="674"/>
      <c r="F336" s="691">
        <v>2</v>
      </c>
      <c r="G336" s="691">
        <v>3</v>
      </c>
      <c r="H336" s="691">
        <v>4</v>
      </c>
      <c r="I336" s="691">
        <v>5</v>
      </c>
      <c r="J336" s="691">
        <v>6</v>
      </c>
      <c r="K336" s="691">
        <v>7</v>
      </c>
      <c r="L336" s="691"/>
      <c r="M336" s="674"/>
      <c r="N336" s="674"/>
      <c r="O336" s="715"/>
      <c r="P336" s="674"/>
      <c r="Q336" s="674"/>
      <c r="R336" s="674"/>
      <c r="S336" s="674"/>
      <c r="T336" s="674"/>
      <c r="V336" s="98"/>
      <c r="W336" s="98"/>
      <c r="X336" s="98"/>
      <c r="Y336" s="669"/>
      <c r="Z336" s="669"/>
      <c r="AA336" s="669"/>
      <c r="AB336" s="669"/>
      <c r="AC336" s="669"/>
      <c r="AD336" s="669"/>
      <c r="AE336" s="669"/>
      <c r="AF336" s="669"/>
      <c r="AG336" s="669"/>
      <c r="AH336" s="669"/>
      <c r="AI336" s="669"/>
      <c r="AJ336" s="669"/>
      <c r="AK336" s="669"/>
      <c r="AL336" s="669"/>
      <c r="AM336" s="669"/>
      <c r="AN336" s="669"/>
      <c r="AO336" s="669"/>
      <c r="AP336" s="669"/>
      <c r="AQ336" s="669"/>
      <c r="AR336" s="669"/>
      <c r="AS336" s="669"/>
      <c r="AT336" s="669"/>
      <c r="AU336" s="669"/>
    </row>
    <row r="337" spans="1:47" ht="15" outlineLevel="2" x14ac:dyDescent="0.2">
      <c r="A337" s="586"/>
      <c r="B337" s="586"/>
      <c r="C337" s="586"/>
      <c r="D337" s="681" t="s">
        <v>0</v>
      </c>
      <c r="E337" s="681"/>
      <c r="F337" s="671">
        <f>FirstYear</f>
        <v>0</v>
      </c>
      <c r="G337" s="671">
        <f>F337+1</f>
        <v>1</v>
      </c>
      <c r="H337" s="671">
        <f>G337+1</f>
        <v>2</v>
      </c>
      <c r="I337" s="671">
        <f>H337+1</f>
        <v>3</v>
      </c>
      <c r="J337" s="671">
        <f>I337+1</f>
        <v>4</v>
      </c>
      <c r="K337" s="671">
        <f>J337+1</f>
        <v>5</v>
      </c>
      <c r="M337" s="149"/>
      <c r="N337" s="692"/>
      <c r="O337" s="692"/>
      <c r="P337" s="692"/>
      <c r="Q337" s="99"/>
      <c r="R337" s="99"/>
      <c r="S337" s="99"/>
      <c r="T337" s="99"/>
      <c r="V337" s="99"/>
      <c r="W337" s="99"/>
      <c r="X337" s="99"/>
      <c r="Y337" s="669"/>
      <c r="Z337" s="669"/>
      <c r="AA337" s="669"/>
      <c r="AB337" s="669"/>
      <c r="AC337" s="669"/>
      <c r="AD337" s="669"/>
      <c r="AE337" s="669"/>
      <c r="AF337" s="669"/>
      <c r="AG337" s="669"/>
      <c r="AH337" s="669"/>
      <c r="AI337" s="669"/>
      <c r="AJ337" s="669"/>
      <c r="AK337" s="669"/>
      <c r="AL337" s="669"/>
      <c r="AM337" s="669"/>
      <c r="AN337" s="669"/>
      <c r="AO337" s="669"/>
      <c r="AP337" s="669"/>
      <c r="AQ337" s="669"/>
      <c r="AR337" s="669"/>
      <c r="AS337" s="669"/>
      <c r="AT337" s="669"/>
      <c r="AU337" s="669"/>
    </row>
    <row r="338" spans="1:47" outlineLevel="2" x14ac:dyDescent="0.2">
      <c r="A338" s="586"/>
      <c r="B338" s="586"/>
      <c r="C338" s="586"/>
      <c r="D338" s="586"/>
      <c r="E338" s="590" t="s">
        <v>269</v>
      </c>
      <c r="F338" s="397">
        <f t="shared" ref="F338:K338" si="158">F339*$P256</f>
        <v>0</v>
      </c>
      <c r="G338" s="397">
        <f t="shared" si="158"/>
        <v>0</v>
      </c>
      <c r="H338" s="397">
        <f t="shared" si="158"/>
        <v>0</v>
      </c>
      <c r="I338" s="397">
        <f t="shared" si="158"/>
        <v>0</v>
      </c>
      <c r="J338" s="397">
        <f t="shared" si="158"/>
        <v>0</v>
      </c>
      <c r="K338" s="397">
        <f t="shared" si="158"/>
        <v>0</v>
      </c>
      <c r="M338" s="149"/>
      <c r="N338" s="692"/>
      <c r="O338" s="692"/>
      <c r="P338" s="692"/>
      <c r="Q338" s="99"/>
      <c r="R338" s="99"/>
      <c r="S338" s="99"/>
      <c r="T338" s="99"/>
      <c r="V338" s="97">
        <f>FirstYear</f>
        <v>0</v>
      </c>
      <c r="W338" s="96">
        <f>IF(F339&lt;&gt;0,F339-F342,0)</f>
        <v>0</v>
      </c>
      <c r="X338" s="99"/>
      <c r="Y338" s="669"/>
      <c r="Z338" s="669"/>
      <c r="AA338" s="669"/>
      <c r="AB338" s="669"/>
      <c r="AC338" s="669"/>
      <c r="AD338" s="669"/>
      <c r="AE338" s="669"/>
      <c r="AF338" s="669"/>
      <c r="AG338" s="669"/>
      <c r="AH338" s="669"/>
      <c r="AI338" s="669"/>
      <c r="AJ338" s="669"/>
      <c r="AK338" s="669"/>
      <c r="AL338" s="669"/>
      <c r="AM338" s="669"/>
      <c r="AN338" s="669"/>
      <c r="AO338" s="669"/>
      <c r="AP338" s="669"/>
      <c r="AQ338" s="669"/>
      <c r="AR338" s="669"/>
      <c r="AS338" s="669"/>
      <c r="AT338" s="669"/>
      <c r="AU338" s="669"/>
    </row>
    <row r="339" spans="1:47" ht="14.25" outlineLevel="2" x14ac:dyDescent="0.2">
      <c r="A339" s="586"/>
      <c r="B339" s="586"/>
      <c r="C339" s="352" t="str">
        <f>W271</f>
        <v/>
      </c>
      <c r="D339" s="586"/>
      <c r="E339" s="85" t="s">
        <v>80</v>
      </c>
      <c r="F339" s="86">
        <f t="shared" ref="F339:K339" si="159">IF($W$256=2,$N$256*IF($C339&lt;&gt;"",INDEX(PBSScriptsChanged,$C339,F336),0),IF($Y256&lt;&gt;0,$M$256*INDEX(MBSPBSDec,$C335,($Y256-1)*7+F336),0))*$V$256</f>
        <v>0</v>
      </c>
      <c r="G339" s="86">
        <f t="shared" si="159"/>
        <v>0</v>
      </c>
      <c r="H339" s="86">
        <f t="shared" si="159"/>
        <v>0</v>
      </c>
      <c r="I339" s="86">
        <f t="shared" si="159"/>
        <v>0</v>
      </c>
      <c r="J339" s="86">
        <f t="shared" si="159"/>
        <v>0</v>
      </c>
      <c r="K339" s="86">
        <f t="shared" si="159"/>
        <v>0</v>
      </c>
      <c r="M339" s="701"/>
      <c r="N339" s="684"/>
      <c r="O339" s="684"/>
      <c r="P339" s="684"/>
      <c r="Q339" s="694"/>
      <c r="R339" s="694"/>
      <c r="S339" s="694"/>
      <c r="T339" s="694"/>
      <c r="V339" s="97">
        <f>V338+1</f>
        <v>1</v>
      </c>
      <c r="W339" s="96">
        <f>IF(G339&lt;&gt;0,G339-G342,0)</f>
        <v>0</v>
      </c>
      <c r="X339" s="695"/>
      <c r="Y339" s="669"/>
      <c r="Z339" s="669"/>
      <c r="AA339" s="669"/>
      <c r="AB339" s="669"/>
      <c r="AC339" s="669"/>
      <c r="AD339" s="669"/>
      <c r="AE339" s="669"/>
      <c r="AF339" s="669"/>
      <c r="AG339" s="669"/>
      <c r="AH339" s="669"/>
      <c r="AI339" s="669"/>
      <c r="AJ339" s="669"/>
      <c r="AK339" s="669"/>
      <c r="AL339" s="669"/>
      <c r="AM339" s="669"/>
      <c r="AN339" s="669"/>
      <c r="AO339" s="669"/>
      <c r="AP339" s="669"/>
      <c r="AQ339" s="669"/>
      <c r="AR339" s="669"/>
      <c r="AS339" s="669"/>
      <c r="AT339" s="669"/>
      <c r="AU339" s="669"/>
    </row>
    <row r="340" spans="1:47" outlineLevel="2" x14ac:dyDescent="0.2">
      <c r="A340" s="586"/>
      <c r="B340" s="352">
        <v>5</v>
      </c>
      <c r="C340" s="352">
        <v>6</v>
      </c>
      <c r="D340" s="586"/>
      <c r="E340" s="696" t="s">
        <v>81</v>
      </c>
      <c r="F340" s="86" t="str">
        <f t="shared" ref="F340:K343" si="160">IF(INDEX(MBSItemsDec,$C$335,1)&lt;&gt;"",F$339*INDEX(MBSItemsDec,$C$335,$B340)*INDEX(MBSItemsDec,$C$335,$C340),"")</f>
        <v/>
      </c>
      <c r="G340" s="86" t="str">
        <f t="shared" si="160"/>
        <v/>
      </c>
      <c r="H340" s="86" t="str">
        <f t="shared" si="160"/>
        <v/>
      </c>
      <c r="I340" s="86" t="str">
        <f t="shared" si="160"/>
        <v/>
      </c>
      <c r="J340" s="86" t="str">
        <f t="shared" si="160"/>
        <v/>
      </c>
      <c r="K340" s="86" t="str">
        <f t="shared" si="160"/>
        <v/>
      </c>
      <c r="M340" s="149"/>
      <c r="N340" s="697"/>
      <c r="O340" s="697"/>
      <c r="P340" s="697"/>
      <c r="Q340" s="694"/>
      <c r="R340" s="694"/>
      <c r="S340" s="694"/>
      <c r="T340" s="694"/>
      <c r="V340" s="97">
        <f>V339+1</f>
        <v>2</v>
      </c>
      <c r="W340" s="96">
        <f>IF(H339&lt;&gt;0,H339-H342,0)</f>
        <v>0</v>
      </c>
      <c r="X340" s="695"/>
      <c r="Y340" s="669"/>
      <c r="Z340" s="669"/>
      <c r="AA340" s="669"/>
      <c r="AB340" s="669"/>
      <c r="AC340" s="669"/>
      <c r="AD340" s="669"/>
      <c r="AE340" s="669"/>
      <c r="AF340" s="669"/>
      <c r="AG340" s="669"/>
      <c r="AH340" s="669"/>
      <c r="AI340" s="669"/>
      <c r="AJ340" s="669"/>
      <c r="AK340" s="669"/>
      <c r="AL340" s="669"/>
      <c r="AM340" s="669"/>
      <c r="AN340" s="669"/>
      <c r="AO340" s="669"/>
      <c r="AP340" s="669"/>
      <c r="AQ340" s="669"/>
      <c r="AR340" s="669"/>
      <c r="AS340" s="669"/>
      <c r="AT340" s="669"/>
      <c r="AU340" s="669"/>
    </row>
    <row r="341" spans="1:47" outlineLevel="2" x14ac:dyDescent="0.2">
      <c r="A341" s="586"/>
      <c r="B341" s="352">
        <v>5</v>
      </c>
      <c r="C341" s="352">
        <v>7</v>
      </c>
      <c r="D341" s="586"/>
      <c r="E341" s="696" t="s">
        <v>82</v>
      </c>
      <c r="F341" s="86" t="str">
        <f t="shared" si="160"/>
        <v/>
      </c>
      <c r="G341" s="86" t="str">
        <f t="shared" si="160"/>
        <v/>
      </c>
      <c r="H341" s="86" t="str">
        <f t="shared" si="160"/>
        <v/>
      </c>
      <c r="I341" s="86" t="str">
        <f t="shared" si="160"/>
        <v/>
      </c>
      <c r="J341" s="86" t="str">
        <f t="shared" si="160"/>
        <v/>
      </c>
      <c r="K341" s="86" t="str">
        <f t="shared" si="160"/>
        <v/>
      </c>
      <c r="M341" s="149"/>
      <c r="N341" s="697"/>
      <c r="O341" s="697"/>
      <c r="P341" s="697"/>
      <c r="Q341" s="694"/>
      <c r="R341" s="694"/>
      <c r="S341" s="694"/>
      <c r="T341" s="694"/>
      <c r="V341" s="97">
        <f>V340+1</f>
        <v>3</v>
      </c>
      <c r="W341" s="96">
        <f>IF(I339&lt;&gt;0,I339-I342,0)</f>
        <v>0</v>
      </c>
      <c r="X341" s="695"/>
      <c r="Y341" s="669"/>
      <c r="Z341" s="669"/>
      <c r="AA341" s="669"/>
      <c r="AB341" s="669"/>
      <c r="AC341" s="669"/>
      <c r="AD341" s="669"/>
      <c r="AE341" s="669"/>
      <c r="AF341" s="669"/>
      <c r="AG341" s="669"/>
      <c r="AH341" s="669"/>
      <c r="AI341" s="669"/>
      <c r="AJ341" s="669"/>
      <c r="AK341" s="669"/>
      <c r="AL341" s="669"/>
      <c r="AM341" s="669"/>
      <c r="AN341" s="669"/>
      <c r="AO341" s="669"/>
      <c r="AP341" s="669"/>
      <c r="AQ341" s="669"/>
      <c r="AR341" s="669"/>
      <c r="AS341" s="669"/>
      <c r="AT341" s="669"/>
      <c r="AU341" s="669"/>
    </row>
    <row r="342" spans="1:47" outlineLevel="2" x14ac:dyDescent="0.2">
      <c r="A342" s="586"/>
      <c r="B342" s="352">
        <v>4</v>
      </c>
      <c r="C342" s="352">
        <v>6</v>
      </c>
      <c r="D342" s="586"/>
      <c r="E342" s="696" t="s">
        <v>83</v>
      </c>
      <c r="F342" s="86" t="str">
        <f t="shared" si="160"/>
        <v/>
      </c>
      <c r="G342" s="86" t="str">
        <f t="shared" si="160"/>
        <v/>
      </c>
      <c r="H342" s="86" t="str">
        <f t="shared" si="160"/>
        <v/>
      </c>
      <c r="I342" s="86" t="str">
        <f t="shared" si="160"/>
        <v/>
      </c>
      <c r="J342" s="86" t="str">
        <f t="shared" si="160"/>
        <v/>
      </c>
      <c r="K342" s="86" t="str">
        <f t="shared" si="160"/>
        <v/>
      </c>
      <c r="M342" s="149"/>
      <c r="N342" s="697"/>
      <c r="O342" s="697"/>
      <c r="P342" s="697"/>
      <c r="Q342" s="694"/>
      <c r="R342" s="694"/>
      <c r="S342" s="694"/>
      <c r="T342" s="694"/>
      <c r="V342" s="97">
        <f>V341+1</f>
        <v>4</v>
      </c>
      <c r="W342" s="96">
        <f>IF(J339&lt;&gt;0,J339-J342,0)</f>
        <v>0</v>
      </c>
      <c r="X342" s="695"/>
      <c r="Y342" s="669"/>
      <c r="Z342" s="669"/>
      <c r="AA342" s="669"/>
      <c r="AB342" s="669"/>
      <c r="AC342" s="669"/>
      <c r="AD342" s="669"/>
      <c r="AE342" s="669"/>
      <c r="AF342" s="669"/>
      <c r="AG342" s="669"/>
      <c r="AH342" s="669"/>
      <c r="AI342" s="669"/>
      <c r="AJ342" s="669"/>
      <c r="AK342" s="669"/>
      <c r="AL342" s="669"/>
      <c r="AM342" s="669"/>
      <c r="AN342" s="669"/>
      <c r="AO342" s="669"/>
      <c r="AP342" s="669"/>
      <c r="AQ342" s="669"/>
      <c r="AR342" s="669"/>
      <c r="AS342" s="669"/>
      <c r="AT342" s="669"/>
      <c r="AU342" s="669"/>
    </row>
    <row r="343" spans="1:47" ht="12.75" customHeight="1" outlineLevel="2" x14ac:dyDescent="0.2">
      <c r="A343" s="586"/>
      <c r="B343" s="352">
        <v>4</v>
      </c>
      <c r="C343" s="352">
        <v>7</v>
      </c>
      <c r="D343" s="586"/>
      <c r="E343" s="698" t="s">
        <v>84</v>
      </c>
      <c r="F343" s="86" t="str">
        <f t="shared" si="160"/>
        <v/>
      </c>
      <c r="G343" s="86" t="str">
        <f t="shared" si="160"/>
        <v/>
      </c>
      <c r="H343" s="86" t="str">
        <f t="shared" si="160"/>
        <v/>
      </c>
      <c r="I343" s="86" t="str">
        <f t="shared" si="160"/>
        <v/>
      </c>
      <c r="J343" s="86" t="str">
        <f t="shared" si="160"/>
        <v/>
      </c>
      <c r="K343" s="86" t="str">
        <f t="shared" si="160"/>
        <v/>
      </c>
      <c r="M343" s="149"/>
      <c r="N343" s="697"/>
      <c r="O343" s="697"/>
      <c r="P343" s="697"/>
      <c r="Q343" s="694"/>
      <c r="R343" s="694"/>
      <c r="S343" s="694"/>
      <c r="T343" s="694"/>
      <c r="V343" s="97">
        <f>V342+1</f>
        <v>5</v>
      </c>
      <c r="W343" s="96">
        <f>IF(K339&lt;&gt;0,K339-K342,0)</f>
        <v>0</v>
      </c>
      <c r="X343" s="695"/>
      <c r="Y343" s="669"/>
      <c r="Z343" s="669"/>
      <c r="AA343" s="669"/>
      <c r="AB343" s="669"/>
      <c r="AC343" s="669"/>
      <c r="AD343" s="669"/>
      <c r="AE343" s="669"/>
      <c r="AF343" s="669"/>
      <c r="AG343" s="669"/>
      <c r="AH343" s="669"/>
      <c r="AI343" s="669"/>
      <c r="AJ343" s="669"/>
      <c r="AK343" s="669"/>
      <c r="AL343" s="669"/>
      <c r="AM343" s="669"/>
      <c r="AN343" s="669"/>
      <c r="AO343" s="669"/>
      <c r="AP343" s="669"/>
      <c r="AQ343" s="669"/>
      <c r="AR343" s="669"/>
      <c r="AS343" s="669"/>
      <c r="AT343" s="669"/>
      <c r="AU343" s="669"/>
    </row>
    <row r="344" spans="1:47" outlineLevel="2" x14ac:dyDescent="0.2">
      <c r="A344" s="586"/>
      <c r="B344" s="586"/>
      <c r="C344" s="586"/>
      <c r="D344" s="586"/>
      <c r="E344" s="586"/>
      <c r="F344" s="586"/>
      <c r="G344" s="586"/>
      <c r="H344" s="586"/>
      <c r="I344" s="586"/>
      <c r="J344" s="586"/>
      <c r="K344" s="586"/>
      <c r="M344" s="586"/>
      <c r="N344" s="164"/>
      <c r="O344" s="164"/>
      <c r="P344" s="164"/>
      <c r="Q344" s="164"/>
      <c r="R344" s="164"/>
      <c r="S344" s="164"/>
      <c r="T344" s="164"/>
      <c r="V344" s="98"/>
      <c r="W344" s="98"/>
      <c r="X344" s="98"/>
      <c r="Y344" s="669"/>
      <c r="Z344" s="669"/>
      <c r="AA344" s="669"/>
      <c r="AB344" s="669"/>
      <c r="AC344" s="669"/>
      <c r="AD344" s="669"/>
      <c r="AE344" s="669"/>
      <c r="AF344" s="669"/>
      <c r="AG344" s="669"/>
      <c r="AH344" s="669"/>
      <c r="AI344" s="669"/>
      <c r="AJ344" s="669"/>
      <c r="AK344" s="669"/>
      <c r="AL344" s="669"/>
      <c r="AM344" s="669"/>
      <c r="AN344" s="669"/>
      <c r="AO344" s="669"/>
      <c r="AP344" s="669"/>
      <c r="AQ344" s="669"/>
      <c r="AR344" s="669"/>
      <c r="AS344" s="669"/>
      <c r="AT344" s="669"/>
      <c r="AU344" s="669"/>
    </row>
    <row r="345" spans="1:47" ht="15" outlineLevel="2" x14ac:dyDescent="0.2">
      <c r="A345" s="586"/>
      <c r="B345" s="586"/>
      <c r="C345" s="586"/>
      <c r="D345" s="681" t="s">
        <v>1</v>
      </c>
      <c r="E345" s="681"/>
      <c r="F345" s="671">
        <f>FirstYear</f>
        <v>0</v>
      </c>
      <c r="G345" s="671">
        <f>F345+1</f>
        <v>1</v>
      </c>
      <c r="H345" s="671">
        <f>G345+1</f>
        <v>2</v>
      </c>
      <c r="I345" s="671">
        <f>H345+1</f>
        <v>3</v>
      </c>
      <c r="J345" s="671">
        <f>I345+1</f>
        <v>4</v>
      </c>
      <c r="K345" s="671">
        <f>J345+1</f>
        <v>5</v>
      </c>
      <c r="M345" s="586"/>
      <c r="N345" s="164"/>
      <c r="O345" s="164"/>
      <c r="P345" s="164"/>
      <c r="Q345" s="164"/>
      <c r="R345" s="164"/>
      <c r="S345" s="164"/>
      <c r="T345" s="164"/>
      <c r="V345" s="98"/>
      <c r="W345" s="98"/>
      <c r="X345" s="98"/>
      <c r="Y345" s="669"/>
      <c r="Z345" s="669"/>
      <c r="AA345" s="669"/>
      <c r="AB345" s="669"/>
      <c r="AC345" s="669"/>
      <c r="AD345" s="669"/>
      <c r="AE345" s="669"/>
      <c r="AF345" s="669"/>
      <c r="AG345" s="669"/>
      <c r="AH345" s="669"/>
      <c r="AI345" s="669"/>
      <c r="AJ345" s="669"/>
      <c r="AK345" s="669"/>
      <c r="AL345" s="669"/>
      <c r="AM345" s="669"/>
      <c r="AN345" s="669"/>
      <c r="AO345" s="669"/>
      <c r="AP345" s="669"/>
      <c r="AQ345" s="669"/>
      <c r="AR345" s="669"/>
      <c r="AS345" s="669"/>
      <c r="AT345" s="669"/>
      <c r="AU345" s="669"/>
    </row>
    <row r="346" spans="1:47" outlineLevel="2" x14ac:dyDescent="0.2">
      <c r="A346" s="586"/>
      <c r="B346" s="586"/>
      <c r="C346" s="586"/>
      <c r="D346" s="586"/>
      <c r="E346" s="590" t="s">
        <v>269</v>
      </c>
      <c r="F346" s="397">
        <f t="shared" ref="F346:K346" si="161">F347*$P256</f>
        <v>0</v>
      </c>
      <c r="G346" s="397">
        <f t="shared" si="161"/>
        <v>0</v>
      </c>
      <c r="H346" s="397">
        <f t="shared" si="161"/>
        <v>0</v>
      </c>
      <c r="I346" s="397">
        <f t="shared" si="161"/>
        <v>0</v>
      </c>
      <c r="J346" s="397">
        <f t="shared" si="161"/>
        <v>0</v>
      </c>
      <c r="K346" s="397">
        <f t="shared" si="161"/>
        <v>0</v>
      </c>
      <c r="M346" s="586"/>
      <c r="N346" s="164"/>
      <c r="O346" s="164"/>
      <c r="P346" s="164"/>
      <c r="Q346" s="164"/>
      <c r="R346" s="164"/>
      <c r="S346" s="164"/>
      <c r="T346" s="164"/>
      <c r="V346" s="98"/>
      <c r="W346" s="98"/>
      <c r="X346" s="98"/>
      <c r="Y346" s="669"/>
      <c r="Z346" s="669"/>
      <c r="AA346" s="669"/>
      <c r="AB346" s="669"/>
      <c r="AC346" s="669"/>
      <c r="AD346" s="669"/>
      <c r="AE346" s="669"/>
      <c r="AF346" s="669"/>
      <c r="AG346" s="669"/>
      <c r="AH346" s="669"/>
      <c r="AI346" s="669"/>
      <c r="AJ346" s="669"/>
      <c r="AK346" s="669"/>
      <c r="AL346" s="669"/>
      <c r="AM346" s="669"/>
      <c r="AN346" s="669"/>
      <c r="AO346" s="669"/>
      <c r="AP346" s="669"/>
      <c r="AQ346" s="669"/>
      <c r="AR346" s="669"/>
      <c r="AS346" s="669"/>
      <c r="AT346" s="669"/>
      <c r="AU346" s="669"/>
    </row>
    <row r="347" spans="1:47" outlineLevel="2" x14ac:dyDescent="0.2">
      <c r="A347" s="586"/>
      <c r="B347" s="586"/>
      <c r="C347" s="352" t="str">
        <f>W271</f>
        <v/>
      </c>
      <c r="D347" s="586"/>
      <c r="E347" s="85" t="s">
        <v>80</v>
      </c>
      <c r="F347" s="86">
        <f t="shared" ref="F347:K347" si="162">IF($W$256=2,$N$256*IF($C347&lt;&gt;"",INDEX(RPBSScriptsChanged,$C347,F336),0),IF($Y256&lt;&gt;0,$M$256*INDEX(MBSRPBSDec,$C335,($Y256-1)*7+F336),0))*$V$256</f>
        <v>0</v>
      </c>
      <c r="G347" s="86">
        <f t="shared" si="162"/>
        <v>0</v>
      </c>
      <c r="H347" s="86">
        <f t="shared" si="162"/>
        <v>0</v>
      </c>
      <c r="I347" s="86">
        <f t="shared" si="162"/>
        <v>0</v>
      </c>
      <c r="J347" s="86">
        <f t="shared" si="162"/>
        <v>0</v>
      </c>
      <c r="K347" s="86">
        <f t="shared" si="162"/>
        <v>0</v>
      </c>
      <c r="M347" s="586"/>
      <c r="N347" s="164"/>
      <c r="O347" s="164"/>
      <c r="P347" s="164"/>
      <c r="Q347" s="164"/>
      <c r="R347" s="164"/>
      <c r="S347" s="164"/>
      <c r="T347" s="164"/>
      <c r="V347" s="98"/>
      <c r="W347" s="98"/>
      <c r="X347" s="98"/>
      <c r="Y347" s="669"/>
      <c r="Z347" s="669"/>
      <c r="AA347" s="669"/>
      <c r="AB347" s="669"/>
      <c r="AC347" s="669"/>
      <c r="AD347" s="669"/>
      <c r="AE347" s="669"/>
      <c r="AF347" s="669"/>
      <c r="AG347" s="669"/>
      <c r="AH347" s="669"/>
      <c r="AI347" s="669"/>
      <c r="AJ347" s="669"/>
      <c r="AK347" s="669"/>
      <c r="AL347" s="669"/>
      <c r="AM347" s="669"/>
      <c r="AN347" s="669"/>
      <c r="AO347" s="669"/>
      <c r="AP347" s="669"/>
      <c r="AQ347" s="669"/>
      <c r="AR347" s="669"/>
      <c r="AS347" s="669"/>
      <c r="AT347" s="669"/>
      <c r="AU347" s="669"/>
    </row>
    <row r="348" spans="1:47" outlineLevel="2" x14ac:dyDescent="0.2">
      <c r="A348" s="586"/>
      <c r="B348" s="352">
        <v>5</v>
      </c>
      <c r="C348" s="352">
        <v>6</v>
      </c>
      <c r="D348" s="586"/>
      <c r="E348" s="696" t="s">
        <v>146</v>
      </c>
      <c r="F348" s="86" t="str">
        <f t="shared" ref="F348:K351" si="163">IF(INDEX(MBSItemsDec,$C$335,1)&lt;&gt;"",F$347*INDEX(MBSItemsDec,$C$335,$B348)*INDEX(MBSItemsDec,$C$335,$C348),"")</f>
        <v/>
      </c>
      <c r="G348" s="86" t="str">
        <f t="shared" si="163"/>
        <v/>
      </c>
      <c r="H348" s="86" t="str">
        <f t="shared" si="163"/>
        <v/>
      </c>
      <c r="I348" s="86" t="str">
        <f t="shared" si="163"/>
        <v/>
      </c>
      <c r="J348" s="86" t="str">
        <f t="shared" si="163"/>
        <v/>
      </c>
      <c r="K348" s="86" t="str">
        <f t="shared" si="163"/>
        <v/>
      </c>
      <c r="M348" s="586"/>
      <c r="N348" s="164"/>
      <c r="O348" s="164"/>
      <c r="P348" s="164"/>
      <c r="Q348" s="164"/>
      <c r="R348" s="164"/>
      <c r="S348" s="164"/>
      <c r="T348" s="164"/>
      <c r="V348" s="98"/>
      <c r="W348" s="98"/>
      <c r="X348" s="98"/>
      <c r="Y348" s="669"/>
      <c r="Z348" s="669"/>
      <c r="AA348" s="669"/>
      <c r="AB348" s="669"/>
      <c r="AC348" s="669"/>
      <c r="AD348" s="669"/>
      <c r="AE348" s="669"/>
      <c r="AF348" s="669"/>
      <c r="AG348" s="669"/>
      <c r="AH348" s="669"/>
      <c r="AI348" s="669"/>
      <c r="AJ348" s="669"/>
      <c r="AK348" s="669"/>
      <c r="AL348" s="669"/>
      <c r="AM348" s="669"/>
      <c r="AN348" s="669"/>
      <c r="AO348" s="669"/>
      <c r="AP348" s="669"/>
      <c r="AQ348" s="669"/>
      <c r="AR348" s="669"/>
      <c r="AS348" s="669"/>
      <c r="AT348" s="669"/>
      <c r="AU348" s="669"/>
    </row>
    <row r="349" spans="1:47" outlineLevel="2" x14ac:dyDescent="0.2">
      <c r="A349" s="586"/>
      <c r="B349" s="352">
        <v>5</v>
      </c>
      <c r="C349" s="352">
        <v>7</v>
      </c>
      <c r="D349" s="586"/>
      <c r="E349" s="696" t="s">
        <v>147</v>
      </c>
      <c r="F349" s="86" t="str">
        <f t="shared" si="163"/>
        <v/>
      </c>
      <c r="G349" s="86" t="str">
        <f t="shared" si="163"/>
        <v/>
      </c>
      <c r="H349" s="86" t="str">
        <f t="shared" si="163"/>
        <v/>
      </c>
      <c r="I349" s="86" t="str">
        <f t="shared" si="163"/>
        <v/>
      </c>
      <c r="J349" s="86" t="str">
        <f t="shared" si="163"/>
        <v/>
      </c>
      <c r="K349" s="86" t="str">
        <f t="shared" si="163"/>
        <v/>
      </c>
      <c r="M349" s="586"/>
      <c r="N349" s="164"/>
      <c r="O349" s="164"/>
      <c r="P349" s="164"/>
      <c r="Q349" s="164"/>
      <c r="R349" s="164"/>
      <c r="S349" s="164"/>
      <c r="T349" s="164"/>
      <c r="V349" s="98"/>
      <c r="W349" s="98"/>
      <c r="X349" s="98"/>
      <c r="Y349" s="669"/>
      <c r="Z349" s="669"/>
      <c r="AA349" s="669"/>
      <c r="AB349" s="669"/>
      <c r="AC349" s="669"/>
      <c r="AD349" s="669"/>
      <c r="AE349" s="669"/>
      <c r="AF349" s="669"/>
      <c r="AG349" s="669"/>
      <c r="AH349" s="669"/>
      <c r="AI349" s="669"/>
      <c r="AJ349" s="669"/>
      <c r="AK349" s="669"/>
      <c r="AL349" s="669"/>
      <c r="AM349" s="669"/>
      <c r="AN349" s="669"/>
      <c r="AO349" s="669"/>
      <c r="AP349" s="669"/>
      <c r="AQ349" s="669"/>
      <c r="AR349" s="669"/>
      <c r="AS349" s="669"/>
      <c r="AT349" s="669"/>
      <c r="AU349" s="669"/>
    </row>
    <row r="350" spans="1:47" outlineLevel="2" x14ac:dyDescent="0.2">
      <c r="A350" s="586"/>
      <c r="B350" s="352">
        <v>4</v>
      </c>
      <c r="C350" s="352">
        <v>6</v>
      </c>
      <c r="D350" s="586"/>
      <c r="E350" s="696" t="s">
        <v>148</v>
      </c>
      <c r="F350" s="86" t="str">
        <f t="shared" si="163"/>
        <v/>
      </c>
      <c r="G350" s="86" t="str">
        <f t="shared" si="163"/>
        <v/>
      </c>
      <c r="H350" s="86" t="str">
        <f t="shared" si="163"/>
        <v/>
      </c>
      <c r="I350" s="86" t="str">
        <f t="shared" si="163"/>
        <v/>
      </c>
      <c r="J350" s="86" t="str">
        <f t="shared" si="163"/>
        <v/>
      </c>
      <c r="K350" s="86" t="str">
        <f t="shared" si="163"/>
        <v/>
      </c>
      <c r="M350" s="586"/>
      <c r="N350" s="164"/>
      <c r="O350" s="164"/>
      <c r="P350" s="164"/>
      <c r="Q350" s="164"/>
      <c r="R350" s="164"/>
      <c r="S350" s="164"/>
      <c r="T350" s="164"/>
      <c r="V350" s="98"/>
      <c r="W350" s="98"/>
      <c r="X350" s="98"/>
      <c r="Y350" s="669"/>
      <c r="Z350" s="669"/>
      <c r="AA350" s="669"/>
      <c r="AB350" s="669"/>
      <c r="AC350" s="669"/>
      <c r="AD350" s="669"/>
      <c r="AE350" s="669"/>
      <c r="AF350" s="669"/>
      <c r="AG350" s="669"/>
      <c r="AH350" s="669"/>
      <c r="AI350" s="669"/>
      <c r="AJ350" s="669"/>
      <c r="AK350" s="669"/>
      <c r="AL350" s="669"/>
      <c r="AM350" s="669"/>
      <c r="AN350" s="669"/>
      <c r="AO350" s="669"/>
      <c r="AP350" s="669"/>
      <c r="AQ350" s="669"/>
      <c r="AR350" s="669"/>
      <c r="AS350" s="669"/>
      <c r="AT350" s="669"/>
      <c r="AU350" s="669"/>
    </row>
    <row r="351" spans="1:47" outlineLevel="2" x14ac:dyDescent="0.2">
      <c r="A351" s="586"/>
      <c r="B351" s="352">
        <v>4</v>
      </c>
      <c r="C351" s="352">
        <v>7</v>
      </c>
      <c r="D351" s="586"/>
      <c r="E351" s="698" t="s">
        <v>149</v>
      </c>
      <c r="F351" s="86" t="str">
        <f t="shared" si="163"/>
        <v/>
      </c>
      <c r="G351" s="86" t="str">
        <f t="shared" si="163"/>
        <v/>
      </c>
      <c r="H351" s="86" t="str">
        <f t="shared" si="163"/>
        <v/>
      </c>
      <c r="I351" s="86" t="str">
        <f t="shared" si="163"/>
        <v/>
      </c>
      <c r="J351" s="86" t="str">
        <f t="shared" si="163"/>
        <v/>
      </c>
      <c r="K351" s="86" t="str">
        <f t="shared" si="163"/>
        <v/>
      </c>
      <c r="M351" s="586"/>
      <c r="N351" s="164"/>
      <c r="O351" s="164"/>
      <c r="P351" s="164"/>
      <c r="Q351" s="164"/>
      <c r="R351" s="164"/>
      <c r="S351" s="164"/>
      <c r="T351" s="164"/>
      <c r="V351" s="98"/>
      <c r="W351" s="98"/>
      <c r="X351" s="98"/>
      <c r="Y351" s="669"/>
      <c r="Z351" s="669"/>
      <c r="AA351" s="669"/>
      <c r="AB351" s="669"/>
      <c r="AC351" s="669"/>
      <c r="AD351" s="669"/>
      <c r="AE351" s="669"/>
      <c r="AF351" s="669"/>
      <c r="AG351" s="669"/>
      <c r="AH351" s="669"/>
      <c r="AI351" s="669"/>
      <c r="AJ351" s="669"/>
      <c r="AK351" s="669"/>
      <c r="AL351" s="669"/>
      <c r="AM351" s="669"/>
      <c r="AN351" s="669"/>
      <c r="AO351" s="669"/>
      <c r="AP351" s="669"/>
      <c r="AQ351" s="669"/>
      <c r="AR351" s="669"/>
      <c r="AS351" s="669"/>
      <c r="AT351" s="669"/>
      <c r="AU351" s="669"/>
    </row>
    <row r="352" spans="1:47" outlineLevel="1" x14ac:dyDescent="0.2">
      <c r="A352" s="586"/>
      <c r="B352" s="586"/>
      <c r="C352" s="586"/>
      <c r="D352" s="586"/>
      <c r="E352" s="586"/>
      <c r="F352" s="586"/>
      <c r="G352" s="586"/>
      <c r="H352" s="586"/>
      <c r="I352" s="586"/>
      <c r="J352" s="586"/>
      <c r="K352" s="586"/>
      <c r="L352" s="586"/>
      <c r="M352" s="586"/>
      <c r="N352" s="164"/>
      <c r="O352" s="164"/>
      <c r="P352" s="164"/>
      <c r="Q352" s="164"/>
      <c r="R352" s="164"/>
      <c r="S352" s="164"/>
      <c r="T352" s="164"/>
      <c r="V352" s="98"/>
      <c r="W352" s="98"/>
      <c r="X352" s="98"/>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row>
    <row r="353" spans="1:47" ht="15.75" outlineLevel="1" x14ac:dyDescent="0.2">
      <c r="A353" s="586"/>
      <c r="B353" s="586"/>
      <c r="C353" s="352">
        <v>5</v>
      </c>
      <c r="D353" s="110" t="str">
        <f>INDEX(MBSNamesChange,C353)</f>
        <v>** NOT USED **</v>
      </c>
      <c r="E353" s="110"/>
      <c r="F353" s="154"/>
      <c r="G353" s="154"/>
      <c r="H353" s="154"/>
      <c r="I353" s="154"/>
      <c r="J353" s="782" t="str">
        <f>IF(D353&lt;&gt;MsgNotUsed,"Co-payment group " &amp; K257,"")</f>
        <v/>
      </c>
      <c r="K353" s="782"/>
      <c r="L353" s="154"/>
      <c r="M353" s="154"/>
      <c r="N353" s="154"/>
      <c r="O353" s="154"/>
      <c r="P353" s="154"/>
      <c r="Q353" s="154"/>
      <c r="R353" s="154"/>
      <c r="S353" s="154"/>
      <c r="T353" s="154"/>
      <c r="V353" s="98"/>
      <c r="W353" s="98"/>
      <c r="X353" s="98"/>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row>
    <row r="354" spans="1:47" outlineLevel="2" x14ac:dyDescent="0.2">
      <c r="A354" s="586"/>
      <c r="B354" s="586"/>
      <c r="C354" s="586"/>
      <c r="D354" s="674"/>
      <c r="E354" s="674"/>
      <c r="F354" s="691">
        <v>2</v>
      </c>
      <c r="G354" s="691">
        <v>3</v>
      </c>
      <c r="H354" s="691">
        <v>4</v>
      </c>
      <c r="I354" s="691">
        <v>5</v>
      </c>
      <c r="J354" s="691">
        <v>6</v>
      </c>
      <c r="K354" s="691">
        <v>7</v>
      </c>
      <c r="L354" s="691"/>
      <c r="M354" s="674"/>
      <c r="N354" s="674"/>
      <c r="O354" s="715"/>
      <c r="P354" s="674"/>
      <c r="Q354" s="674"/>
      <c r="R354" s="674"/>
      <c r="S354" s="674"/>
      <c r="T354" s="674"/>
      <c r="V354" s="98"/>
      <c r="W354" s="98"/>
      <c r="X354" s="98"/>
      <c r="Y354" s="669"/>
      <c r="Z354" s="669"/>
      <c r="AA354" s="669"/>
      <c r="AB354" s="669"/>
      <c r="AC354" s="669"/>
      <c r="AD354" s="669"/>
      <c r="AE354" s="669"/>
      <c r="AF354" s="669"/>
      <c r="AG354" s="669"/>
      <c r="AH354" s="669"/>
      <c r="AI354" s="669"/>
      <c r="AJ354" s="669"/>
      <c r="AK354" s="669"/>
      <c r="AL354" s="669"/>
      <c r="AM354" s="669"/>
      <c r="AN354" s="669"/>
      <c r="AO354" s="669"/>
      <c r="AP354" s="669"/>
      <c r="AQ354" s="669"/>
      <c r="AR354" s="669"/>
      <c r="AS354" s="669"/>
      <c r="AT354" s="669"/>
      <c r="AU354" s="669"/>
    </row>
    <row r="355" spans="1:47" ht="15" outlineLevel="2" x14ac:dyDescent="0.2">
      <c r="A355" s="586"/>
      <c r="B355" s="586"/>
      <c r="C355" s="586"/>
      <c r="D355" s="681" t="s">
        <v>0</v>
      </c>
      <c r="E355" s="681"/>
      <c r="F355" s="671">
        <f>FirstYear</f>
        <v>0</v>
      </c>
      <c r="G355" s="671">
        <f>F355+1</f>
        <v>1</v>
      </c>
      <c r="H355" s="671">
        <f>G355+1</f>
        <v>2</v>
      </c>
      <c r="I355" s="671">
        <f>H355+1</f>
        <v>3</v>
      </c>
      <c r="J355" s="671">
        <f>I355+1</f>
        <v>4</v>
      </c>
      <c r="K355" s="671">
        <f>J355+1</f>
        <v>5</v>
      </c>
      <c r="M355" s="149"/>
      <c r="N355" s="692"/>
      <c r="O355" s="692"/>
      <c r="P355" s="692"/>
      <c r="Q355" s="99"/>
      <c r="R355" s="99"/>
      <c r="S355" s="99"/>
      <c r="T355" s="99"/>
      <c r="V355" s="99"/>
      <c r="W355" s="99"/>
      <c r="X355" s="99"/>
      <c r="Y355" s="669"/>
      <c r="Z355" s="669"/>
      <c r="AA355" s="669"/>
      <c r="AB355" s="669"/>
      <c r="AC355" s="669"/>
      <c r="AD355" s="669"/>
      <c r="AE355" s="669"/>
      <c r="AF355" s="669"/>
      <c r="AG355" s="669"/>
      <c r="AH355" s="669"/>
      <c r="AI355" s="669"/>
      <c r="AJ355" s="669"/>
      <c r="AK355" s="669"/>
      <c r="AL355" s="669"/>
      <c r="AM355" s="669"/>
      <c r="AN355" s="669"/>
      <c r="AO355" s="669"/>
      <c r="AP355" s="669"/>
      <c r="AQ355" s="669"/>
      <c r="AR355" s="669"/>
      <c r="AS355" s="669"/>
      <c r="AT355" s="669"/>
      <c r="AU355" s="669"/>
    </row>
    <row r="356" spans="1:47" outlineLevel="2" x14ac:dyDescent="0.2">
      <c r="A356" s="586"/>
      <c r="B356" s="586"/>
      <c r="C356" s="586"/>
      <c r="D356" s="586"/>
      <c r="E356" s="590" t="s">
        <v>269</v>
      </c>
      <c r="F356" s="397">
        <f t="shared" ref="F356:K356" si="164">F357*$P257</f>
        <v>0</v>
      </c>
      <c r="G356" s="397">
        <f t="shared" si="164"/>
        <v>0</v>
      </c>
      <c r="H356" s="397">
        <f t="shared" si="164"/>
        <v>0</v>
      </c>
      <c r="I356" s="397">
        <f t="shared" si="164"/>
        <v>0</v>
      </c>
      <c r="J356" s="397">
        <f t="shared" si="164"/>
        <v>0</v>
      </c>
      <c r="K356" s="397">
        <f t="shared" si="164"/>
        <v>0</v>
      </c>
      <c r="M356" s="149"/>
      <c r="N356" s="692"/>
      <c r="O356" s="692"/>
      <c r="P356" s="692"/>
      <c r="Q356" s="99"/>
      <c r="R356" s="99"/>
      <c r="S356" s="99"/>
      <c r="T356" s="99"/>
      <c r="V356" s="97">
        <f>FirstYear</f>
        <v>0</v>
      </c>
      <c r="W356" s="96">
        <f>IF(F357&lt;&gt;0,F357-F360,0)</f>
        <v>0</v>
      </c>
      <c r="X356" s="99"/>
      <c r="Y356" s="669"/>
      <c r="Z356" s="669"/>
      <c r="AA356" s="669"/>
      <c r="AB356" s="669"/>
      <c r="AC356" s="669"/>
      <c r="AD356" s="669"/>
      <c r="AE356" s="669"/>
      <c r="AF356" s="669"/>
      <c r="AG356" s="669"/>
      <c r="AH356" s="669"/>
      <c r="AI356" s="669"/>
      <c r="AJ356" s="669"/>
      <c r="AK356" s="669"/>
      <c r="AL356" s="669"/>
      <c r="AM356" s="669"/>
      <c r="AN356" s="669"/>
      <c r="AO356" s="669"/>
      <c r="AP356" s="669"/>
      <c r="AQ356" s="669"/>
      <c r="AR356" s="669"/>
      <c r="AS356" s="669"/>
      <c r="AT356" s="669"/>
      <c r="AU356" s="669"/>
    </row>
    <row r="357" spans="1:47" ht="14.25" outlineLevel="2" x14ac:dyDescent="0.2">
      <c r="A357" s="586"/>
      <c r="B357" s="586"/>
      <c r="C357" s="352" t="str">
        <f>W272</f>
        <v/>
      </c>
      <c r="D357" s="586"/>
      <c r="E357" s="85" t="s">
        <v>80</v>
      </c>
      <c r="F357" s="86">
        <f t="shared" ref="F357:K357" si="165">IF($W$257=2,$N$257*IF($C357&lt;&gt;"",INDEX(PBSScriptsChanged,$C357,F354),0),IF($Y257&lt;&gt;0,$M$257*INDEX(MBSPBSDec,$C353,($Y257-1)*7+F354),0))*$V$257</f>
        <v>0</v>
      </c>
      <c r="G357" s="86">
        <f t="shared" si="165"/>
        <v>0</v>
      </c>
      <c r="H357" s="86">
        <f t="shared" si="165"/>
        <v>0</v>
      </c>
      <c r="I357" s="86">
        <f t="shared" si="165"/>
        <v>0</v>
      </c>
      <c r="J357" s="86">
        <f t="shared" si="165"/>
        <v>0</v>
      </c>
      <c r="K357" s="86">
        <f t="shared" si="165"/>
        <v>0</v>
      </c>
      <c r="M357" s="701"/>
      <c r="N357" s="684"/>
      <c r="O357" s="684"/>
      <c r="P357" s="684"/>
      <c r="Q357" s="694"/>
      <c r="R357" s="694"/>
      <c r="S357" s="694"/>
      <c r="T357" s="694"/>
      <c r="V357" s="97">
        <f>V356+1</f>
        <v>1</v>
      </c>
      <c r="W357" s="96">
        <f>IF(G357&lt;&gt;0,G357-G360,0)</f>
        <v>0</v>
      </c>
      <c r="X357" s="695"/>
      <c r="Y357" s="669"/>
      <c r="Z357" s="669"/>
      <c r="AA357" s="669"/>
      <c r="AB357" s="669"/>
      <c r="AC357" s="669"/>
      <c r="AD357" s="669"/>
      <c r="AE357" s="669"/>
      <c r="AF357" s="669"/>
      <c r="AG357" s="669"/>
      <c r="AH357" s="669"/>
      <c r="AI357" s="669"/>
      <c r="AJ357" s="669"/>
      <c r="AK357" s="669"/>
      <c r="AL357" s="669"/>
      <c r="AM357" s="669"/>
      <c r="AN357" s="669"/>
      <c r="AO357" s="669"/>
      <c r="AP357" s="669"/>
      <c r="AQ357" s="669"/>
      <c r="AR357" s="669"/>
      <c r="AS357" s="669"/>
      <c r="AT357" s="669"/>
      <c r="AU357" s="669"/>
    </row>
    <row r="358" spans="1:47" outlineLevel="2" x14ac:dyDescent="0.2">
      <c r="A358" s="586"/>
      <c r="B358" s="352">
        <v>5</v>
      </c>
      <c r="C358" s="352">
        <v>6</v>
      </c>
      <c r="D358" s="586"/>
      <c r="E358" s="696" t="s">
        <v>146</v>
      </c>
      <c r="F358" s="86" t="str">
        <f t="shared" ref="F358:K361" si="166">IF(INDEX(MBSItemsDec,$C$353,1)&lt;&gt;"",F$357*INDEX(MBSItemsDec,$C$353,$B358)*INDEX(MBSItemsDec,$C$353,$C358),"")</f>
        <v/>
      </c>
      <c r="G358" s="86" t="str">
        <f t="shared" si="166"/>
        <v/>
      </c>
      <c r="H358" s="86" t="str">
        <f t="shared" si="166"/>
        <v/>
      </c>
      <c r="I358" s="86" t="str">
        <f t="shared" si="166"/>
        <v/>
      </c>
      <c r="J358" s="86" t="str">
        <f t="shared" si="166"/>
        <v/>
      </c>
      <c r="K358" s="86" t="str">
        <f t="shared" si="166"/>
        <v/>
      </c>
      <c r="M358" s="149"/>
      <c r="N358" s="697"/>
      <c r="O358" s="697"/>
      <c r="P358" s="697"/>
      <c r="Q358" s="694"/>
      <c r="R358" s="694"/>
      <c r="S358" s="694"/>
      <c r="T358" s="694"/>
      <c r="V358" s="97">
        <f>V357+1</f>
        <v>2</v>
      </c>
      <c r="W358" s="96">
        <f>IF(H357&lt;&gt;0,H357-H360,0)</f>
        <v>0</v>
      </c>
      <c r="X358" s="695"/>
      <c r="Y358" s="669"/>
      <c r="Z358" s="669"/>
      <c r="AA358" s="669"/>
      <c r="AB358" s="669"/>
      <c r="AC358" s="669"/>
      <c r="AD358" s="669"/>
      <c r="AE358" s="669"/>
      <c r="AF358" s="669"/>
      <c r="AG358" s="669"/>
      <c r="AH358" s="669"/>
      <c r="AI358" s="669"/>
      <c r="AJ358" s="669"/>
      <c r="AK358" s="669"/>
      <c r="AL358" s="669"/>
      <c r="AM358" s="669"/>
      <c r="AN358" s="669"/>
      <c r="AO358" s="669"/>
      <c r="AP358" s="669"/>
      <c r="AQ358" s="669"/>
      <c r="AR358" s="669"/>
      <c r="AS358" s="669"/>
      <c r="AT358" s="669"/>
      <c r="AU358" s="669"/>
    </row>
    <row r="359" spans="1:47" outlineLevel="2" x14ac:dyDescent="0.2">
      <c r="A359" s="586"/>
      <c r="B359" s="352">
        <v>5</v>
      </c>
      <c r="C359" s="352">
        <v>7</v>
      </c>
      <c r="D359" s="586"/>
      <c r="E359" s="696" t="s">
        <v>147</v>
      </c>
      <c r="F359" s="86" t="str">
        <f t="shared" si="166"/>
        <v/>
      </c>
      <c r="G359" s="86" t="str">
        <f t="shared" si="166"/>
        <v/>
      </c>
      <c r="H359" s="86" t="str">
        <f t="shared" si="166"/>
        <v/>
      </c>
      <c r="I359" s="86" t="str">
        <f t="shared" si="166"/>
        <v/>
      </c>
      <c r="J359" s="86" t="str">
        <f t="shared" si="166"/>
        <v/>
      </c>
      <c r="K359" s="86" t="str">
        <f t="shared" si="166"/>
        <v/>
      </c>
      <c r="M359" s="149"/>
      <c r="N359" s="697"/>
      <c r="O359" s="697"/>
      <c r="P359" s="697"/>
      <c r="Q359" s="694"/>
      <c r="R359" s="694"/>
      <c r="S359" s="694"/>
      <c r="T359" s="694"/>
      <c r="V359" s="97">
        <f>V358+1</f>
        <v>3</v>
      </c>
      <c r="W359" s="96">
        <f>IF(I357&lt;&gt;0,I357-I360,0)</f>
        <v>0</v>
      </c>
      <c r="X359" s="695"/>
      <c r="Y359" s="669"/>
      <c r="Z359" s="669"/>
      <c r="AA359" s="669"/>
      <c r="AB359" s="669"/>
      <c r="AC359" s="669"/>
      <c r="AD359" s="669"/>
      <c r="AE359" s="669"/>
      <c r="AF359" s="669"/>
      <c r="AG359" s="669"/>
      <c r="AH359" s="669"/>
      <c r="AI359" s="669"/>
      <c r="AJ359" s="669"/>
      <c r="AK359" s="669"/>
      <c r="AL359" s="669"/>
      <c r="AM359" s="669"/>
      <c r="AN359" s="669"/>
      <c r="AO359" s="669"/>
      <c r="AP359" s="669"/>
      <c r="AQ359" s="669"/>
      <c r="AR359" s="669"/>
      <c r="AS359" s="669"/>
      <c r="AT359" s="669"/>
      <c r="AU359" s="669"/>
    </row>
    <row r="360" spans="1:47" outlineLevel="2" x14ac:dyDescent="0.2">
      <c r="A360" s="586"/>
      <c r="B360" s="352">
        <v>4</v>
      </c>
      <c r="C360" s="352">
        <v>6</v>
      </c>
      <c r="D360" s="586"/>
      <c r="E360" s="696" t="s">
        <v>148</v>
      </c>
      <c r="F360" s="86" t="str">
        <f t="shared" si="166"/>
        <v/>
      </c>
      <c r="G360" s="86" t="str">
        <f t="shared" si="166"/>
        <v/>
      </c>
      <c r="H360" s="86" t="str">
        <f t="shared" si="166"/>
        <v/>
      </c>
      <c r="I360" s="86" t="str">
        <f t="shared" si="166"/>
        <v/>
      </c>
      <c r="J360" s="86" t="str">
        <f t="shared" si="166"/>
        <v/>
      </c>
      <c r="K360" s="86" t="str">
        <f t="shared" si="166"/>
        <v/>
      </c>
      <c r="M360" s="149"/>
      <c r="N360" s="697"/>
      <c r="O360" s="697"/>
      <c r="P360" s="697"/>
      <c r="Q360" s="694"/>
      <c r="R360" s="694"/>
      <c r="S360" s="694"/>
      <c r="T360" s="694"/>
      <c r="V360" s="97">
        <f>V359+1</f>
        <v>4</v>
      </c>
      <c r="W360" s="96">
        <f>IF(J357&lt;&gt;0,J357-J360,0)</f>
        <v>0</v>
      </c>
      <c r="X360" s="695"/>
      <c r="Y360" s="669"/>
      <c r="Z360" s="669"/>
      <c r="AA360" s="669"/>
      <c r="AB360" s="669"/>
      <c r="AC360" s="669"/>
      <c r="AD360" s="669"/>
      <c r="AE360" s="669"/>
      <c r="AF360" s="669"/>
      <c r="AG360" s="669"/>
      <c r="AH360" s="669"/>
      <c r="AI360" s="669"/>
      <c r="AJ360" s="669"/>
      <c r="AK360" s="669"/>
      <c r="AL360" s="669"/>
      <c r="AM360" s="669"/>
      <c r="AN360" s="669"/>
      <c r="AO360" s="669"/>
      <c r="AP360" s="669"/>
      <c r="AQ360" s="669"/>
      <c r="AR360" s="669"/>
      <c r="AS360" s="669"/>
      <c r="AT360" s="669"/>
      <c r="AU360" s="669"/>
    </row>
    <row r="361" spans="1:47" ht="12.75" customHeight="1" outlineLevel="2" x14ac:dyDescent="0.2">
      <c r="A361" s="586"/>
      <c r="B361" s="352">
        <v>4</v>
      </c>
      <c r="C361" s="352">
        <v>7</v>
      </c>
      <c r="D361" s="586"/>
      <c r="E361" s="698" t="s">
        <v>149</v>
      </c>
      <c r="F361" s="86" t="str">
        <f t="shared" si="166"/>
        <v/>
      </c>
      <c r="G361" s="86" t="str">
        <f t="shared" si="166"/>
        <v/>
      </c>
      <c r="H361" s="86" t="str">
        <f t="shared" si="166"/>
        <v/>
      </c>
      <c r="I361" s="86" t="str">
        <f t="shared" si="166"/>
        <v/>
      </c>
      <c r="J361" s="86" t="str">
        <f t="shared" si="166"/>
        <v/>
      </c>
      <c r="K361" s="86" t="str">
        <f t="shared" si="166"/>
        <v/>
      </c>
      <c r="M361" s="149"/>
      <c r="N361" s="697"/>
      <c r="O361" s="697"/>
      <c r="P361" s="697"/>
      <c r="Q361" s="694"/>
      <c r="R361" s="694"/>
      <c r="S361" s="694"/>
      <c r="T361" s="694"/>
      <c r="V361" s="97">
        <f>V360+1</f>
        <v>5</v>
      </c>
      <c r="W361" s="96">
        <f>IF(K357&lt;&gt;0,K357-K360,0)</f>
        <v>0</v>
      </c>
      <c r="X361" s="695"/>
      <c r="Y361" s="669"/>
      <c r="Z361" s="669"/>
      <c r="AA361" s="669"/>
      <c r="AB361" s="669"/>
      <c r="AC361" s="669"/>
      <c r="AD361" s="669"/>
      <c r="AE361" s="669"/>
      <c r="AF361" s="669"/>
      <c r="AG361" s="669"/>
      <c r="AH361" s="669"/>
      <c r="AI361" s="669"/>
      <c r="AJ361" s="669"/>
      <c r="AK361" s="669"/>
      <c r="AL361" s="669"/>
      <c r="AM361" s="669"/>
      <c r="AN361" s="669"/>
      <c r="AO361" s="669"/>
      <c r="AP361" s="669"/>
      <c r="AQ361" s="669"/>
      <c r="AR361" s="669"/>
      <c r="AS361" s="669"/>
      <c r="AT361" s="669"/>
      <c r="AU361" s="669"/>
    </row>
    <row r="362" spans="1:47" outlineLevel="2" x14ac:dyDescent="0.2">
      <c r="A362" s="586"/>
      <c r="B362" s="586"/>
      <c r="C362" s="586"/>
      <c r="D362" s="586"/>
      <c r="E362" s="586"/>
      <c r="F362" s="586"/>
      <c r="G362" s="586"/>
      <c r="H362" s="586"/>
      <c r="I362" s="586"/>
      <c r="J362" s="586"/>
      <c r="K362" s="586"/>
      <c r="M362" s="586"/>
      <c r="N362" s="164"/>
      <c r="O362" s="164"/>
      <c r="P362" s="164"/>
      <c r="Q362" s="164"/>
      <c r="R362" s="164"/>
      <c r="S362" s="164"/>
      <c r="T362" s="164"/>
      <c r="V362" s="98"/>
      <c r="W362" s="98"/>
      <c r="X362" s="98"/>
      <c r="Y362" s="669"/>
      <c r="Z362" s="669"/>
      <c r="AA362" s="669"/>
      <c r="AB362" s="669"/>
      <c r="AC362" s="669"/>
      <c r="AD362" s="669"/>
      <c r="AE362" s="669"/>
      <c r="AF362" s="669"/>
      <c r="AG362" s="669"/>
      <c r="AH362" s="669"/>
      <c r="AI362" s="669"/>
      <c r="AJ362" s="669"/>
      <c r="AK362" s="669"/>
      <c r="AL362" s="669"/>
      <c r="AM362" s="669"/>
      <c r="AN362" s="669"/>
      <c r="AO362" s="669"/>
      <c r="AP362" s="669"/>
      <c r="AQ362" s="669"/>
      <c r="AR362" s="669"/>
      <c r="AS362" s="669"/>
      <c r="AT362" s="669"/>
      <c r="AU362" s="669"/>
    </row>
    <row r="363" spans="1:47" ht="15" outlineLevel="2" x14ac:dyDescent="0.2">
      <c r="A363" s="586"/>
      <c r="B363" s="586"/>
      <c r="C363" s="586"/>
      <c r="D363" s="681" t="s">
        <v>1</v>
      </c>
      <c r="E363" s="681"/>
      <c r="F363" s="671">
        <f>FirstYear</f>
        <v>0</v>
      </c>
      <c r="G363" s="671">
        <f>F363+1</f>
        <v>1</v>
      </c>
      <c r="H363" s="671">
        <f>G363+1</f>
        <v>2</v>
      </c>
      <c r="I363" s="671">
        <f>H363+1</f>
        <v>3</v>
      </c>
      <c r="J363" s="671">
        <f>I363+1</f>
        <v>4</v>
      </c>
      <c r="K363" s="671">
        <f>J363+1</f>
        <v>5</v>
      </c>
      <c r="M363" s="586"/>
      <c r="N363" s="164"/>
      <c r="O363" s="164"/>
      <c r="P363" s="164"/>
      <c r="Q363" s="164"/>
      <c r="R363" s="164"/>
      <c r="S363" s="164"/>
      <c r="T363" s="164"/>
      <c r="V363" s="98"/>
      <c r="W363" s="98"/>
      <c r="X363" s="98"/>
      <c r="Y363" s="669"/>
      <c r="Z363" s="669"/>
      <c r="AA363" s="669"/>
      <c r="AB363" s="669"/>
      <c r="AC363" s="669"/>
      <c r="AD363" s="669"/>
      <c r="AE363" s="669"/>
      <c r="AF363" s="669"/>
      <c r="AG363" s="669"/>
      <c r="AH363" s="669"/>
      <c r="AI363" s="669"/>
      <c r="AJ363" s="669"/>
      <c r="AK363" s="669"/>
      <c r="AL363" s="669"/>
      <c r="AM363" s="669"/>
      <c r="AN363" s="669"/>
      <c r="AO363" s="669"/>
      <c r="AP363" s="669"/>
      <c r="AQ363" s="669"/>
      <c r="AR363" s="669"/>
      <c r="AS363" s="669"/>
      <c r="AT363" s="669"/>
      <c r="AU363" s="669"/>
    </row>
    <row r="364" spans="1:47" outlineLevel="2" x14ac:dyDescent="0.2">
      <c r="A364" s="586"/>
      <c r="B364" s="586"/>
      <c r="C364" s="586"/>
      <c r="D364" s="586"/>
      <c r="E364" s="590" t="s">
        <v>269</v>
      </c>
      <c r="F364" s="397">
        <f t="shared" ref="F364:K364" si="167">F365*$P257</f>
        <v>0</v>
      </c>
      <c r="G364" s="397">
        <f t="shared" si="167"/>
        <v>0</v>
      </c>
      <c r="H364" s="397">
        <f t="shared" si="167"/>
        <v>0</v>
      </c>
      <c r="I364" s="397">
        <f t="shared" si="167"/>
        <v>0</v>
      </c>
      <c r="J364" s="397">
        <f t="shared" si="167"/>
        <v>0</v>
      </c>
      <c r="K364" s="397">
        <f t="shared" si="167"/>
        <v>0</v>
      </c>
      <c r="M364" s="586"/>
      <c r="N364" s="164"/>
      <c r="O364" s="164"/>
      <c r="P364" s="164"/>
      <c r="Q364" s="164"/>
      <c r="R364" s="164"/>
      <c r="S364" s="164"/>
      <c r="T364" s="164"/>
      <c r="V364" s="98"/>
      <c r="W364" s="98"/>
      <c r="X364" s="98"/>
      <c r="Y364" s="669"/>
      <c r="Z364" s="669"/>
      <c r="AA364" s="669"/>
      <c r="AB364" s="669"/>
      <c r="AC364" s="669"/>
      <c r="AD364" s="669"/>
      <c r="AE364" s="669"/>
      <c r="AF364" s="669"/>
      <c r="AG364" s="669"/>
      <c r="AH364" s="669"/>
      <c r="AI364" s="669"/>
      <c r="AJ364" s="669"/>
      <c r="AK364" s="669"/>
      <c r="AL364" s="669"/>
      <c r="AM364" s="669"/>
      <c r="AN364" s="669"/>
      <c r="AO364" s="669"/>
      <c r="AP364" s="669"/>
      <c r="AQ364" s="669"/>
      <c r="AR364" s="669"/>
      <c r="AS364" s="669"/>
      <c r="AT364" s="669"/>
      <c r="AU364" s="669"/>
    </row>
    <row r="365" spans="1:47" outlineLevel="2" x14ac:dyDescent="0.2">
      <c r="A365" s="586"/>
      <c r="B365" s="586"/>
      <c r="C365" s="352" t="str">
        <f>W272</f>
        <v/>
      </c>
      <c r="D365" s="586"/>
      <c r="E365" s="85" t="s">
        <v>80</v>
      </c>
      <c r="F365" s="86">
        <f t="shared" ref="F365:K365" si="168">IF($W$257=2,$N$257*IF($C365&lt;&gt;"",INDEX(RPBSScriptsChanged,$C365,F354),0),IF($Y257&lt;&gt;0,$M$257*INDEX(MBSRPBSDec,$C353,($Y257-1)*7+F354),0))*$V$257</f>
        <v>0</v>
      </c>
      <c r="G365" s="86">
        <f t="shared" si="168"/>
        <v>0</v>
      </c>
      <c r="H365" s="86">
        <f t="shared" si="168"/>
        <v>0</v>
      </c>
      <c r="I365" s="86">
        <f t="shared" si="168"/>
        <v>0</v>
      </c>
      <c r="J365" s="86">
        <f t="shared" si="168"/>
        <v>0</v>
      </c>
      <c r="K365" s="86">
        <f t="shared" si="168"/>
        <v>0</v>
      </c>
      <c r="M365" s="586"/>
      <c r="N365" s="164"/>
      <c r="O365" s="164"/>
      <c r="P365" s="164"/>
      <c r="Q365" s="164"/>
      <c r="R365" s="164"/>
      <c r="S365" s="164"/>
      <c r="T365" s="164"/>
      <c r="V365" s="98"/>
      <c r="W365" s="98"/>
      <c r="X365" s="98"/>
      <c r="Y365" s="669"/>
      <c r="Z365" s="669"/>
      <c r="AA365" s="669"/>
      <c r="AB365" s="669"/>
      <c r="AC365" s="669"/>
      <c r="AD365" s="669"/>
      <c r="AE365" s="669"/>
      <c r="AF365" s="669"/>
      <c r="AG365" s="669"/>
      <c r="AH365" s="669"/>
      <c r="AI365" s="669"/>
      <c r="AJ365" s="669"/>
      <c r="AK365" s="669"/>
      <c r="AL365" s="669"/>
      <c r="AM365" s="669"/>
      <c r="AN365" s="669"/>
      <c r="AO365" s="669"/>
      <c r="AP365" s="669"/>
      <c r="AQ365" s="669"/>
      <c r="AR365" s="669"/>
      <c r="AS365" s="669"/>
      <c r="AT365" s="669"/>
      <c r="AU365" s="669"/>
    </row>
    <row r="366" spans="1:47" outlineLevel="2" x14ac:dyDescent="0.2">
      <c r="A366" s="586"/>
      <c r="B366" s="352">
        <v>5</v>
      </c>
      <c r="C366" s="352">
        <v>6</v>
      </c>
      <c r="D366" s="586"/>
      <c r="E366" s="696" t="s">
        <v>146</v>
      </c>
      <c r="F366" s="86" t="str">
        <f t="shared" ref="F366:K369" si="169">IF(INDEX(MBSItemsDec,$C$353,1)&lt;&gt;"",F$365*INDEX(MBSItemsDec,$C$353,$B366)*INDEX(MBSItemsDec,$C$353,$C366),"")</f>
        <v/>
      </c>
      <c r="G366" s="86" t="str">
        <f t="shared" si="169"/>
        <v/>
      </c>
      <c r="H366" s="86" t="str">
        <f t="shared" si="169"/>
        <v/>
      </c>
      <c r="I366" s="86" t="str">
        <f t="shared" si="169"/>
        <v/>
      </c>
      <c r="J366" s="86" t="str">
        <f t="shared" si="169"/>
        <v/>
      </c>
      <c r="K366" s="86" t="str">
        <f t="shared" si="169"/>
        <v/>
      </c>
      <c r="M366" s="586"/>
      <c r="N366" s="164"/>
      <c r="O366" s="164"/>
      <c r="P366" s="164"/>
      <c r="Q366" s="164"/>
      <c r="R366" s="164"/>
      <c r="S366" s="164"/>
      <c r="T366" s="164"/>
      <c r="V366" s="98"/>
      <c r="W366" s="98"/>
      <c r="X366" s="98"/>
      <c r="Y366" s="669"/>
      <c r="Z366" s="669"/>
      <c r="AA366" s="669"/>
      <c r="AB366" s="669"/>
      <c r="AC366" s="669"/>
      <c r="AD366" s="669"/>
      <c r="AE366" s="669"/>
      <c r="AF366" s="669"/>
      <c r="AG366" s="669"/>
      <c r="AH366" s="669"/>
      <c r="AI366" s="669"/>
      <c r="AJ366" s="669"/>
      <c r="AK366" s="669"/>
      <c r="AL366" s="669"/>
      <c r="AM366" s="669"/>
      <c r="AN366" s="669"/>
      <c r="AO366" s="669"/>
      <c r="AP366" s="669"/>
      <c r="AQ366" s="669"/>
      <c r="AR366" s="669"/>
      <c r="AS366" s="669"/>
      <c r="AT366" s="669"/>
      <c r="AU366" s="669"/>
    </row>
    <row r="367" spans="1:47" outlineLevel="2" x14ac:dyDescent="0.2">
      <c r="A367" s="586"/>
      <c r="B367" s="352">
        <v>5</v>
      </c>
      <c r="C367" s="352">
        <v>7</v>
      </c>
      <c r="D367" s="586"/>
      <c r="E367" s="696" t="s">
        <v>147</v>
      </c>
      <c r="F367" s="86" t="str">
        <f t="shared" si="169"/>
        <v/>
      </c>
      <c r="G367" s="86" t="str">
        <f t="shared" si="169"/>
        <v/>
      </c>
      <c r="H367" s="86" t="str">
        <f t="shared" si="169"/>
        <v/>
      </c>
      <c r="I367" s="86" t="str">
        <f t="shared" si="169"/>
        <v/>
      </c>
      <c r="J367" s="86" t="str">
        <f t="shared" si="169"/>
        <v/>
      </c>
      <c r="K367" s="86" t="str">
        <f t="shared" si="169"/>
        <v/>
      </c>
      <c r="M367" s="586"/>
      <c r="N367" s="164"/>
      <c r="O367" s="164"/>
      <c r="P367" s="164"/>
      <c r="Q367" s="164"/>
      <c r="R367" s="164"/>
      <c r="S367" s="164"/>
      <c r="T367" s="164"/>
      <c r="V367" s="98"/>
      <c r="W367" s="98"/>
      <c r="X367" s="98"/>
      <c r="Y367" s="669"/>
      <c r="Z367" s="669"/>
      <c r="AA367" s="669"/>
      <c r="AB367" s="669"/>
      <c r="AC367" s="669"/>
      <c r="AD367" s="669"/>
      <c r="AE367" s="669"/>
      <c r="AF367" s="669"/>
      <c r="AG367" s="669"/>
      <c r="AH367" s="669"/>
      <c r="AI367" s="669"/>
      <c r="AJ367" s="669"/>
      <c r="AK367" s="669"/>
      <c r="AL367" s="669"/>
      <c r="AM367" s="669"/>
      <c r="AN367" s="669"/>
      <c r="AO367" s="669"/>
      <c r="AP367" s="669"/>
      <c r="AQ367" s="669"/>
      <c r="AR367" s="669"/>
      <c r="AS367" s="669"/>
      <c r="AT367" s="669"/>
      <c r="AU367" s="669"/>
    </row>
    <row r="368" spans="1:47" outlineLevel="2" x14ac:dyDescent="0.2">
      <c r="A368" s="586"/>
      <c r="B368" s="352">
        <v>4</v>
      </c>
      <c r="C368" s="352">
        <v>6</v>
      </c>
      <c r="D368" s="586"/>
      <c r="E368" s="696" t="s">
        <v>148</v>
      </c>
      <c r="F368" s="86" t="str">
        <f t="shared" si="169"/>
        <v/>
      </c>
      <c r="G368" s="86" t="str">
        <f t="shared" si="169"/>
        <v/>
      </c>
      <c r="H368" s="86" t="str">
        <f t="shared" si="169"/>
        <v/>
      </c>
      <c r="I368" s="86" t="str">
        <f t="shared" si="169"/>
        <v/>
      </c>
      <c r="J368" s="86" t="str">
        <f t="shared" si="169"/>
        <v/>
      </c>
      <c r="K368" s="86" t="str">
        <f t="shared" si="169"/>
        <v/>
      </c>
      <c r="M368" s="586"/>
      <c r="N368" s="164"/>
      <c r="O368" s="164"/>
      <c r="P368" s="164"/>
      <c r="Q368" s="164"/>
      <c r="R368" s="164"/>
      <c r="S368" s="164"/>
      <c r="T368" s="164"/>
      <c r="V368" s="98"/>
      <c r="W368" s="98"/>
      <c r="X368" s="98"/>
      <c r="Y368" s="669"/>
      <c r="Z368" s="669"/>
      <c r="AA368" s="669"/>
      <c r="AB368" s="669"/>
      <c r="AC368" s="669"/>
      <c r="AD368" s="669"/>
      <c r="AE368" s="669"/>
      <c r="AF368" s="669"/>
      <c r="AG368" s="669"/>
      <c r="AH368" s="669"/>
      <c r="AI368" s="669"/>
      <c r="AJ368" s="669"/>
      <c r="AK368" s="669"/>
      <c r="AL368" s="669"/>
      <c r="AM368" s="669"/>
      <c r="AN368" s="669"/>
      <c r="AO368" s="669"/>
      <c r="AP368" s="669"/>
      <c r="AQ368" s="669"/>
      <c r="AR368" s="669"/>
      <c r="AS368" s="669"/>
      <c r="AT368" s="669"/>
      <c r="AU368" s="669"/>
    </row>
    <row r="369" spans="1:47" outlineLevel="2" x14ac:dyDescent="0.2">
      <c r="A369" s="586"/>
      <c r="B369" s="352">
        <v>4</v>
      </c>
      <c r="C369" s="352">
        <v>7</v>
      </c>
      <c r="D369" s="586"/>
      <c r="E369" s="698" t="s">
        <v>149</v>
      </c>
      <c r="F369" s="86" t="str">
        <f t="shared" si="169"/>
        <v/>
      </c>
      <c r="G369" s="86" t="str">
        <f t="shared" si="169"/>
        <v/>
      </c>
      <c r="H369" s="86" t="str">
        <f t="shared" si="169"/>
        <v/>
      </c>
      <c r="I369" s="86" t="str">
        <f t="shared" si="169"/>
        <v/>
      </c>
      <c r="J369" s="86" t="str">
        <f t="shared" si="169"/>
        <v/>
      </c>
      <c r="K369" s="86" t="str">
        <f t="shared" si="169"/>
        <v/>
      </c>
      <c r="M369" s="586"/>
      <c r="N369" s="164"/>
      <c r="O369" s="164"/>
      <c r="P369" s="164"/>
      <c r="Q369" s="164"/>
      <c r="R369" s="164"/>
      <c r="S369" s="164"/>
      <c r="T369" s="164"/>
      <c r="V369" s="98"/>
      <c r="W369" s="98"/>
      <c r="X369" s="98"/>
      <c r="Y369" s="669"/>
      <c r="Z369" s="669"/>
      <c r="AA369" s="669"/>
      <c r="AB369" s="669"/>
      <c r="AC369" s="669"/>
      <c r="AD369" s="669"/>
      <c r="AE369" s="669"/>
      <c r="AF369" s="669"/>
      <c r="AG369" s="669"/>
      <c r="AH369" s="669"/>
      <c r="AI369" s="669"/>
      <c r="AJ369" s="669"/>
      <c r="AK369" s="669"/>
      <c r="AL369" s="669"/>
      <c r="AM369" s="669"/>
      <c r="AN369" s="669"/>
      <c r="AO369" s="669"/>
      <c r="AP369" s="669"/>
      <c r="AQ369" s="669"/>
      <c r="AR369" s="669"/>
      <c r="AS369" s="669"/>
      <c r="AT369" s="669"/>
      <c r="AU369" s="669"/>
    </row>
    <row r="370" spans="1:47" outlineLevel="1" x14ac:dyDescent="0.2">
      <c r="A370" s="586"/>
      <c r="B370" s="586"/>
      <c r="C370" s="586"/>
      <c r="D370" s="586"/>
      <c r="E370" s="586"/>
      <c r="F370" s="586"/>
      <c r="G370" s="586"/>
      <c r="H370" s="586"/>
      <c r="I370" s="586"/>
      <c r="J370" s="586"/>
      <c r="K370" s="586"/>
      <c r="L370" s="586"/>
      <c r="M370" s="586"/>
      <c r="N370" s="164"/>
      <c r="O370" s="164"/>
      <c r="P370" s="164"/>
      <c r="Q370" s="164"/>
      <c r="R370" s="164"/>
      <c r="S370" s="164"/>
      <c r="T370" s="164"/>
      <c r="V370" s="98"/>
      <c r="W370" s="98"/>
      <c r="X370" s="98"/>
      <c r="Y370" s="669"/>
      <c r="Z370" s="669"/>
      <c r="AA370" s="669"/>
      <c r="AB370" s="669"/>
      <c r="AC370" s="669"/>
      <c r="AD370" s="669"/>
      <c r="AE370" s="669"/>
      <c r="AF370" s="669"/>
      <c r="AG370" s="669"/>
      <c r="AH370" s="669"/>
      <c r="AI370" s="669"/>
      <c r="AJ370" s="669"/>
      <c r="AK370" s="669"/>
      <c r="AL370" s="669"/>
      <c r="AM370" s="669"/>
      <c r="AN370" s="669"/>
      <c r="AO370" s="669"/>
      <c r="AP370" s="669"/>
      <c r="AQ370" s="669"/>
      <c r="AR370" s="669"/>
      <c r="AS370" s="669"/>
      <c r="AT370" s="669"/>
      <c r="AU370" s="669"/>
    </row>
    <row r="371" spans="1:47" ht="15.75" outlineLevel="1" x14ac:dyDescent="0.2">
      <c r="A371" s="586"/>
      <c r="B371" s="586"/>
      <c r="C371" s="352">
        <v>6</v>
      </c>
      <c r="D371" s="110" t="str">
        <f>INDEX(MBSNamesChange,C371)</f>
        <v>** NOT USED **</v>
      </c>
      <c r="E371" s="110"/>
      <c r="F371" s="154"/>
      <c r="G371" s="154"/>
      <c r="H371" s="154"/>
      <c r="I371" s="154"/>
      <c r="J371" s="782" t="str">
        <f>IF(D371&lt;&gt;MsgNotUsed,"Co-payment group " &amp; K258,"")</f>
        <v/>
      </c>
      <c r="K371" s="782"/>
      <c r="L371" s="154"/>
      <c r="M371" s="154"/>
      <c r="N371" s="154"/>
      <c r="O371" s="154"/>
      <c r="P371" s="154"/>
      <c r="Q371" s="154"/>
      <c r="R371" s="154"/>
      <c r="S371" s="154"/>
      <c r="T371" s="154"/>
      <c r="V371" s="98"/>
      <c r="W371" s="98"/>
      <c r="X371" s="98"/>
      <c r="Y371" s="669"/>
      <c r="Z371" s="669"/>
      <c r="AA371" s="669"/>
      <c r="AB371" s="669"/>
      <c r="AC371" s="669"/>
      <c r="AD371" s="669"/>
      <c r="AE371" s="669"/>
      <c r="AF371" s="669"/>
      <c r="AG371" s="669"/>
      <c r="AH371" s="669"/>
      <c r="AI371" s="669"/>
      <c r="AJ371" s="669"/>
      <c r="AK371" s="669"/>
      <c r="AL371" s="669"/>
      <c r="AM371" s="669"/>
      <c r="AN371" s="669"/>
      <c r="AO371" s="669"/>
      <c r="AP371" s="669"/>
      <c r="AQ371" s="669"/>
      <c r="AR371" s="669"/>
      <c r="AS371" s="669"/>
      <c r="AT371" s="669"/>
      <c r="AU371" s="669"/>
    </row>
    <row r="372" spans="1:47" outlineLevel="2" x14ac:dyDescent="0.2">
      <c r="A372" s="586"/>
      <c r="B372" s="586"/>
      <c r="C372" s="586"/>
      <c r="D372" s="674"/>
      <c r="E372" s="674"/>
      <c r="F372" s="691">
        <v>2</v>
      </c>
      <c r="G372" s="691">
        <v>3</v>
      </c>
      <c r="H372" s="691">
        <v>4</v>
      </c>
      <c r="I372" s="691">
        <v>5</v>
      </c>
      <c r="J372" s="691">
        <v>6</v>
      </c>
      <c r="K372" s="691">
        <v>7</v>
      </c>
      <c r="L372" s="691"/>
      <c r="M372" s="674"/>
      <c r="N372" s="674"/>
      <c r="O372" s="715"/>
      <c r="P372" s="674"/>
      <c r="Q372" s="674"/>
      <c r="R372" s="674"/>
      <c r="S372" s="674"/>
      <c r="T372" s="674"/>
      <c r="V372" s="98"/>
      <c r="W372" s="98"/>
      <c r="X372" s="98"/>
      <c r="Y372" s="669"/>
      <c r="Z372" s="669"/>
      <c r="AA372" s="669"/>
      <c r="AB372" s="669"/>
      <c r="AC372" s="669"/>
      <c r="AD372" s="669"/>
      <c r="AE372" s="669"/>
      <c r="AF372" s="669"/>
      <c r="AG372" s="669"/>
      <c r="AH372" s="669"/>
      <c r="AI372" s="669"/>
      <c r="AJ372" s="669"/>
      <c r="AK372" s="669"/>
      <c r="AL372" s="669"/>
      <c r="AM372" s="669"/>
      <c r="AN372" s="669"/>
      <c r="AO372" s="669"/>
      <c r="AP372" s="669"/>
      <c r="AQ372" s="669"/>
      <c r="AR372" s="669"/>
      <c r="AS372" s="669"/>
      <c r="AT372" s="669"/>
      <c r="AU372" s="669"/>
    </row>
    <row r="373" spans="1:47" ht="15" outlineLevel="2" x14ac:dyDescent="0.2">
      <c r="A373" s="586"/>
      <c r="B373" s="586"/>
      <c r="C373" s="586"/>
      <c r="D373" s="681" t="s">
        <v>0</v>
      </c>
      <c r="E373" s="681"/>
      <c r="F373" s="671">
        <f>FirstYear</f>
        <v>0</v>
      </c>
      <c r="G373" s="671">
        <f>F373+1</f>
        <v>1</v>
      </c>
      <c r="H373" s="671">
        <f>G373+1</f>
        <v>2</v>
      </c>
      <c r="I373" s="671">
        <f>H373+1</f>
        <v>3</v>
      </c>
      <c r="J373" s="671">
        <f>I373+1</f>
        <v>4</v>
      </c>
      <c r="K373" s="671">
        <f>J373+1</f>
        <v>5</v>
      </c>
      <c r="M373" s="149"/>
      <c r="N373" s="692"/>
      <c r="O373" s="692"/>
      <c r="P373" s="692"/>
      <c r="Q373" s="99"/>
      <c r="R373" s="99"/>
      <c r="S373" s="99"/>
      <c r="T373" s="99"/>
      <c r="V373" s="99"/>
      <c r="W373" s="99"/>
      <c r="X373" s="99"/>
      <c r="Y373" s="669"/>
      <c r="Z373" s="669"/>
      <c r="AA373" s="669"/>
      <c r="AB373" s="669"/>
      <c r="AC373" s="669"/>
      <c r="AD373" s="669"/>
      <c r="AE373" s="669"/>
      <c r="AF373" s="669"/>
      <c r="AG373" s="669"/>
      <c r="AH373" s="669"/>
      <c r="AI373" s="669"/>
      <c r="AJ373" s="669"/>
      <c r="AK373" s="669"/>
      <c r="AL373" s="669"/>
      <c r="AM373" s="669"/>
      <c r="AN373" s="669"/>
      <c r="AO373" s="669"/>
      <c r="AP373" s="669"/>
      <c r="AQ373" s="669"/>
      <c r="AR373" s="669"/>
      <c r="AS373" s="669"/>
      <c r="AT373" s="669"/>
      <c r="AU373" s="669"/>
    </row>
    <row r="374" spans="1:47" outlineLevel="2" x14ac:dyDescent="0.2">
      <c r="A374" s="586"/>
      <c r="B374" s="586"/>
      <c r="C374" s="586"/>
      <c r="D374" s="586"/>
      <c r="E374" s="590" t="s">
        <v>269</v>
      </c>
      <c r="F374" s="397">
        <f t="shared" ref="F374:K374" si="170">F375*$P258</f>
        <v>0</v>
      </c>
      <c r="G374" s="397">
        <f t="shared" si="170"/>
        <v>0</v>
      </c>
      <c r="H374" s="397">
        <f t="shared" si="170"/>
        <v>0</v>
      </c>
      <c r="I374" s="397">
        <f t="shared" si="170"/>
        <v>0</v>
      </c>
      <c r="J374" s="397">
        <f t="shared" si="170"/>
        <v>0</v>
      </c>
      <c r="K374" s="397">
        <f t="shared" si="170"/>
        <v>0</v>
      </c>
      <c r="M374" s="149"/>
      <c r="N374" s="692"/>
      <c r="O374" s="692"/>
      <c r="P374" s="692"/>
      <c r="Q374" s="99"/>
      <c r="R374" s="99"/>
      <c r="S374" s="99"/>
      <c r="T374" s="99"/>
      <c r="V374" s="97">
        <f>FirstYear</f>
        <v>0</v>
      </c>
      <c r="W374" s="96">
        <f>IF(F375&lt;&gt;0,F375-F378,0)</f>
        <v>0</v>
      </c>
      <c r="X374" s="99"/>
      <c r="Y374" s="669"/>
      <c r="Z374" s="669"/>
      <c r="AA374" s="669"/>
      <c r="AB374" s="669"/>
      <c r="AC374" s="669"/>
      <c r="AD374" s="669"/>
      <c r="AE374" s="669"/>
      <c r="AF374" s="669"/>
      <c r="AG374" s="669"/>
      <c r="AH374" s="669"/>
      <c r="AI374" s="669"/>
      <c r="AJ374" s="669"/>
      <c r="AK374" s="669"/>
      <c r="AL374" s="669"/>
      <c r="AM374" s="669"/>
      <c r="AN374" s="669"/>
      <c r="AO374" s="669"/>
      <c r="AP374" s="669"/>
      <c r="AQ374" s="669"/>
      <c r="AR374" s="669"/>
      <c r="AS374" s="669"/>
      <c r="AT374" s="669"/>
      <c r="AU374" s="669"/>
    </row>
    <row r="375" spans="1:47" ht="14.25" outlineLevel="2" x14ac:dyDescent="0.2">
      <c r="A375" s="586"/>
      <c r="B375" s="586"/>
      <c r="C375" s="352" t="str">
        <f>W273</f>
        <v/>
      </c>
      <c r="D375" s="586"/>
      <c r="E375" s="85" t="s">
        <v>80</v>
      </c>
      <c r="F375" s="86">
        <f t="shared" ref="F375:K375" si="171">IF($W$258=2,$N$258*IF($C375&lt;&gt;"",INDEX(PBSScriptsChanged,$C375,F372),0),IF($Y258&lt;&gt;0,$M$258*INDEX(MBSPBSDec,$C371,($Y258-1)*7+F372),0))*$V$258</f>
        <v>0</v>
      </c>
      <c r="G375" s="86">
        <f t="shared" si="171"/>
        <v>0</v>
      </c>
      <c r="H375" s="86">
        <f t="shared" si="171"/>
        <v>0</v>
      </c>
      <c r="I375" s="86">
        <f t="shared" si="171"/>
        <v>0</v>
      </c>
      <c r="J375" s="86">
        <f t="shared" si="171"/>
        <v>0</v>
      </c>
      <c r="K375" s="86">
        <f t="shared" si="171"/>
        <v>0</v>
      </c>
      <c r="M375" s="701"/>
      <c r="N375" s="684"/>
      <c r="O375" s="684"/>
      <c r="P375" s="684"/>
      <c r="Q375" s="694"/>
      <c r="R375" s="694"/>
      <c r="S375" s="694"/>
      <c r="T375" s="694"/>
      <c r="V375" s="97">
        <f>V374+1</f>
        <v>1</v>
      </c>
      <c r="W375" s="96">
        <f>IF(G375&lt;&gt;0,G375-G378,0)</f>
        <v>0</v>
      </c>
      <c r="X375" s="695"/>
      <c r="Y375" s="669"/>
      <c r="Z375" s="669"/>
      <c r="AA375" s="669"/>
      <c r="AB375" s="669"/>
      <c r="AC375" s="669"/>
      <c r="AD375" s="669"/>
      <c r="AE375" s="669"/>
      <c r="AF375" s="669"/>
      <c r="AG375" s="669"/>
      <c r="AH375" s="669"/>
      <c r="AI375" s="669"/>
      <c r="AJ375" s="669"/>
      <c r="AK375" s="669"/>
      <c r="AL375" s="669"/>
      <c r="AM375" s="669"/>
      <c r="AN375" s="669"/>
      <c r="AO375" s="669"/>
      <c r="AP375" s="669"/>
      <c r="AQ375" s="669"/>
      <c r="AR375" s="669"/>
      <c r="AS375" s="669"/>
      <c r="AT375" s="669"/>
      <c r="AU375" s="669"/>
    </row>
    <row r="376" spans="1:47" outlineLevel="2" x14ac:dyDescent="0.2">
      <c r="A376" s="586"/>
      <c r="B376" s="352">
        <v>5</v>
      </c>
      <c r="C376" s="352">
        <v>6</v>
      </c>
      <c r="D376" s="586"/>
      <c r="E376" s="696" t="s">
        <v>146</v>
      </c>
      <c r="F376" s="86" t="str">
        <f t="shared" ref="F376:K379" si="172">IF(INDEX(MBSItemsDec,$C$371,1)&lt;&gt;"",F$375*INDEX(MBSItemsDec,$C$371,$B376)*INDEX(MBSItemsDec,$C$371,$C376),"")</f>
        <v/>
      </c>
      <c r="G376" s="86" t="str">
        <f t="shared" si="172"/>
        <v/>
      </c>
      <c r="H376" s="86" t="str">
        <f t="shared" si="172"/>
        <v/>
      </c>
      <c r="I376" s="86" t="str">
        <f t="shared" si="172"/>
        <v/>
      </c>
      <c r="J376" s="86" t="str">
        <f t="shared" si="172"/>
        <v/>
      </c>
      <c r="K376" s="86" t="str">
        <f t="shared" si="172"/>
        <v/>
      </c>
      <c r="M376" s="149"/>
      <c r="N376" s="697"/>
      <c r="O376" s="697"/>
      <c r="P376" s="697"/>
      <c r="Q376" s="694"/>
      <c r="R376" s="694"/>
      <c r="S376" s="694"/>
      <c r="T376" s="694"/>
      <c r="V376" s="97">
        <f>V375+1</f>
        <v>2</v>
      </c>
      <c r="W376" s="96">
        <f>IF(H375&lt;&gt;0,H375-H378,0)</f>
        <v>0</v>
      </c>
      <c r="X376" s="695"/>
      <c r="Y376" s="669"/>
      <c r="Z376" s="669"/>
      <c r="AA376" s="669"/>
      <c r="AB376" s="669"/>
      <c r="AC376" s="669"/>
      <c r="AD376" s="669"/>
      <c r="AE376" s="669"/>
      <c r="AF376" s="669"/>
      <c r="AG376" s="669"/>
      <c r="AH376" s="669"/>
      <c r="AI376" s="669"/>
      <c r="AJ376" s="669"/>
      <c r="AK376" s="669"/>
      <c r="AL376" s="669"/>
      <c r="AM376" s="669"/>
      <c r="AN376" s="669"/>
      <c r="AO376" s="669"/>
      <c r="AP376" s="669"/>
      <c r="AQ376" s="669"/>
      <c r="AR376" s="669"/>
      <c r="AS376" s="669"/>
      <c r="AT376" s="669"/>
      <c r="AU376" s="669"/>
    </row>
    <row r="377" spans="1:47" outlineLevel="2" x14ac:dyDescent="0.2">
      <c r="A377" s="586"/>
      <c r="B377" s="352">
        <v>5</v>
      </c>
      <c r="C377" s="352">
        <v>7</v>
      </c>
      <c r="D377" s="586"/>
      <c r="E377" s="696" t="s">
        <v>147</v>
      </c>
      <c r="F377" s="86" t="str">
        <f t="shared" si="172"/>
        <v/>
      </c>
      <c r="G377" s="86" t="str">
        <f t="shared" si="172"/>
        <v/>
      </c>
      <c r="H377" s="86" t="str">
        <f t="shared" si="172"/>
        <v/>
      </c>
      <c r="I377" s="86" t="str">
        <f t="shared" si="172"/>
        <v/>
      </c>
      <c r="J377" s="86" t="str">
        <f t="shared" si="172"/>
        <v/>
      </c>
      <c r="K377" s="86" t="str">
        <f t="shared" si="172"/>
        <v/>
      </c>
      <c r="M377" s="149"/>
      <c r="N377" s="697"/>
      <c r="O377" s="697"/>
      <c r="P377" s="697"/>
      <c r="Q377" s="694"/>
      <c r="R377" s="694"/>
      <c r="S377" s="694"/>
      <c r="T377" s="694"/>
      <c r="V377" s="97">
        <f>V376+1</f>
        <v>3</v>
      </c>
      <c r="W377" s="96">
        <f>IF(I375&lt;&gt;0,I375-I378,0)</f>
        <v>0</v>
      </c>
      <c r="X377" s="695"/>
      <c r="Y377" s="669"/>
      <c r="Z377" s="669"/>
      <c r="AA377" s="669"/>
      <c r="AB377" s="669"/>
      <c r="AC377" s="669"/>
      <c r="AD377" s="669"/>
      <c r="AE377" s="669"/>
      <c r="AF377" s="669"/>
      <c r="AG377" s="669"/>
      <c r="AH377" s="669"/>
      <c r="AI377" s="669"/>
      <c r="AJ377" s="669"/>
      <c r="AK377" s="669"/>
      <c r="AL377" s="669"/>
      <c r="AM377" s="669"/>
      <c r="AN377" s="669"/>
      <c r="AO377" s="669"/>
      <c r="AP377" s="669"/>
      <c r="AQ377" s="669"/>
      <c r="AR377" s="669"/>
      <c r="AS377" s="669"/>
      <c r="AT377" s="669"/>
      <c r="AU377" s="669"/>
    </row>
    <row r="378" spans="1:47" outlineLevel="2" x14ac:dyDescent="0.2">
      <c r="A378" s="586"/>
      <c r="B378" s="352">
        <v>4</v>
      </c>
      <c r="C378" s="352">
        <v>6</v>
      </c>
      <c r="D378" s="586"/>
      <c r="E378" s="696" t="s">
        <v>148</v>
      </c>
      <c r="F378" s="86" t="str">
        <f t="shared" si="172"/>
        <v/>
      </c>
      <c r="G378" s="86" t="str">
        <f t="shared" si="172"/>
        <v/>
      </c>
      <c r="H378" s="86" t="str">
        <f t="shared" si="172"/>
        <v/>
      </c>
      <c r="I378" s="86" t="str">
        <f t="shared" si="172"/>
        <v/>
      </c>
      <c r="J378" s="86" t="str">
        <f t="shared" si="172"/>
        <v/>
      </c>
      <c r="K378" s="86" t="str">
        <f t="shared" si="172"/>
        <v/>
      </c>
      <c r="M378" s="149"/>
      <c r="N378" s="697"/>
      <c r="O378" s="697"/>
      <c r="P378" s="697"/>
      <c r="Q378" s="694"/>
      <c r="R378" s="694"/>
      <c r="S378" s="694"/>
      <c r="T378" s="694"/>
      <c r="V378" s="97">
        <f>V377+1</f>
        <v>4</v>
      </c>
      <c r="W378" s="96">
        <f>IF(J375&lt;&gt;0,J375-J378,0)</f>
        <v>0</v>
      </c>
      <c r="X378" s="695"/>
      <c r="Y378" s="669"/>
      <c r="Z378" s="669"/>
      <c r="AA378" s="669"/>
      <c r="AB378" s="669"/>
      <c r="AC378" s="669"/>
      <c r="AD378" s="669"/>
      <c r="AE378" s="669"/>
      <c r="AF378" s="669"/>
      <c r="AG378" s="669"/>
      <c r="AH378" s="669"/>
      <c r="AI378" s="669"/>
      <c r="AJ378" s="669"/>
      <c r="AK378" s="669"/>
      <c r="AL378" s="669"/>
      <c r="AM378" s="669"/>
      <c r="AN378" s="669"/>
      <c r="AO378" s="669"/>
      <c r="AP378" s="669"/>
      <c r="AQ378" s="669"/>
      <c r="AR378" s="669"/>
      <c r="AS378" s="669"/>
      <c r="AT378" s="669"/>
      <c r="AU378" s="669"/>
    </row>
    <row r="379" spans="1:47" ht="12.75" customHeight="1" outlineLevel="2" x14ac:dyDescent="0.2">
      <c r="A379" s="586"/>
      <c r="B379" s="352">
        <v>4</v>
      </c>
      <c r="C379" s="352">
        <v>7</v>
      </c>
      <c r="D379" s="586"/>
      <c r="E379" s="698" t="s">
        <v>149</v>
      </c>
      <c r="F379" s="86" t="str">
        <f t="shared" si="172"/>
        <v/>
      </c>
      <c r="G379" s="86" t="str">
        <f t="shared" si="172"/>
        <v/>
      </c>
      <c r="H379" s="86" t="str">
        <f t="shared" si="172"/>
        <v/>
      </c>
      <c r="I379" s="86" t="str">
        <f t="shared" si="172"/>
        <v/>
      </c>
      <c r="J379" s="86" t="str">
        <f t="shared" si="172"/>
        <v/>
      </c>
      <c r="K379" s="86" t="str">
        <f t="shared" si="172"/>
        <v/>
      </c>
      <c r="M379" s="149"/>
      <c r="N379" s="697"/>
      <c r="O379" s="697"/>
      <c r="P379" s="697"/>
      <c r="Q379" s="694"/>
      <c r="R379" s="694"/>
      <c r="S379" s="694"/>
      <c r="T379" s="694"/>
      <c r="V379" s="97">
        <f>V378+1</f>
        <v>5</v>
      </c>
      <c r="W379" s="96">
        <f>IF(K375&lt;&gt;0,K375-K378,0)</f>
        <v>0</v>
      </c>
      <c r="X379" s="695"/>
      <c r="Y379" s="669"/>
      <c r="Z379" s="669"/>
      <c r="AA379" s="669"/>
      <c r="AB379" s="669"/>
      <c r="AC379" s="669"/>
      <c r="AD379" s="669"/>
      <c r="AE379" s="669"/>
      <c r="AF379" s="669"/>
      <c r="AG379" s="669"/>
      <c r="AH379" s="669"/>
      <c r="AI379" s="669"/>
      <c r="AJ379" s="669"/>
      <c r="AK379" s="669"/>
      <c r="AL379" s="669"/>
      <c r="AM379" s="669"/>
      <c r="AN379" s="669"/>
      <c r="AO379" s="669"/>
      <c r="AP379" s="669"/>
      <c r="AQ379" s="669"/>
      <c r="AR379" s="669"/>
      <c r="AS379" s="669"/>
      <c r="AT379" s="669"/>
      <c r="AU379" s="669"/>
    </row>
    <row r="380" spans="1:47" outlineLevel="2" x14ac:dyDescent="0.2">
      <c r="A380" s="586"/>
      <c r="B380" s="586"/>
      <c r="C380" s="586"/>
      <c r="D380" s="586"/>
      <c r="E380" s="586"/>
      <c r="F380" s="586"/>
      <c r="G380" s="586"/>
      <c r="H380" s="586"/>
      <c r="I380" s="586"/>
      <c r="J380" s="586"/>
      <c r="K380" s="586"/>
      <c r="M380" s="586"/>
      <c r="N380" s="164"/>
      <c r="O380" s="164"/>
      <c r="P380" s="164"/>
      <c r="Q380" s="164"/>
      <c r="R380" s="164"/>
      <c r="S380" s="164"/>
      <c r="T380" s="164"/>
      <c r="V380" s="98"/>
      <c r="W380" s="98"/>
      <c r="X380" s="98"/>
      <c r="Y380" s="669"/>
      <c r="Z380" s="669"/>
      <c r="AA380" s="669"/>
      <c r="AB380" s="669"/>
      <c r="AC380" s="669"/>
      <c r="AD380" s="669"/>
      <c r="AE380" s="669"/>
      <c r="AF380" s="669"/>
      <c r="AG380" s="669"/>
      <c r="AH380" s="669"/>
      <c r="AI380" s="669"/>
      <c r="AJ380" s="669"/>
      <c r="AK380" s="669"/>
      <c r="AL380" s="669"/>
      <c r="AM380" s="669"/>
      <c r="AN380" s="669"/>
      <c r="AO380" s="669"/>
      <c r="AP380" s="669"/>
      <c r="AQ380" s="669"/>
      <c r="AR380" s="669"/>
      <c r="AS380" s="669"/>
      <c r="AT380" s="669"/>
      <c r="AU380" s="669"/>
    </row>
    <row r="381" spans="1:47" ht="15" outlineLevel="2" x14ac:dyDescent="0.2">
      <c r="A381" s="586"/>
      <c r="B381" s="586"/>
      <c r="C381" s="586"/>
      <c r="D381" s="681" t="s">
        <v>1</v>
      </c>
      <c r="E381" s="681"/>
      <c r="F381" s="671">
        <f>FirstYear</f>
        <v>0</v>
      </c>
      <c r="G381" s="671">
        <f>F381+1</f>
        <v>1</v>
      </c>
      <c r="H381" s="671">
        <f>G381+1</f>
        <v>2</v>
      </c>
      <c r="I381" s="671">
        <f>H381+1</f>
        <v>3</v>
      </c>
      <c r="J381" s="671">
        <f>I381+1</f>
        <v>4</v>
      </c>
      <c r="K381" s="671">
        <f>J381+1</f>
        <v>5</v>
      </c>
      <c r="M381" s="586"/>
      <c r="N381" s="164"/>
      <c r="O381" s="164"/>
      <c r="P381" s="164"/>
      <c r="Q381" s="164"/>
      <c r="R381" s="164"/>
      <c r="S381" s="164"/>
      <c r="T381" s="164"/>
      <c r="V381" s="98"/>
      <c r="W381" s="98"/>
      <c r="X381" s="98"/>
      <c r="Y381" s="669"/>
      <c r="Z381" s="669"/>
      <c r="AA381" s="669"/>
      <c r="AB381" s="669"/>
      <c r="AC381" s="669"/>
      <c r="AD381" s="669"/>
      <c r="AE381" s="669"/>
      <c r="AF381" s="669"/>
      <c r="AG381" s="669"/>
      <c r="AH381" s="669"/>
      <c r="AI381" s="669"/>
      <c r="AJ381" s="669"/>
      <c r="AK381" s="669"/>
      <c r="AL381" s="669"/>
      <c r="AM381" s="669"/>
      <c r="AN381" s="669"/>
      <c r="AO381" s="669"/>
      <c r="AP381" s="669"/>
      <c r="AQ381" s="669"/>
      <c r="AR381" s="669"/>
      <c r="AS381" s="669"/>
      <c r="AT381" s="669"/>
      <c r="AU381" s="669"/>
    </row>
    <row r="382" spans="1:47" outlineLevel="2" x14ac:dyDescent="0.2">
      <c r="A382" s="586"/>
      <c r="B382" s="586"/>
      <c r="C382" s="586"/>
      <c r="D382" s="586"/>
      <c r="E382" s="590" t="s">
        <v>269</v>
      </c>
      <c r="F382" s="397">
        <f t="shared" ref="F382:K382" si="173">F383*$P258</f>
        <v>0</v>
      </c>
      <c r="G382" s="397">
        <f t="shared" si="173"/>
        <v>0</v>
      </c>
      <c r="H382" s="397">
        <f t="shared" si="173"/>
        <v>0</v>
      </c>
      <c r="I382" s="397">
        <f t="shared" si="173"/>
        <v>0</v>
      </c>
      <c r="J382" s="397">
        <f t="shared" si="173"/>
        <v>0</v>
      </c>
      <c r="K382" s="397">
        <f t="shared" si="173"/>
        <v>0</v>
      </c>
      <c r="M382" s="586"/>
      <c r="N382" s="164"/>
      <c r="O382" s="164"/>
      <c r="P382" s="164"/>
      <c r="Q382" s="164"/>
      <c r="R382" s="164"/>
      <c r="S382" s="164"/>
      <c r="T382" s="164"/>
      <c r="V382" s="98"/>
      <c r="W382" s="98"/>
      <c r="X382" s="98"/>
      <c r="Y382" s="669"/>
      <c r="Z382" s="669"/>
      <c r="AA382" s="669"/>
      <c r="AB382" s="669"/>
      <c r="AC382" s="669"/>
      <c r="AD382" s="669"/>
      <c r="AE382" s="669"/>
      <c r="AF382" s="669"/>
      <c r="AG382" s="669"/>
      <c r="AH382" s="669"/>
      <c r="AI382" s="669"/>
      <c r="AJ382" s="669"/>
      <c r="AK382" s="669"/>
      <c r="AL382" s="669"/>
      <c r="AM382" s="669"/>
      <c r="AN382" s="669"/>
      <c r="AO382" s="669"/>
      <c r="AP382" s="669"/>
      <c r="AQ382" s="669"/>
      <c r="AR382" s="669"/>
      <c r="AS382" s="669"/>
      <c r="AT382" s="669"/>
      <c r="AU382" s="669"/>
    </row>
    <row r="383" spans="1:47" outlineLevel="2" x14ac:dyDescent="0.2">
      <c r="A383" s="586"/>
      <c r="B383" s="586"/>
      <c r="C383" s="352" t="str">
        <f>W273</f>
        <v/>
      </c>
      <c r="D383" s="586"/>
      <c r="E383" s="85" t="s">
        <v>80</v>
      </c>
      <c r="F383" s="86">
        <f t="shared" ref="F383:K383" si="174">IF($W$258=2,$N$258*IF($C383&lt;&gt;"",INDEX(RPBSScriptsChanged,$C383,F372),0),IF($Y258&lt;&gt;0,$M$258*INDEX(MBSRPBSDec,$C371,($Y258-1)*7+F372),0))*$V$258</f>
        <v>0</v>
      </c>
      <c r="G383" s="86">
        <f t="shared" si="174"/>
        <v>0</v>
      </c>
      <c r="H383" s="86">
        <f t="shared" si="174"/>
        <v>0</v>
      </c>
      <c r="I383" s="86">
        <f t="shared" si="174"/>
        <v>0</v>
      </c>
      <c r="J383" s="86">
        <f t="shared" si="174"/>
        <v>0</v>
      </c>
      <c r="K383" s="86">
        <f t="shared" si="174"/>
        <v>0</v>
      </c>
      <c r="M383" s="586"/>
      <c r="N383" s="164"/>
      <c r="O383" s="164"/>
      <c r="P383" s="164"/>
      <c r="Q383" s="164"/>
      <c r="R383" s="164"/>
      <c r="S383" s="164"/>
      <c r="T383" s="164"/>
      <c r="V383" s="98"/>
      <c r="W383" s="98"/>
      <c r="X383" s="98"/>
      <c r="Y383" s="669"/>
      <c r="Z383" s="669"/>
      <c r="AA383" s="669"/>
      <c r="AB383" s="669"/>
      <c r="AC383" s="669"/>
      <c r="AD383" s="669"/>
      <c r="AE383" s="669"/>
      <c r="AF383" s="669"/>
      <c r="AG383" s="669"/>
      <c r="AH383" s="669"/>
      <c r="AI383" s="669"/>
      <c r="AJ383" s="669"/>
      <c r="AK383" s="669"/>
      <c r="AL383" s="669"/>
      <c r="AM383" s="669"/>
      <c r="AN383" s="669"/>
      <c r="AO383" s="669"/>
      <c r="AP383" s="669"/>
      <c r="AQ383" s="669"/>
      <c r="AR383" s="669"/>
      <c r="AS383" s="669"/>
      <c r="AT383" s="669"/>
      <c r="AU383" s="669"/>
    </row>
    <row r="384" spans="1:47" outlineLevel="2" x14ac:dyDescent="0.2">
      <c r="A384" s="586"/>
      <c r="B384" s="352">
        <v>5</v>
      </c>
      <c r="C384" s="352">
        <v>6</v>
      </c>
      <c r="D384" s="586"/>
      <c r="E384" s="696" t="s">
        <v>146</v>
      </c>
      <c r="F384" s="86" t="str">
        <f t="shared" ref="F384:K387" si="175">IF(INDEX(MBSItemsDec,$C$371,1)&lt;&gt;"",F$383*INDEX(MBSItemsDec,$C$371,$B384)*INDEX(MBSItemsDec,$C$371,$C384),"")</f>
        <v/>
      </c>
      <c r="G384" s="86" t="str">
        <f t="shared" si="175"/>
        <v/>
      </c>
      <c r="H384" s="86" t="str">
        <f t="shared" si="175"/>
        <v/>
      </c>
      <c r="I384" s="86" t="str">
        <f t="shared" si="175"/>
        <v/>
      </c>
      <c r="J384" s="86" t="str">
        <f t="shared" si="175"/>
        <v/>
      </c>
      <c r="K384" s="86" t="str">
        <f t="shared" si="175"/>
        <v/>
      </c>
      <c r="M384" s="586"/>
      <c r="N384" s="164"/>
      <c r="O384" s="164"/>
      <c r="P384" s="164"/>
      <c r="Q384" s="164"/>
      <c r="R384" s="164"/>
      <c r="S384" s="164"/>
      <c r="T384" s="164"/>
      <c r="V384" s="98"/>
      <c r="W384" s="98"/>
      <c r="X384" s="98"/>
      <c r="Y384" s="669"/>
      <c r="Z384" s="669"/>
      <c r="AA384" s="669"/>
      <c r="AB384" s="669"/>
      <c r="AC384" s="669"/>
      <c r="AD384" s="669"/>
      <c r="AE384" s="669"/>
      <c r="AF384" s="669"/>
      <c r="AG384" s="669"/>
      <c r="AH384" s="669"/>
      <c r="AI384" s="669"/>
      <c r="AJ384" s="669"/>
      <c r="AK384" s="669"/>
      <c r="AL384" s="669"/>
      <c r="AM384" s="669"/>
      <c r="AN384" s="669"/>
      <c r="AO384" s="669"/>
      <c r="AP384" s="669"/>
      <c r="AQ384" s="669"/>
      <c r="AR384" s="669"/>
      <c r="AS384" s="669"/>
      <c r="AT384" s="669"/>
      <c r="AU384" s="669"/>
    </row>
    <row r="385" spans="1:47" outlineLevel="2" x14ac:dyDescent="0.2">
      <c r="A385" s="586"/>
      <c r="B385" s="352">
        <v>5</v>
      </c>
      <c r="C385" s="352">
        <v>7</v>
      </c>
      <c r="D385" s="586"/>
      <c r="E385" s="696" t="s">
        <v>147</v>
      </c>
      <c r="F385" s="86" t="str">
        <f t="shared" si="175"/>
        <v/>
      </c>
      <c r="G385" s="86" t="str">
        <f t="shared" si="175"/>
        <v/>
      </c>
      <c r="H385" s="86" t="str">
        <f t="shared" si="175"/>
        <v/>
      </c>
      <c r="I385" s="86" t="str">
        <f t="shared" si="175"/>
        <v/>
      </c>
      <c r="J385" s="86" t="str">
        <f t="shared" si="175"/>
        <v/>
      </c>
      <c r="K385" s="86" t="str">
        <f t="shared" si="175"/>
        <v/>
      </c>
      <c r="M385" s="586"/>
      <c r="N385" s="164"/>
      <c r="O385" s="164"/>
      <c r="P385" s="164"/>
      <c r="Q385" s="164"/>
      <c r="R385" s="164"/>
      <c r="S385" s="164"/>
      <c r="T385" s="164"/>
      <c r="V385" s="98"/>
      <c r="W385" s="98"/>
      <c r="X385" s="98"/>
      <c r="Y385" s="669"/>
      <c r="Z385" s="669"/>
      <c r="AA385" s="669"/>
      <c r="AB385" s="669"/>
      <c r="AC385" s="669"/>
      <c r="AD385" s="669"/>
      <c r="AE385" s="669"/>
      <c r="AF385" s="669"/>
      <c r="AG385" s="669"/>
      <c r="AH385" s="669"/>
      <c r="AI385" s="669"/>
      <c r="AJ385" s="669"/>
      <c r="AK385" s="669"/>
      <c r="AL385" s="669"/>
      <c r="AM385" s="669"/>
      <c r="AN385" s="669"/>
      <c r="AO385" s="669"/>
      <c r="AP385" s="669"/>
      <c r="AQ385" s="669"/>
      <c r="AR385" s="669"/>
      <c r="AS385" s="669"/>
      <c r="AT385" s="669"/>
      <c r="AU385" s="669"/>
    </row>
    <row r="386" spans="1:47" outlineLevel="2" x14ac:dyDescent="0.2">
      <c r="A386" s="586"/>
      <c r="B386" s="352">
        <v>4</v>
      </c>
      <c r="C386" s="352">
        <v>6</v>
      </c>
      <c r="D386" s="586"/>
      <c r="E386" s="696" t="s">
        <v>148</v>
      </c>
      <c r="F386" s="86" t="str">
        <f t="shared" si="175"/>
        <v/>
      </c>
      <c r="G386" s="86" t="str">
        <f t="shared" si="175"/>
        <v/>
      </c>
      <c r="H386" s="86" t="str">
        <f t="shared" si="175"/>
        <v/>
      </c>
      <c r="I386" s="86" t="str">
        <f t="shared" si="175"/>
        <v/>
      </c>
      <c r="J386" s="86" t="str">
        <f t="shared" si="175"/>
        <v/>
      </c>
      <c r="K386" s="86" t="str">
        <f t="shared" si="175"/>
        <v/>
      </c>
      <c r="M386" s="586"/>
      <c r="N386" s="164"/>
      <c r="O386" s="164"/>
      <c r="P386" s="164"/>
      <c r="Q386" s="164"/>
      <c r="R386" s="164"/>
      <c r="S386" s="164"/>
      <c r="T386" s="164"/>
      <c r="V386" s="98"/>
      <c r="W386" s="98"/>
      <c r="X386" s="98"/>
      <c r="Y386" s="669"/>
      <c r="Z386" s="669"/>
      <c r="AA386" s="669"/>
      <c r="AB386" s="669"/>
      <c r="AC386" s="669"/>
      <c r="AD386" s="669"/>
      <c r="AE386" s="669"/>
      <c r="AF386" s="669"/>
      <c r="AG386" s="669"/>
      <c r="AH386" s="669"/>
      <c r="AI386" s="669"/>
      <c r="AJ386" s="669"/>
      <c r="AK386" s="669"/>
      <c r="AL386" s="669"/>
      <c r="AM386" s="669"/>
      <c r="AN386" s="669"/>
      <c r="AO386" s="669"/>
      <c r="AP386" s="669"/>
      <c r="AQ386" s="669"/>
      <c r="AR386" s="669"/>
      <c r="AS386" s="669"/>
      <c r="AT386" s="669"/>
      <c r="AU386" s="669"/>
    </row>
    <row r="387" spans="1:47" outlineLevel="2" x14ac:dyDescent="0.2">
      <c r="A387" s="586"/>
      <c r="B387" s="352">
        <v>4</v>
      </c>
      <c r="C387" s="352">
        <v>7</v>
      </c>
      <c r="D387" s="586"/>
      <c r="E387" s="698" t="s">
        <v>149</v>
      </c>
      <c r="F387" s="86" t="str">
        <f t="shared" si="175"/>
        <v/>
      </c>
      <c r="G387" s="86" t="str">
        <f t="shared" si="175"/>
        <v/>
      </c>
      <c r="H387" s="86" t="str">
        <f t="shared" si="175"/>
        <v/>
      </c>
      <c r="I387" s="86" t="str">
        <f t="shared" si="175"/>
        <v/>
      </c>
      <c r="J387" s="86" t="str">
        <f t="shared" si="175"/>
        <v/>
      </c>
      <c r="K387" s="86" t="str">
        <f t="shared" si="175"/>
        <v/>
      </c>
      <c r="M387" s="586"/>
      <c r="N387" s="164"/>
      <c r="O387" s="164"/>
      <c r="P387" s="164"/>
      <c r="Q387" s="164"/>
      <c r="R387" s="164"/>
      <c r="S387" s="164"/>
      <c r="T387" s="164"/>
      <c r="V387" s="98"/>
      <c r="W387" s="98"/>
      <c r="X387" s="98"/>
      <c r="Y387" s="669"/>
      <c r="Z387" s="669"/>
      <c r="AA387" s="669"/>
      <c r="AB387" s="669"/>
      <c r="AC387" s="669"/>
      <c r="AD387" s="669"/>
      <c r="AE387" s="669"/>
      <c r="AF387" s="669"/>
      <c r="AG387" s="669"/>
      <c r="AH387" s="669"/>
      <c r="AI387" s="669"/>
      <c r="AJ387" s="669"/>
      <c r="AK387" s="669"/>
      <c r="AL387" s="669"/>
      <c r="AM387" s="669"/>
      <c r="AN387" s="669"/>
      <c r="AO387" s="669"/>
      <c r="AP387" s="669"/>
      <c r="AQ387" s="669"/>
      <c r="AR387" s="669"/>
      <c r="AS387" s="669"/>
      <c r="AT387" s="669"/>
      <c r="AU387" s="669"/>
    </row>
    <row r="388" spans="1:47" outlineLevel="1" x14ac:dyDescent="0.2">
      <c r="A388" s="586"/>
      <c r="B388" s="586"/>
      <c r="C388" s="586"/>
      <c r="D388" s="586"/>
      <c r="E388" s="586"/>
      <c r="F388" s="586"/>
      <c r="G388" s="586"/>
      <c r="H388" s="586"/>
      <c r="I388" s="586"/>
      <c r="J388" s="586"/>
      <c r="K388" s="586"/>
      <c r="L388" s="586"/>
      <c r="M388" s="586"/>
      <c r="N388" s="164"/>
      <c r="O388" s="164"/>
      <c r="P388" s="164"/>
      <c r="Q388" s="164"/>
      <c r="R388" s="164"/>
      <c r="S388" s="164"/>
      <c r="T388" s="164"/>
      <c r="V388" s="98"/>
      <c r="W388" s="98"/>
      <c r="X388" s="98"/>
      <c r="Y388" s="669"/>
      <c r="Z388" s="669"/>
      <c r="AA388" s="669"/>
      <c r="AB388" s="669"/>
      <c r="AC388" s="669"/>
      <c r="AD388" s="669"/>
      <c r="AE388" s="669"/>
      <c r="AF388" s="669"/>
      <c r="AG388" s="669"/>
      <c r="AH388" s="669"/>
      <c r="AI388" s="669"/>
      <c r="AJ388" s="669"/>
      <c r="AK388" s="669"/>
      <c r="AL388" s="669"/>
      <c r="AM388" s="669"/>
      <c r="AN388" s="669"/>
      <c r="AO388" s="669"/>
      <c r="AP388" s="669"/>
      <c r="AQ388" s="669"/>
      <c r="AR388" s="669"/>
      <c r="AS388" s="669"/>
      <c r="AT388" s="669"/>
      <c r="AU388" s="669"/>
    </row>
    <row r="389" spans="1:47" ht="15.75" outlineLevel="1" x14ac:dyDescent="0.2">
      <c r="A389" s="586"/>
      <c r="B389" s="586"/>
      <c r="C389" s="352">
        <v>7</v>
      </c>
      <c r="D389" s="110" t="str">
        <f>INDEX(MBSNamesChange,C389)</f>
        <v>** NOT USED **</v>
      </c>
      <c r="E389" s="110"/>
      <c r="F389" s="154"/>
      <c r="G389" s="154"/>
      <c r="H389" s="154"/>
      <c r="I389" s="154"/>
      <c r="J389" s="782" t="str">
        <f>IF(D389&lt;&gt;MsgNotUsed,"Co-payment group " &amp; K259,"")</f>
        <v/>
      </c>
      <c r="K389" s="782"/>
      <c r="L389" s="154"/>
      <c r="M389" s="154"/>
      <c r="N389" s="154"/>
      <c r="O389" s="154"/>
      <c r="P389" s="154"/>
      <c r="Q389" s="154"/>
      <c r="R389" s="154"/>
      <c r="S389" s="154"/>
      <c r="T389" s="154"/>
      <c r="V389" s="98"/>
      <c r="W389" s="98"/>
      <c r="X389" s="98"/>
      <c r="Y389" s="669"/>
      <c r="Z389" s="669"/>
      <c r="AA389" s="669"/>
      <c r="AB389" s="669"/>
      <c r="AC389" s="669"/>
      <c r="AD389" s="669"/>
      <c r="AE389" s="669"/>
      <c r="AF389" s="669"/>
      <c r="AG389" s="669"/>
      <c r="AH389" s="669"/>
      <c r="AI389" s="669"/>
      <c r="AJ389" s="669"/>
      <c r="AK389" s="669"/>
      <c r="AL389" s="669"/>
      <c r="AM389" s="669"/>
      <c r="AN389" s="669"/>
      <c r="AO389" s="669"/>
      <c r="AP389" s="669"/>
      <c r="AQ389" s="669"/>
      <c r="AR389" s="669"/>
      <c r="AS389" s="669"/>
      <c r="AT389" s="669"/>
      <c r="AU389" s="669"/>
    </row>
    <row r="390" spans="1:47" outlineLevel="2" x14ac:dyDescent="0.2">
      <c r="A390" s="586"/>
      <c r="B390" s="586"/>
      <c r="C390" s="586"/>
      <c r="D390" s="674"/>
      <c r="E390" s="674"/>
      <c r="F390" s="691">
        <v>2</v>
      </c>
      <c r="G390" s="691">
        <v>3</v>
      </c>
      <c r="H390" s="691">
        <v>4</v>
      </c>
      <c r="I390" s="691">
        <v>5</v>
      </c>
      <c r="J390" s="691">
        <v>6</v>
      </c>
      <c r="K390" s="691">
        <v>7</v>
      </c>
      <c r="L390" s="691"/>
      <c r="M390" s="674"/>
      <c r="N390" s="674"/>
      <c r="O390" s="715"/>
      <c r="P390" s="674"/>
      <c r="Q390" s="674"/>
      <c r="R390" s="674"/>
      <c r="S390" s="674"/>
      <c r="T390" s="674"/>
      <c r="V390" s="98"/>
      <c r="W390" s="98"/>
      <c r="X390" s="98"/>
      <c r="Y390" s="669"/>
      <c r="Z390" s="669"/>
      <c r="AA390" s="669"/>
      <c r="AB390" s="669"/>
      <c r="AC390" s="669"/>
      <c r="AD390" s="669"/>
      <c r="AE390" s="669"/>
      <c r="AF390" s="669"/>
      <c r="AG390" s="669"/>
      <c r="AH390" s="669"/>
      <c r="AI390" s="669"/>
      <c r="AJ390" s="669"/>
      <c r="AK390" s="669"/>
      <c r="AL390" s="669"/>
      <c r="AM390" s="669"/>
      <c r="AN390" s="669"/>
      <c r="AO390" s="669"/>
      <c r="AP390" s="669"/>
      <c r="AQ390" s="669"/>
      <c r="AR390" s="669"/>
      <c r="AS390" s="669"/>
      <c r="AT390" s="669"/>
      <c r="AU390" s="669"/>
    </row>
    <row r="391" spans="1:47" ht="15" outlineLevel="2" x14ac:dyDescent="0.2">
      <c r="A391" s="586"/>
      <c r="B391" s="586"/>
      <c r="C391" s="586"/>
      <c r="D391" s="681" t="s">
        <v>0</v>
      </c>
      <c r="E391" s="681"/>
      <c r="F391" s="671">
        <f>FirstYear</f>
        <v>0</v>
      </c>
      <c r="G391" s="671">
        <f>F391+1</f>
        <v>1</v>
      </c>
      <c r="H391" s="671">
        <f>G391+1</f>
        <v>2</v>
      </c>
      <c r="I391" s="671">
        <f>H391+1</f>
        <v>3</v>
      </c>
      <c r="J391" s="671">
        <f>I391+1</f>
        <v>4</v>
      </c>
      <c r="K391" s="671">
        <f>J391+1</f>
        <v>5</v>
      </c>
      <c r="M391" s="149"/>
      <c r="N391" s="692"/>
      <c r="O391" s="692"/>
      <c r="P391" s="692"/>
      <c r="Q391" s="99"/>
      <c r="R391" s="99"/>
      <c r="S391" s="99"/>
      <c r="T391" s="99"/>
      <c r="V391" s="99"/>
      <c r="W391" s="99"/>
      <c r="X391" s="99"/>
      <c r="Y391" s="669"/>
      <c r="Z391" s="669"/>
      <c r="AA391" s="669"/>
      <c r="AB391" s="669"/>
      <c r="AC391" s="669"/>
      <c r="AD391" s="669"/>
      <c r="AE391" s="669"/>
      <c r="AF391" s="669"/>
      <c r="AG391" s="669"/>
      <c r="AH391" s="669"/>
      <c r="AI391" s="669"/>
      <c r="AJ391" s="669"/>
      <c r="AK391" s="669"/>
      <c r="AL391" s="669"/>
      <c r="AM391" s="669"/>
      <c r="AN391" s="669"/>
      <c r="AO391" s="669"/>
      <c r="AP391" s="669"/>
      <c r="AQ391" s="669"/>
      <c r="AR391" s="669"/>
      <c r="AS391" s="669"/>
      <c r="AT391" s="669"/>
      <c r="AU391" s="669"/>
    </row>
    <row r="392" spans="1:47" outlineLevel="2" x14ac:dyDescent="0.2">
      <c r="A392" s="586"/>
      <c r="B392" s="586"/>
      <c r="C392" s="586"/>
      <c r="D392" s="586"/>
      <c r="E392" s="590" t="s">
        <v>269</v>
      </c>
      <c r="F392" s="397">
        <f t="shared" ref="F392:K392" si="176">F393*$P259</f>
        <v>0</v>
      </c>
      <c r="G392" s="397">
        <f t="shared" si="176"/>
        <v>0</v>
      </c>
      <c r="H392" s="397">
        <f t="shared" si="176"/>
        <v>0</v>
      </c>
      <c r="I392" s="397">
        <f t="shared" si="176"/>
        <v>0</v>
      </c>
      <c r="J392" s="397">
        <f t="shared" si="176"/>
        <v>0</v>
      </c>
      <c r="K392" s="397">
        <f t="shared" si="176"/>
        <v>0</v>
      </c>
      <c r="M392" s="149"/>
      <c r="N392" s="692"/>
      <c r="O392" s="692"/>
      <c r="P392" s="692"/>
      <c r="Q392" s="99"/>
      <c r="R392" s="99"/>
      <c r="S392" s="99"/>
      <c r="T392" s="99"/>
      <c r="V392" s="97">
        <f>FirstYear</f>
        <v>0</v>
      </c>
      <c r="W392" s="96">
        <f>IF(F393&lt;&gt;0,F393-F396,0)</f>
        <v>0</v>
      </c>
      <c r="X392" s="99"/>
      <c r="Y392" s="669"/>
      <c r="Z392" s="669"/>
      <c r="AA392" s="669"/>
      <c r="AB392" s="669"/>
      <c r="AC392" s="669"/>
      <c r="AD392" s="669"/>
      <c r="AE392" s="669"/>
      <c r="AF392" s="669"/>
      <c r="AG392" s="669"/>
      <c r="AH392" s="669"/>
      <c r="AI392" s="669"/>
      <c r="AJ392" s="669"/>
      <c r="AK392" s="669"/>
      <c r="AL392" s="669"/>
      <c r="AM392" s="669"/>
      <c r="AN392" s="669"/>
      <c r="AO392" s="669"/>
      <c r="AP392" s="669"/>
      <c r="AQ392" s="669"/>
      <c r="AR392" s="669"/>
      <c r="AS392" s="669"/>
      <c r="AT392" s="669"/>
      <c r="AU392" s="669"/>
    </row>
    <row r="393" spans="1:47" ht="14.25" outlineLevel="2" x14ac:dyDescent="0.2">
      <c r="A393" s="586"/>
      <c r="B393" s="586"/>
      <c r="C393" s="352" t="str">
        <f>W274</f>
        <v/>
      </c>
      <c r="D393" s="586"/>
      <c r="E393" s="85" t="s">
        <v>80</v>
      </c>
      <c r="F393" s="86">
        <f t="shared" ref="F393:K393" si="177">IF($W$259=2,$N$259*IF($C393&lt;&gt;"",INDEX(PBSScriptsChanged,$C393,F390),0),IF($Y259&lt;&gt;0,$M$259*INDEX(MBSPBSDec,$C389,($Y259-1)*7+F390),0))*$V$259</f>
        <v>0</v>
      </c>
      <c r="G393" s="86">
        <f t="shared" si="177"/>
        <v>0</v>
      </c>
      <c r="H393" s="86">
        <f t="shared" si="177"/>
        <v>0</v>
      </c>
      <c r="I393" s="86">
        <f t="shared" si="177"/>
        <v>0</v>
      </c>
      <c r="J393" s="86">
        <f t="shared" si="177"/>
        <v>0</v>
      </c>
      <c r="K393" s="86">
        <f t="shared" si="177"/>
        <v>0</v>
      </c>
      <c r="M393" s="701"/>
      <c r="N393" s="684"/>
      <c r="O393" s="684"/>
      <c r="P393" s="684"/>
      <c r="Q393" s="694"/>
      <c r="R393" s="694"/>
      <c r="S393" s="694"/>
      <c r="T393" s="694"/>
      <c r="V393" s="97">
        <f>V392+1</f>
        <v>1</v>
      </c>
      <c r="W393" s="96">
        <f>IF(G393&lt;&gt;0,G393-G396,0)</f>
        <v>0</v>
      </c>
      <c r="X393" s="695"/>
      <c r="Y393" s="669"/>
      <c r="Z393" s="669"/>
      <c r="AA393" s="669"/>
      <c r="AB393" s="669"/>
      <c r="AC393" s="669"/>
      <c r="AD393" s="669"/>
      <c r="AE393" s="669"/>
      <c r="AF393" s="669"/>
      <c r="AG393" s="669"/>
      <c r="AH393" s="669"/>
      <c r="AI393" s="669"/>
      <c r="AJ393" s="669"/>
      <c r="AK393" s="669"/>
      <c r="AL393" s="669"/>
      <c r="AM393" s="669"/>
      <c r="AN393" s="669"/>
      <c r="AO393" s="669"/>
      <c r="AP393" s="669"/>
      <c r="AQ393" s="669"/>
      <c r="AR393" s="669"/>
      <c r="AS393" s="669"/>
      <c r="AT393" s="669"/>
      <c r="AU393" s="669"/>
    </row>
    <row r="394" spans="1:47" outlineLevel="2" x14ac:dyDescent="0.2">
      <c r="A394" s="586"/>
      <c r="B394" s="352">
        <v>5</v>
      </c>
      <c r="C394" s="352">
        <v>6</v>
      </c>
      <c r="D394" s="586"/>
      <c r="E394" s="696" t="s">
        <v>146</v>
      </c>
      <c r="F394" s="86" t="str">
        <f t="shared" ref="F394:K397" si="178">IF(INDEX(MBSItemsDec,$C$389,1)&lt;&gt;"",F$393*INDEX(MBSItemsDec,$C$389,$B394)*INDEX(MBSItemsDec,$C$389,$C394),"")</f>
        <v/>
      </c>
      <c r="G394" s="86" t="str">
        <f t="shared" si="178"/>
        <v/>
      </c>
      <c r="H394" s="86" t="str">
        <f t="shared" si="178"/>
        <v/>
      </c>
      <c r="I394" s="86" t="str">
        <f t="shared" si="178"/>
        <v/>
      </c>
      <c r="J394" s="86" t="str">
        <f t="shared" si="178"/>
        <v/>
      </c>
      <c r="K394" s="86" t="str">
        <f t="shared" si="178"/>
        <v/>
      </c>
      <c r="M394" s="149"/>
      <c r="N394" s="697"/>
      <c r="O394" s="697"/>
      <c r="P394" s="697"/>
      <c r="Q394" s="694"/>
      <c r="R394" s="694"/>
      <c r="S394" s="694"/>
      <c r="T394" s="694"/>
      <c r="V394" s="97">
        <f>V393+1</f>
        <v>2</v>
      </c>
      <c r="W394" s="96">
        <f>IF(H393&lt;&gt;0,H393-H396,0)</f>
        <v>0</v>
      </c>
      <c r="X394" s="695"/>
      <c r="Y394" s="669"/>
      <c r="Z394" s="669"/>
      <c r="AA394" s="669"/>
      <c r="AB394" s="669"/>
      <c r="AC394" s="669"/>
      <c r="AD394" s="669"/>
      <c r="AE394" s="669"/>
      <c r="AF394" s="669"/>
      <c r="AG394" s="669"/>
      <c r="AH394" s="669"/>
      <c r="AI394" s="669"/>
      <c r="AJ394" s="669"/>
      <c r="AK394" s="669"/>
      <c r="AL394" s="669"/>
      <c r="AM394" s="669"/>
      <c r="AN394" s="669"/>
      <c r="AO394" s="669"/>
      <c r="AP394" s="669"/>
      <c r="AQ394" s="669"/>
      <c r="AR394" s="669"/>
      <c r="AS394" s="669"/>
      <c r="AT394" s="669"/>
      <c r="AU394" s="669"/>
    </row>
    <row r="395" spans="1:47" outlineLevel="2" x14ac:dyDescent="0.2">
      <c r="A395" s="586"/>
      <c r="B395" s="352">
        <v>5</v>
      </c>
      <c r="C395" s="352">
        <v>7</v>
      </c>
      <c r="D395" s="586"/>
      <c r="E395" s="696" t="s">
        <v>147</v>
      </c>
      <c r="F395" s="86" t="str">
        <f t="shared" si="178"/>
        <v/>
      </c>
      <c r="G395" s="86" t="str">
        <f t="shared" si="178"/>
        <v/>
      </c>
      <c r="H395" s="86" t="str">
        <f t="shared" si="178"/>
        <v/>
      </c>
      <c r="I395" s="86" t="str">
        <f t="shared" si="178"/>
        <v/>
      </c>
      <c r="J395" s="86" t="str">
        <f t="shared" si="178"/>
        <v/>
      </c>
      <c r="K395" s="86" t="str">
        <f t="shared" si="178"/>
        <v/>
      </c>
      <c r="M395" s="149"/>
      <c r="N395" s="697"/>
      <c r="O395" s="697"/>
      <c r="P395" s="697"/>
      <c r="Q395" s="694"/>
      <c r="R395" s="694"/>
      <c r="S395" s="694"/>
      <c r="T395" s="694"/>
      <c r="V395" s="97">
        <f>V394+1</f>
        <v>3</v>
      </c>
      <c r="W395" s="96">
        <f>IF(I393&lt;&gt;0,I393-I396,0)</f>
        <v>0</v>
      </c>
      <c r="X395" s="695"/>
      <c r="Y395" s="669"/>
      <c r="Z395" s="669"/>
      <c r="AA395" s="669"/>
      <c r="AB395" s="669"/>
      <c r="AC395" s="669"/>
      <c r="AD395" s="669"/>
      <c r="AE395" s="669"/>
      <c r="AF395" s="669"/>
      <c r="AG395" s="669"/>
      <c r="AH395" s="669"/>
      <c r="AI395" s="669"/>
      <c r="AJ395" s="669"/>
      <c r="AK395" s="669"/>
      <c r="AL395" s="669"/>
      <c r="AM395" s="669"/>
      <c r="AN395" s="669"/>
      <c r="AO395" s="669"/>
      <c r="AP395" s="669"/>
      <c r="AQ395" s="669"/>
      <c r="AR395" s="669"/>
      <c r="AS395" s="669"/>
      <c r="AT395" s="669"/>
      <c r="AU395" s="669"/>
    </row>
    <row r="396" spans="1:47" outlineLevel="2" x14ac:dyDescent="0.2">
      <c r="A396" s="586"/>
      <c r="B396" s="352">
        <v>4</v>
      </c>
      <c r="C396" s="352">
        <v>6</v>
      </c>
      <c r="D396" s="586"/>
      <c r="E396" s="696" t="s">
        <v>148</v>
      </c>
      <c r="F396" s="86" t="str">
        <f t="shared" si="178"/>
        <v/>
      </c>
      <c r="G396" s="86" t="str">
        <f t="shared" si="178"/>
        <v/>
      </c>
      <c r="H396" s="86" t="str">
        <f t="shared" si="178"/>
        <v/>
      </c>
      <c r="I396" s="86" t="str">
        <f t="shared" si="178"/>
        <v/>
      </c>
      <c r="J396" s="86" t="str">
        <f t="shared" si="178"/>
        <v/>
      </c>
      <c r="K396" s="86" t="str">
        <f t="shared" si="178"/>
        <v/>
      </c>
      <c r="M396" s="149"/>
      <c r="N396" s="697"/>
      <c r="O396" s="697"/>
      <c r="P396" s="697"/>
      <c r="Q396" s="694"/>
      <c r="R396" s="694"/>
      <c r="S396" s="694"/>
      <c r="T396" s="694"/>
      <c r="V396" s="97">
        <f>V395+1</f>
        <v>4</v>
      </c>
      <c r="W396" s="96">
        <f>IF(J393&lt;&gt;0,J393-J396,0)</f>
        <v>0</v>
      </c>
      <c r="X396" s="695"/>
      <c r="Y396" s="669"/>
      <c r="Z396" s="669"/>
      <c r="AA396" s="669"/>
      <c r="AB396" s="669"/>
      <c r="AC396" s="669"/>
      <c r="AD396" s="669"/>
      <c r="AE396" s="669"/>
      <c r="AF396" s="669"/>
      <c r="AG396" s="669"/>
      <c r="AH396" s="669"/>
      <c r="AI396" s="669"/>
      <c r="AJ396" s="669"/>
      <c r="AK396" s="669"/>
      <c r="AL396" s="669"/>
      <c r="AM396" s="669"/>
      <c r="AN396" s="669"/>
      <c r="AO396" s="669"/>
      <c r="AP396" s="669"/>
      <c r="AQ396" s="669"/>
      <c r="AR396" s="669"/>
      <c r="AS396" s="669"/>
      <c r="AT396" s="669"/>
      <c r="AU396" s="669"/>
    </row>
    <row r="397" spans="1:47" ht="12.75" customHeight="1" outlineLevel="2" x14ac:dyDescent="0.2">
      <c r="A397" s="586"/>
      <c r="B397" s="352">
        <v>4</v>
      </c>
      <c r="C397" s="352">
        <v>7</v>
      </c>
      <c r="D397" s="586"/>
      <c r="E397" s="698" t="s">
        <v>149</v>
      </c>
      <c r="F397" s="86" t="str">
        <f t="shared" si="178"/>
        <v/>
      </c>
      <c r="G397" s="86" t="str">
        <f t="shared" si="178"/>
        <v/>
      </c>
      <c r="H397" s="86" t="str">
        <f t="shared" si="178"/>
        <v/>
      </c>
      <c r="I397" s="86" t="str">
        <f t="shared" si="178"/>
        <v/>
      </c>
      <c r="J397" s="86" t="str">
        <f t="shared" si="178"/>
        <v/>
      </c>
      <c r="K397" s="86" t="str">
        <f t="shared" si="178"/>
        <v/>
      </c>
      <c r="M397" s="149"/>
      <c r="N397" s="697"/>
      <c r="O397" s="697"/>
      <c r="P397" s="697"/>
      <c r="Q397" s="694"/>
      <c r="R397" s="694"/>
      <c r="S397" s="694"/>
      <c r="T397" s="694"/>
      <c r="V397" s="97">
        <f>V396+1</f>
        <v>5</v>
      </c>
      <c r="W397" s="96">
        <f>IF(K393&lt;&gt;0,K393-K396,0)</f>
        <v>0</v>
      </c>
      <c r="X397" s="695"/>
      <c r="Y397" s="669"/>
      <c r="Z397" s="669"/>
      <c r="AA397" s="669"/>
      <c r="AB397" s="669"/>
      <c r="AC397" s="669"/>
      <c r="AD397" s="669"/>
      <c r="AE397" s="669"/>
      <c r="AF397" s="669"/>
      <c r="AG397" s="669"/>
      <c r="AH397" s="669"/>
      <c r="AI397" s="669"/>
      <c r="AJ397" s="669"/>
      <c r="AK397" s="669"/>
      <c r="AL397" s="669"/>
      <c r="AM397" s="669"/>
      <c r="AN397" s="669"/>
      <c r="AO397" s="669"/>
      <c r="AP397" s="669"/>
      <c r="AQ397" s="669"/>
      <c r="AR397" s="669"/>
      <c r="AS397" s="669"/>
      <c r="AT397" s="669"/>
      <c r="AU397" s="669"/>
    </row>
    <row r="398" spans="1:47" outlineLevel="2" x14ac:dyDescent="0.2">
      <c r="A398" s="586"/>
      <c r="B398" s="586"/>
      <c r="C398" s="586"/>
      <c r="D398" s="586"/>
      <c r="E398" s="586"/>
      <c r="F398" s="586"/>
      <c r="G398" s="586"/>
      <c r="H398" s="586"/>
      <c r="I398" s="586"/>
      <c r="J398" s="586"/>
      <c r="K398" s="586"/>
      <c r="M398" s="586"/>
      <c r="N398" s="164"/>
      <c r="O398" s="164"/>
      <c r="P398" s="164"/>
      <c r="Q398" s="164"/>
      <c r="R398" s="164"/>
      <c r="S398" s="164"/>
      <c r="T398" s="164"/>
      <c r="V398" s="98"/>
      <c r="W398" s="98"/>
      <c r="X398" s="98"/>
      <c r="Y398" s="669"/>
      <c r="Z398" s="669"/>
      <c r="AA398" s="669"/>
      <c r="AB398" s="669"/>
      <c r="AC398" s="669"/>
      <c r="AD398" s="669"/>
      <c r="AE398" s="669"/>
      <c r="AF398" s="669"/>
      <c r="AG398" s="669"/>
      <c r="AH398" s="669"/>
      <c r="AI398" s="669"/>
      <c r="AJ398" s="669"/>
      <c r="AK398" s="669"/>
      <c r="AL398" s="669"/>
      <c r="AM398" s="669"/>
      <c r="AN398" s="669"/>
      <c r="AO398" s="669"/>
      <c r="AP398" s="669"/>
      <c r="AQ398" s="669"/>
      <c r="AR398" s="669"/>
      <c r="AS398" s="669"/>
      <c r="AT398" s="669"/>
      <c r="AU398" s="669"/>
    </row>
    <row r="399" spans="1:47" ht="15" outlineLevel="2" x14ac:dyDescent="0.2">
      <c r="A399" s="586"/>
      <c r="B399" s="586"/>
      <c r="C399" s="586"/>
      <c r="D399" s="681" t="s">
        <v>1</v>
      </c>
      <c r="E399" s="681"/>
      <c r="F399" s="671">
        <f>FirstYear</f>
        <v>0</v>
      </c>
      <c r="G399" s="671">
        <f>F399+1</f>
        <v>1</v>
      </c>
      <c r="H399" s="671">
        <f>G399+1</f>
        <v>2</v>
      </c>
      <c r="I399" s="671">
        <f>H399+1</f>
        <v>3</v>
      </c>
      <c r="J399" s="671">
        <f>I399+1</f>
        <v>4</v>
      </c>
      <c r="K399" s="671">
        <f>J399+1</f>
        <v>5</v>
      </c>
      <c r="M399" s="586"/>
      <c r="N399" s="164"/>
      <c r="O399" s="164"/>
      <c r="P399" s="164"/>
      <c r="Q399" s="164"/>
      <c r="R399" s="164"/>
      <c r="S399" s="164"/>
      <c r="T399" s="164"/>
      <c r="V399" s="98"/>
      <c r="W399" s="98"/>
      <c r="X399" s="98"/>
      <c r="Y399" s="669"/>
      <c r="Z399" s="669"/>
      <c r="AA399" s="669"/>
      <c r="AB399" s="669"/>
      <c r="AC399" s="669"/>
      <c r="AD399" s="669"/>
      <c r="AE399" s="669"/>
      <c r="AF399" s="669"/>
      <c r="AG399" s="669"/>
      <c r="AH399" s="669"/>
      <c r="AI399" s="669"/>
      <c r="AJ399" s="669"/>
      <c r="AK399" s="669"/>
      <c r="AL399" s="669"/>
      <c r="AM399" s="669"/>
      <c r="AN399" s="669"/>
      <c r="AO399" s="669"/>
      <c r="AP399" s="669"/>
      <c r="AQ399" s="669"/>
      <c r="AR399" s="669"/>
      <c r="AS399" s="669"/>
      <c r="AT399" s="669"/>
      <c r="AU399" s="669"/>
    </row>
    <row r="400" spans="1:47" outlineLevel="2" x14ac:dyDescent="0.2">
      <c r="A400" s="586"/>
      <c r="B400" s="586"/>
      <c r="C400" s="586"/>
      <c r="D400" s="586"/>
      <c r="E400" s="590" t="s">
        <v>269</v>
      </c>
      <c r="F400" s="397">
        <f t="shared" ref="F400:K400" si="179">F401*$P259</f>
        <v>0</v>
      </c>
      <c r="G400" s="397">
        <f t="shared" si="179"/>
        <v>0</v>
      </c>
      <c r="H400" s="397">
        <f t="shared" si="179"/>
        <v>0</v>
      </c>
      <c r="I400" s="397">
        <f t="shared" si="179"/>
        <v>0</v>
      </c>
      <c r="J400" s="397">
        <f t="shared" si="179"/>
        <v>0</v>
      </c>
      <c r="K400" s="397">
        <f t="shared" si="179"/>
        <v>0</v>
      </c>
      <c r="M400" s="586"/>
      <c r="N400" s="164"/>
      <c r="O400" s="164"/>
      <c r="P400" s="164"/>
      <c r="Q400" s="164"/>
      <c r="R400" s="164"/>
      <c r="S400" s="164"/>
      <c r="T400" s="164"/>
      <c r="V400" s="98"/>
      <c r="W400" s="98"/>
      <c r="X400" s="98"/>
      <c r="Y400" s="669"/>
      <c r="Z400" s="669"/>
      <c r="AA400" s="669"/>
      <c r="AB400" s="669"/>
      <c r="AC400" s="669"/>
      <c r="AD400" s="669"/>
      <c r="AE400" s="669"/>
      <c r="AF400" s="669"/>
      <c r="AG400" s="669"/>
      <c r="AH400" s="669"/>
      <c r="AI400" s="669"/>
      <c r="AJ400" s="669"/>
      <c r="AK400" s="669"/>
      <c r="AL400" s="669"/>
      <c r="AM400" s="669"/>
      <c r="AN400" s="669"/>
      <c r="AO400" s="669"/>
      <c r="AP400" s="669"/>
      <c r="AQ400" s="669"/>
      <c r="AR400" s="669"/>
      <c r="AS400" s="669"/>
      <c r="AT400" s="669"/>
      <c r="AU400" s="669"/>
    </row>
    <row r="401" spans="1:47" outlineLevel="2" x14ac:dyDescent="0.2">
      <c r="A401" s="586"/>
      <c r="B401" s="586"/>
      <c r="C401" s="352" t="str">
        <f>W274</f>
        <v/>
      </c>
      <c r="D401" s="586"/>
      <c r="E401" s="85" t="s">
        <v>80</v>
      </c>
      <c r="F401" s="86">
        <f t="shared" ref="F401:K401" si="180">IF($W$259=2,$N$259*IF($C401&lt;&gt;"",INDEX(RPBSScriptsChanged,$C401,F390),0),IF($Y259&lt;&gt;0,$M$259*INDEX(MBSRPBSDec,$C389,($Y259-1)*7+F390),0))*$V$259</f>
        <v>0</v>
      </c>
      <c r="G401" s="86">
        <f t="shared" si="180"/>
        <v>0</v>
      </c>
      <c r="H401" s="86">
        <f t="shared" si="180"/>
        <v>0</v>
      </c>
      <c r="I401" s="86">
        <f t="shared" si="180"/>
        <v>0</v>
      </c>
      <c r="J401" s="86">
        <f t="shared" si="180"/>
        <v>0</v>
      </c>
      <c r="K401" s="86">
        <f t="shared" si="180"/>
        <v>0</v>
      </c>
      <c r="M401" s="586"/>
      <c r="N401" s="164"/>
      <c r="O401" s="164"/>
      <c r="P401" s="164"/>
      <c r="Q401" s="164"/>
      <c r="R401" s="164"/>
      <c r="S401" s="164"/>
      <c r="T401" s="164"/>
      <c r="V401" s="98"/>
      <c r="W401" s="98"/>
      <c r="X401" s="98"/>
      <c r="Y401" s="669"/>
      <c r="Z401" s="669"/>
      <c r="AA401" s="669"/>
      <c r="AB401" s="669"/>
      <c r="AC401" s="669"/>
      <c r="AD401" s="669"/>
      <c r="AE401" s="669"/>
      <c r="AF401" s="669"/>
      <c r="AG401" s="669"/>
      <c r="AH401" s="669"/>
      <c r="AI401" s="669"/>
      <c r="AJ401" s="669"/>
      <c r="AK401" s="669"/>
      <c r="AL401" s="669"/>
      <c r="AM401" s="669"/>
      <c r="AN401" s="669"/>
      <c r="AO401" s="669"/>
      <c r="AP401" s="669"/>
      <c r="AQ401" s="669"/>
      <c r="AR401" s="669"/>
      <c r="AS401" s="669"/>
      <c r="AT401" s="669"/>
      <c r="AU401" s="669"/>
    </row>
    <row r="402" spans="1:47" outlineLevel="2" x14ac:dyDescent="0.2">
      <c r="A402" s="586"/>
      <c r="B402" s="352">
        <v>5</v>
      </c>
      <c r="C402" s="352">
        <v>6</v>
      </c>
      <c r="D402" s="586"/>
      <c r="E402" s="696" t="s">
        <v>146</v>
      </c>
      <c r="F402" s="86" t="str">
        <f t="shared" ref="F402:K405" si="181">IF(INDEX(MBSItemsDec,$C$389,1)&lt;&gt;"",F$401*INDEX(MBSItemsDec,$C$389,$B402)*INDEX(MBSItemsDec,$C$389,$C402),"")</f>
        <v/>
      </c>
      <c r="G402" s="86" t="str">
        <f t="shared" si="181"/>
        <v/>
      </c>
      <c r="H402" s="86" t="str">
        <f t="shared" si="181"/>
        <v/>
      </c>
      <c r="I402" s="86" t="str">
        <f t="shared" si="181"/>
        <v/>
      </c>
      <c r="J402" s="86" t="str">
        <f t="shared" si="181"/>
        <v/>
      </c>
      <c r="K402" s="86" t="str">
        <f t="shared" si="181"/>
        <v/>
      </c>
      <c r="M402" s="586"/>
      <c r="N402" s="164"/>
      <c r="O402" s="164"/>
      <c r="P402" s="164"/>
      <c r="Q402" s="164"/>
      <c r="R402" s="164"/>
      <c r="S402" s="164"/>
      <c r="T402" s="164"/>
      <c r="V402" s="98"/>
      <c r="W402" s="98"/>
      <c r="X402" s="98"/>
      <c r="Y402" s="669"/>
      <c r="Z402" s="669"/>
      <c r="AA402" s="669"/>
      <c r="AB402" s="669"/>
      <c r="AC402" s="669"/>
      <c r="AD402" s="669"/>
      <c r="AE402" s="669"/>
      <c r="AF402" s="669"/>
      <c r="AG402" s="669"/>
      <c r="AH402" s="669"/>
      <c r="AI402" s="669"/>
      <c r="AJ402" s="669"/>
      <c r="AK402" s="669"/>
      <c r="AL402" s="669"/>
      <c r="AM402" s="669"/>
      <c r="AN402" s="669"/>
      <c r="AO402" s="669"/>
      <c r="AP402" s="669"/>
      <c r="AQ402" s="669"/>
      <c r="AR402" s="669"/>
      <c r="AS402" s="669"/>
      <c r="AT402" s="669"/>
      <c r="AU402" s="669"/>
    </row>
    <row r="403" spans="1:47" outlineLevel="2" x14ac:dyDescent="0.2">
      <c r="A403" s="586"/>
      <c r="B403" s="352">
        <v>5</v>
      </c>
      <c r="C403" s="352">
        <v>7</v>
      </c>
      <c r="D403" s="586"/>
      <c r="E403" s="696" t="s">
        <v>147</v>
      </c>
      <c r="F403" s="86" t="str">
        <f t="shared" si="181"/>
        <v/>
      </c>
      <c r="G403" s="86" t="str">
        <f t="shared" si="181"/>
        <v/>
      </c>
      <c r="H403" s="86" t="str">
        <f t="shared" si="181"/>
        <v/>
      </c>
      <c r="I403" s="86" t="str">
        <f t="shared" si="181"/>
        <v/>
      </c>
      <c r="J403" s="86" t="str">
        <f t="shared" si="181"/>
        <v/>
      </c>
      <c r="K403" s="86" t="str">
        <f t="shared" si="181"/>
        <v/>
      </c>
      <c r="M403" s="586"/>
      <c r="N403" s="164"/>
      <c r="O403" s="164"/>
      <c r="P403" s="164"/>
      <c r="Q403" s="164"/>
      <c r="R403" s="164"/>
      <c r="S403" s="164"/>
      <c r="T403" s="164"/>
      <c r="V403" s="98"/>
      <c r="W403" s="98"/>
      <c r="X403" s="98"/>
      <c r="Y403" s="669"/>
      <c r="Z403" s="669"/>
      <c r="AA403" s="669"/>
      <c r="AB403" s="669"/>
      <c r="AC403" s="669"/>
      <c r="AD403" s="669"/>
      <c r="AE403" s="669"/>
      <c r="AF403" s="669"/>
      <c r="AG403" s="669"/>
      <c r="AH403" s="669"/>
      <c r="AI403" s="669"/>
      <c r="AJ403" s="669"/>
      <c r="AK403" s="669"/>
      <c r="AL403" s="669"/>
      <c r="AM403" s="669"/>
      <c r="AN403" s="669"/>
      <c r="AO403" s="669"/>
      <c r="AP403" s="669"/>
      <c r="AQ403" s="669"/>
      <c r="AR403" s="669"/>
      <c r="AS403" s="669"/>
      <c r="AT403" s="669"/>
      <c r="AU403" s="669"/>
    </row>
    <row r="404" spans="1:47" outlineLevel="2" x14ac:dyDescent="0.2">
      <c r="A404" s="586"/>
      <c r="B404" s="352">
        <v>4</v>
      </c>
      <c r="C404" s="352">
        <v>6</v>
      </c>
      <c r="D404" s="586"/>
      <c r="E404" s="696" t="s">
        <v>148</v>
      </c>
      <c r="F404" s="86" t="str">
        <f t="shared" si="181"/>
        <v/>
      </c>
      <c r="G404" s="86" t="str">
        <f t="shared" si="181"/>
        <v/>
      </c>
      <c r="H404" s="86" t="str">
        <f t="shared" si="181"/>
        <v/>
      </c>
      <c r="I404" s="86" t="str">
        <f t="shared" si="181"/>
        <v/>
      </c>
      <c r="J404" s="86" t="str">
        <f t="shared" si="181"/>
        <v/>
      </c>
      <c r="K404" s="86" t="str">
        <f t="shared" si="181"/>
        <v/>
      </c>
      <c r="M404" s="586"/>
      <c r="N404" s="164"/>
      <c r="O404" s="164"/>
      <c r="P404" s="164"/>
      <c r="Q404" s="164"/>
      <c r="R404" s="164"/>
      <c r="S404" s="164"/>
      <c r="T404" s="164"/>
      <c r="V404" s="98"/>
      <c r="W404" s="98"/>
      <c r="X404" s="98"/>
      <c r="Y404" s="669"/>
      <c r="Z404" s="669"/>
      <c r="AA404" s="669"/>
      <c r="AB404" s="669"/>
      <c r="AC404" s="669"/>
      <c r="AD404" s="669"/>
      <c r="AE404" s="669"/>
      <c r="AF404" s="669"/>
      <c r="AG404" s="669"/>
      <c r="AH404" s="669"/>
      <c r="AI404" s="669"/>
      <c r="AJ404" s="669"/>
      <c r="AK404" s="669"/>
      <c r="AL404" s="669"/>
      <c r="AM404" s="669"/>
      <c r="AN404" s="669"/>
      <c r="AO404" s="669"/>
      <c r="AP404" s="669"/>
      <c r="AQ404" s="669"/>
      <c r="AR404" s="669"/>
      <c r="AS404" s="669"/>
      <c r="AT404" s="669"/>
      <c r="AU404" s="669"/>
    </row>
    <row r="405" spans="1:47" outlineLevel="2" x14ac:dyDescent="0.2">
      <c r="A405" s="586"/>
      <c r="B405" s="352">
        <v>4</v>
      </c>
      <c r="C405" s="352">
        <v>7</v>
      </c>
      <c r="D405" s="586"/>
      <c r="E405" s="698" t="s">
        <v>149</v>
      </c>
      <c r="F405" s="86" t="str">
        <f t="shared" si="181"/>
        <v/>
      </c>
      <c r="G405" s="86" t="str">
        <f t="shared" si="181"/>
        <v/>
      </c>
      <c r="H405" s="86" t="str">
        <f t="shared" si="181"/>
        <v/>
      </c>
      <c r="I405" s="86" t="str">
        <f t="shared" si="181"/>
        <v/>
      </c>
      <c r="J405" s="86" t="str">
        <f t="shared" si="181"/>
        <v/>
      </c>
      <c r="K405" s="86" t="str">
        <f t="shared" si="181"/>
        <v/>
      </c>
      <c r="M405" s="586"/>
      <c r="N405" s="164"/>
      <c r="O405" s="164"/>
      <c r="P405" s="164"/>
      <c r="Q405" s="164"/>
      <c r="R405" s="164"/>
      <c r="S405" s="164"/>
      <c r="T405" s="164"/>
      <c r="V405" s="98"/>
      <c r="W405" s="98"/>
      <c r="X405" s="98"/>
      <c r="Y405" s="669"/>
      <c r="Z405" s="669"/>
      <c r="AA405" s="669"/>
      <c r="AB405" s="669"/>
      <c r="AC405" s="669"/>
      <c r="AD405" s="669"/>
      <c r="AE405" s="669"/>
      <c r="AF405" s="669"/>
      <c r="AG405" s="669"/>
      <c r="AH405" s="669"/>
      <c r="AI405" s="669"/>
      <c r="AJ405" s="669"/>
      <c r="AK405" s="669"/>
      <c r="AL405" s="669"/>
      <c r="AM405" s="669"/>
      <c r="AN405" s="669"/>
      <c r="AO405" s="669"/>
      <c r="AP405" s="669"/>
      <c r="AQ405" s="669"/>
      <c r="AR405" s="669"/>
      <c r="AS405" s="669"/>
      <c r="AT405" s="669"/>
      <c r="AU405" s="669"/>
    </row>
    <row r="406" spans="1:47" outlineLevel="1" x14ac:dyDescent="0.2">
      <c r="A406" s="586"/>
      <c r="B406" s="586"/>
      <c r="C406" s="586"/>
      <c r="D406" s="586"/>
      <c r="E406" s="586"/>
      <c r="F406" s="586"/>
      <c r="G406" s="586"/>
      <c r="H406" s="586"/>
      <c r="I406" s="586"/>
      <c r="J406" s="586"/>
      <c r="K406" s="586"/>
      <c r="L406" s="586"/>
      <c r="M406" s="586"/>
      <c r="N406" s="164"/>
      <c r="O406" s="164"/>
      <c r="P406" s="164"/>
      <c r="Q406" s="164"/>
      <c r="R406" s="164"/>
      <c r="S406" s="164"/>
      <c r="T406" s="164"/>
      <c r="V406" s="98"/>
      <c r="W406" s="98"/>
      <c r="X406" s="98"/>
      <c r="Y406" s="669"/>
      <c r="Z406" s="669"/>
      <c r="AA406" s="669"/>
      <c r="AB406" s="669"/>
      <c r="AC406" s="669"/>
      <c r="AD406" s="669"/>
      <c r="AE406" s="669"/>
      <c r="AF406" s="669"/>
      <c r="AG406" s="669"/>
      <c r="AH406" s="669"/>
      <c r="AI406" s="669"/>
      <c r="AJ406" s="669"/>
      <c r="AK406" s="669"/>
      <c r="AL406" s="669"/>
      <c r="AM406" s="669"/>
      <c r="AN406" s="669"/>
      <c r="AO406" s="669"/>
      <c r="AP406" s="669"/>
      <c r="AQ406" s="669"/>
      <c r="AR406" s="669"/>
      <c r="AS406" s="669"/>
      <c r="AT406" s="669"/>
      <c r="AU406" s="669"/>
    </row>
    <row r="407" spans="1:47" ht="15.75" outlineLevel="1" x14ac:dyDescent="0.2">
      <c r="A407" s="586"/>
      <c r="B407" s="586"/>
      <c r="C407" s="352">
        <v>8</v>
      </c>
      <c r="D407" s="110" t="str">
        <f>INDEX(MBSNamesChange,C407)</f>
        <v>** NOT USED **</v>
      </c>
      <c r="E407" s="110"/>
      <c r="F407" s="154"/>
      <c r="G407" s="154"/>
      <c r="H407" s="154"/>
      <c r="I407" s="154"/>
      <c r="J407" s="782" t="str">
        <f>IF(D407&lt;&gt;MsgNotUsed,"Co-payment group " &amp; K260,"")</f>
        <v/>
      </c>
      <c r="K407" s="782"/>
      <c r="L407" s="154"/>
      <c r="M407" s="154"/>
      <c r="N407" s="154"/>
      <c r="O407" s="154"/>
      <c r="P407" s="154"/>
      <c r="Q407" s="154"/>
      <c r="R407" s="154"/>
      <c r="S407" s="154"/>
      <c r="T407" s="154"/>
      <c r="V407" s="98"/>
      <c r="W407" s="98"/>
      <c r="X407" s="98"/>
      <c r="Y407" s="669"/>
      <c r="Z407" s="669"/>
      <c r="AA407" s="669"/>
      <c r="AB407" s="669"/>
      <c r="AC407" s="669"/>
      <c r="AD407" s="669"/>
      <c r="AE407" s="669"/>
      <c r="AF407" s="669"/>
      <c r="AG407" s="669"/>
      <c r="AH407" s="669"/>
      <c r="AI407" s="669"/>
      <c r="AJ407" s="669"/>
      <c r="AK407" s="669"/>
      <c r="AL407" s="669"/>
      <c r="AM407" s="669"/>
      <c r="AN407" s="669"/>
      <c r="AO407" s="669"/>
      <c r="AP407" s="669"/>
      <c r="AQ407" s="669"/>
      <c r="AR407" s="669"/>
      <c r="AS407" s="669"/>
      <c r="AT407" s="669"/>
      <c r="AU407" s="669"/>
    </row>
    <row r="408" spans="1:47" outlineLevel="2" x14ac:dyDescent="0.2">
      <c r="A408" s="586"/>
      <c r="B408" s="586"/>
      <c r="C408" s="586"/>
      <c r="D408" s="674"/>
      <c r="E408" s="674"/>
      <c r="F408" s="691">
        <v>2</v>
      </c>
      <c r="G408" s="691">
        <v>3</v>
      </c>
      <c r="H408" s="691">
        <v>4</v>
      </c>
      <c r="I408" s="691">
        <v>5</v>
      </c>
      <c r="J408" s="691">
        <v>6</v>
      </c>
      <c r="K408" s="691">
        <v>7</v>
      </c>
      <c r="L408" s="691"/>
      <c r="M408" s="674"/>
      <c r="N408" s="674"/>
      <c r="O408" s="715"/>
      <c r="P408" s="674"/>
      <c r="Q408" s="674"/>
      <c r="R408" s="674"/>
      <c r="S408" s="674"/>
      <c r="T408" s="674"/>
      <c r="V408" s="98"/>
      <c r="W408" s="98"/>
      <c r="X408" s="98"/>
      <c r="Y408" s="669"/>
      <c r="Z408" s="669"/>
      <c r="AA408" s="669"/>
      <c r="AB408" s="669"/>
      <c r="AC408" s="669"/>
      <c r="AD408" s="669"/>
      <c r="AE408" s="669"/>
      <c r="AF408" s="669"/>
      <c r="AG408" s="669"/>
      <c r="AH408" s="669"/>
      <c r="AI408" s="669"/>
      <c r="AJ408" s="669"/>
      <c r="AK408" s="669"/>
      <c r="AL408" s="669"/>
      <c r="AM408" s="669"/>
      <c r="AN408" s="669"/>
      <c r="AO408" s="669"/>
      <c r="AP408" s="669"/>
      <c r="AQ408" s="669"/>
      <c r="AR408" s="669"/>
      <c r="AS408" s="669"/>
      <c r="AT408" s="669"/>
      <c r="AU408" s="669"/>
    </row>
    <row r="409" spans="1:47" ht="15" outlineLevel="2" x14ac:dyDescent="0.2">
      <c r="A409" s="586"/>
      <c r="B409" s="586"/>
      <c r="C409" s="586"/>
      <c r="D409" s="681" t="s">
        <v>0</v>
      </c>
      <c r="E409" s="681"/>
      <c r="F409" s="671">
        <f>FirstYear</f>
        <v>0</v>
      </c>
      <c r="G409" s="671">
        <f>F409+1</f>
        <v>1</v>
      </c>
      <c r="H409" s="671">
        <f>G409+1</f>
        <v>2</v>
      </c>
      <c r="I409" s="671">
        <f>H409+1</f>
        <v>3</v>
      </c>
      <c r="J409" s="671">
        <f>I409+1</f>
        <v>4</v>
      </c>
      <c r="K409" s="671">
        <f>J409+1</f>
        <v>5</v>
      </c>
      <c r="M409" s="149"/>
      <c r="N409" s="692"/>
      <c r="O409" s="692"/>
      <c r="P409" s="692"/>
      <c r="Q409" s="99"/>
      <c r="R409" s="99"/>
      <c r="S409" s="99"/>
      <c r="T409" s="99"/>
      <c r="V409" s="99"/>
      <c r="W409" s="99"/>
      <c r="X409" s="99"/>
      <c r="Y409" s="669"/>
      <c r="Z409" s="669"/>
      <c r="AA409" s="669"/>
      <c r="AB409" s="669"/>
      <c r="AC409" s="669"/>
      <c r="AD409" s="669"/>
      <c r="AE409" s="669"/>
      <c r="AF409" s="669"/>
      <c r="AG409" s="669"/>
      <c r="AH409" s="669"/>
      <c r="AI409" s="669"/>
      <c r="AJ409" s="669"/>
      <c r="AK409" s="669"/>
      <c r="AL409" s="669"/>
      <c r="AM409" s="669"/>
      <c r="AN409" s="669"/>
      <c r="AO409" s="669"/>
      <c r="AP409" s="669"/>
      <c r="AQ409" s="669"/>
      <c r="AR409" s="669"/>
      <c r="AS409" s="669"/>
      <c r="AT409" s="669"/>
      <c r="AU409" s="669"/>
    </row>
    <row r="410" spans="1:47" outlineLevel="2" x14ac:dyDescent="0.2">
      <c r="A410" s="586"/>
      <c r="B410" s="586"/>
      <c r="C410" s="586"/>
      <c r="D410" s="586"/>
      <c r="E410" s="590" t="s">
        <v>269</v>
      </c>
      <c r="F410" s="397">
        <f t="shared" ref="F410:K410" si="182">F411*$P260</f>
        <v>0</v>
      </c>
      <c r="G410" s="397">
        <f t="shared" si="182"/>
        <v>0</v>
      </c>
      <c r="H410" s="397">
        <f t="shared" si="182"/>
        <v>0</v>
      </c>
      <c r="I410" s="397">
        <f t="shared" si="182"/>
        <v>0</v>
      </c>
      <c r="J410" s="397">
        <f t="shared" si="182"/>
        <v>0</v>
      </c>
      <c r="K410" s="397">
        <f t="shared" si="182"/>
        <v>0</v>
      </c>
      <c r="M410" s="149"/>
      <c r="N410" s="692"/>
      <c r="O410" s="692"/>
      <c r="P410" s="692"/>
      <c r="Q410" s="99"/>
      <c r="R410" s="99"/>
      <c r="S410" s="99"/>
      <c r="T410" s="99"/>
      <c r="V410" s="97">
        <f>FirstYear</f>
        <v>0</v>
      </c>
      <c r="W410" s="96">
        <f>IF(F411&lt;&gt;0,F411-F414,0)</f>
        <v>0</v>
      </c>
      <c r="X410" s="99"/>
      <c r="Y410" s="669"/>
      <c r="Z410" s="669"/>
      <c r="AA410" s="669"/>
      <c r="AB410" s="669"/>
      <c r="AC410" s="669"/>
      <c r="AD410" s="669"/>
      <c r="AE410" s="669"/>
      <c r="AF410" s="669"/>
      <c r="AG410" s="669"/>
      <c r="AH410" s="669"/>
      <c r="AI410" s="669"/>
      <c r="AJ410" s="669"/>
      <c r="AK410" s="669"/>
      <c r="AL410" s="669"/>
      <c r="AM410" s="669"/>
      <c r="AN410" s="669"/>
      <c r="AO410" s="669"/>
      <c r="AP410" s="669"/>
      <c r="AQ410" s="669"/>
      <c r="AR410" s="669"/>
      <c r="AS410" s="669"/>
      <c r="AT410" s="669"/>
      <c r="AU410" s="669"/>
    </row>
    <row r="411" spans="1:47" ht="14.25" outlineLevel="2" x14ac:dyDescent="0.2">
      <c r="A411" s="586"/>
      <c r="B411" s="586"/>
      <c r="C411" s="352" t="str">
        <f>W275</f>
        <v/>
      </c>
      <c r="D411" s="586"/>
      <c r="E411" s="85" t="s">
        <v>80</v>
      </c>
      <c r="F411" s="86">
        <f t="shared" ref="F411:K411" si="183">IF($W$260=2,$N$260*IF($C411&lt;&gt;"",INDEX(PBSScriptsChanged,$C411,F408),0),IF($Y260&lt;&gt;0,$M$260*INDEX(MBSPBSDec,$C407,($Y260-1)*7+F408),0))*$V$260</f>
        <v>0</v>
      </c>
      <c r="G411" s="86">
        <f t="shared" si="183"/>
        <v>0</v>
      </c>
      <c r="H411" s="86">
        <f t="shared" si="183"/>
        <v>0</v>
      </c>
      <c r="I411" s="86">
        <f t="shared" si="183"/>
        <v>0</v>
      </c>
      <c r="J411" s="86">
        <f t="shared" si="183"/>
        <v>0</v>
      </c>
      <c r="K411" s="86">
        <f t="shared" si="183"/>
        <v>0</v>
      </c>
      <c r="M411" s="701"/>
      <c r="N411" s="684"/>
      <c r="O411" s="684"/>
      <c r="P411" s="684"/>
      <c r="Q411" s="694"/>
      <c r="R411" s="694"/>
      <c r="S411" s="694"/>
      <c r="T411" s="694"/>
      <c r="V411" s="97">
        <f>V410+1</f>
        <v>1</v>
      </c>
      <c r="W411" s="96">
        <f>IF(G411&lt;&gt;0,G411-G414,0)</f>
        <v>0</v>
      </c>
      <c r="X411" s="695"/>
      <c r="Y411" s="669"/>
      <c r="Z411" s="669"/>
      <c r="AA411" s="669"/>
      <c r="AB411" s="669"/>
      <c r="AC411" s="669"/>
      <c r="AD411" s="669"/>
      <c r="AE411" s="669"/>
      <c r="AF411" s="669"/>
      <c r="AG411" s="669"/>
      <c r="AH411" s="669"/>
      <c r="AI411" s="669"/>
      <c r="AJ411" s="669"/>
      <c r="AK411" s="669"/>
      <c r="AL411" s="669"/>
      <c r="AM411" s="669"/>
      <c r="AN411" s="669"/>
      <c r="AO411" s="669"/>
      <c r="AP411" s="669"/>
      <c r="AQ411" s="669"/>
      <c r="AR411" s="669"/>
      <c r="AS411" s="669"/>
      <c r="AT411" s="669"/>
      <c r="AU411" s="669"/>
    </row>
    <row r="412" spans="1:47" outlineLevel="2" x14ac:dyDescent="0.2">
      <c r="A412" s="586"/>
      <c r="B412" s="352">
        <v>5</v>
      </c>
      <c r="C412" s="352">
        <v>6</v>
      </c>
      <c r="D412" s="586"/>
      <c r="E412" s="696" t="s">
        <v>146</v>
      </c>
      <c r="F412" s="86" t="str">
        <f t="shared" ref="F412:K415" si="184">IF(INDEX(MBSItemsDec,$C$407,1)&lt;&gt;"",F$411*INDEX(MBSItemsDec,$C$407,$B412)*INDEX(MBSItemsDec,$C$407,$C412),"")</f>
        <v/>
      </c>
      <c r="G412" s="86" t="str">
        <f t="shared" si="184"/>
        <v/>
      </c>
      <c r="H412" s="86" t="str">
        <f t="shared" si="184"/>
        <v/>
      </c>
      <c r="I412" s="86" t="str">
        <f t="shared" si="184"/>
        <v/>
      </c>
      <c r="J412" s="86" t="str">
        <f t="shared" si="184"/>
        <v/>
      </c>
      <c r="K412" s="86" t="str">
        <f t="shared" si="184"/>
        <v/>
      </c>
      <c r="M412" s="149"/>
      <c r="N412" s="697"/>
      <c r="O412" s="697"/>
      <c r="P412" s="697"/>
      <c r="Q412" s="694"/>
      <c r="R412" s="694"/>
      <c r="S412" s="694"/>
      <c r="T412" s="694"/>
      <c r="V412" s="97">
        <f>V411+1</f>
        <v>2</v>
      </c>
      <c r="W412" s="96">
        <f>IF(H411&lt;&gt;0,H411-H414,0)</f>
        <v>0</v>
      </c>
      <c r="X412" s="695"/>
      <c r="Y412" s="669"/>
      <c r="Z412" s="669"/>
      <c r="AA412" s="669"/>
      <c r="AB412" s="669"/>
      <c r="AC412" s="669"/>
      <c r="AD412" s="669"/>
      <c r="AE412" s="669"/>
      <c r="AF412" s="669"/>
      <c r="AG412" s="669"/>
      <c r="AH412" s="669"/>
      <c r="AI412" s="669"/>
      <c r="AJ412" s="669"/>
      <c r="AK412" s="669"/>
      <c r="AL412" s="669"/>
      <c r="AM412" s="669"/>
      <c r="AN412" s="669"/>
      <c r="AO412" s="669"/>
      <c r="AP412" s="669"/>
      <c r="AQ412" s="669"/>
      <c r="AR412" s="669"/>
      <c r="AS412" s="669"/>
      <c r="AT412" s="669"/>
      <c r="AU412" s="669"/>
    </row>
    <row r="413" spans="1:47" outlineLevel="2" x14ac:dyDescent="0.2">
      <c r="A413" s="586"/>
      <c r="B413" s="352">
        <v>5</v>
      </c>
      <c r="C413" s="352">
        <v>7</v>
      </c>
      <c r="D413" s="586"/>
      <c r="E413" s="696" t="s">
        <v>147</v>
      </c>
      <c r="F413" s="86" t="str">
        <f t="shared" si="184"/>
        <v/>
      </c>
      <c r="G413" s="86" t="str">
        <f t="shared" si="184"/>
        <v/>
      </c>
      <c r="H413" s="86" t="str">
        <f t="shared" si="184"/>
        <v/>
      </c>
      <c r="I413" s="86" t="str">
        <f t="shared" si="184"/>
        <v/>
      </c>
      <c r="J413" s="86" t="str">
        <f t="shared" si="184"/>
        <v/>
      </c>
      <c r="K413" s="86" t="str">
        <f t="shared" si="184"/>
        <v/>
      </c>
      <c r="M413" s="149"/>
      <c r="N413" s="697"/>
      <c r="O413" s="697"/>
      <c r="P413" s="697"/>
      <c r="Q413" s="694"/>
      <c r="R413" s="694"/>
      <c r="S413" s="694"/>
      <c r="T413" s="694"/>
      <c r="V413" s="97">
        <f>V412+1</f>
        <v>3</v>
      </c>
      <c r="W413" s="96">
        <f>IF(I411&lt;&gt;0,I411-I414,0)</f>
        <v>0</v>
      </c>
      <c r="X413" s="695"/>
      <c r="Y413" s="669"/>
      <c r="Z413" s="669"/>
      <c r="AA413" s="669"/>
      <c r="AB413" s="669"/>
      <c r="AC413" s="669"/>
      <c r="AD413" s="669"/>
      <c r="AE413" s="669"/>
      <c r="AF413" s="669"/>
      <c r="AG413" s="669"/>
      <c r="AH413" s="669"/>
      <c r="AI413" s="669"/>
      <c r="AJ413" s="669"/>
      <c r="AK413" s="669"/>
      <c r="AL413" s="669"/>
      <c r="AM413" s="669"/>
      <c r="AN413" s="669"/>
      <c r="AO413" s="669"/>
      <c r="AP413" s="669"/>
      <c r="AQ413" s="669"/>
      <c r="AR413" s="669"/>
      <c r="AS413" s="669"/>
      <c r="AT413" s="669"/>
      <c r="AU413" s="669"/>
    </row>
    <row r="414" spans="1:47" outlineLevel="2" x14ac:dyDescent="0.2">
      <c r="A414" s="586"/>
      <c r="B414" s="352">
        <v>4</v>
      </c>
      <c r="C414" s="352">
        <v>6</v>
      </c>
      <c r="D414" s="586"/>
      <c r="E414" s="696" t="s">
        <v>148</v>
      </c>
      <c r="F414" s="86" t="str">
        <f t="shared" si="184"/>
        <v/>
      </c>
      <c r="G414" s="86" t="str">
        <f t="shared" si="184"/>
        <v/>
      </c>
      <c r="H414" s="86" t="str">
        <f t="shared" si="184"/>
        <v/>
      </c>
      <c r="I414" s="86" t="str">
        <f t="shared" si="184"/>
        <v/>
      </c>
      <c r="J414" s="86" t="str">
        <f t="shared" si="184"/>
        <v/>
      </c>
      <c r="K414" s="86" t="str">
        <f t="shared" si="184"/>
        <v/>
      </c>
      <c r="M414" s="149"/>
      <c r="N414" s="697"/>
      <c r="O414" s="697"/>
      <c r="P414" s="697"/>
      <c r="Q414" s="694"/>
      <c r="R414" s="694"/>
      <c r="S414" s="694"/>
      <c r="T414" s="694"/>
      <c r="V414" s="97">
        <f>V413+1</f>
        <v>4</v>
      </c>
      <c r="W414" s="96">
        <f>IF(J411&lt;&gt;0,J411-J414,0)</f>
        <v>0</v>
      </c>
      <c r="X414" s="695"/>
      <c r="Y414" s="669"/>
      <c r="Z414" s="669"/>
      <c r="AA414" s="669"/>
      <c r="AB414" s="669"/>
      <c r="AC414" s="669"/>
      <c r="AD414" s="669"/>
      <c r="AE414" s="669"/>
      <c r="AF414" s="669"/>
      <c r="AG414" s="669"/>
      <c r="AH414" s="669"/>
      <c r="AI414" s="669"/>
      <c r="AJ414" s="669"/>
      <c r="AK414" s="669"/>
      <c r="AL414" s="669"/>
      <c r="AM414" s="669"/>
      <c r="AN414" s="669"/>
      <c r="AO414" s="669"/>
      <c r="AP414" s="669"/>
      <c r="AQ414" s="669"/>
      <c r="AR414" s="669"/>
      <c r="AS414" s="669"/>
      <c r="AT414" s="669"/>
      <c r="AU414" s="669"/>
    </row>
    <row r="415" spans="1:47" ht="12.75" customHeight="1" outlineLevel="2" x14ac:dyDescent="0.2">
      <c r="A415" s="586"/>
      <c r="B415" s="352">
        <v>4</v>
      </c>
      <c r="C415" s="352">
        <v>7</v>
      </c>
      <c r="D415" s="586"/>
      <c r="E415" s="698" t="s">
        <v>149</v>
      </c>
      <c r="F415" s="86" t="str">
        <f t="shared" si="184"/>
        <v/>
      </c>
      <c r="G415" s="86" t="str">
        <f t="shared" si="184"/>
        <v/>
      </c>
      <c r="H415" s="86" t="str">
        <f t="shared" si="184"/>
        <v/>
      </c>
      <c r="I415" s="86" t="str">
        <f t="shared" si="184"/>
        <v/>
      </c>
      <c r="J415" s="86" t="str">
        <f t="shared" si="184"/>
        <v/>
      </c>
      <c r="K415" s="86" t="str">
        <f t="shared" si="184"/>
        <v/>
      </c>
      <c r="M415" s="149"/>
      <c r="N415" s="697"/>
      <c r="O415" s="697"/>
      <c r="P415" s="697"/>
      <c r="Q415" s="694"/>
      <c r="R415" s="694"/>
      <c r="S415" s="694"/>
      <c r="T415" s="694"/>
      <c r="V415" s="97">
        <f>V414+1</f>
        <v>5</v>
      </c>
      <c r="W415" s="96">
        <f>IF(K411&lt;&gt;0,K411-K414,0)</f>
        <v>0</v>
      </c>
      <c r="X415" s="695"/>
      <c r="Y415" s="669"/>
      <c r="Z415" s="669"/>
      <c r="AA415" s="669"/>
      <c r="AB415" s="669"/>
      <c r="AC415" s="669"/>
      <c r="AD415" s="669"/>
      <c r="AE415" s="669"/>
      <c r="AF415" s="669"/>
      <c r="AG415" s="669"/>
      <c r="AH415" s="669"/>
      <c r="AI415" s="669"/>
      <c r="AJ415" s="669"/>
      <c r="AK415" s="669"/>
      <c r="AL415" s="669"/>
      <c r="AM415" s="669"/>
      <c r="AN415" s="669"/>
      <c r="AO415" s="669"/>
      <c r="AP415" s="669"/>
      <c r="AQ415" s="669"/>
      <c r="AR415" s="669"/>
      <c r="AS415" s="669"/>
      <c r="AT415" s="669"/>
      <c r="AU415" s="669"/>
    </row>
    <row r="416" spans="1:47" outlineLevel="2" x14ac:dyDescent="0.2">
      <c r="A416" s="586"/>
      <c r="B416" s="586"/>
      <c r="C416" s="586"/>
      <c r="D416" s="586"/>
      <c r="E416" s="586"/>
      <c r="F416" s="586"/>
      <c r="G416" s="586"/>
      <c r="H416" s="586"/>
      <c r="I416" s="586"/>
      <c r="J416" s="586"/>
      <c r="K416" s="586"/>
      <c r="M416" s="586"/>
      <c r="N416" s="164"/>
      <c r="O416" s="164"/>
      <c r="P416" s="164"/>
      <c r="Q416" s="164"/>
      <c r="R416" s="164"/>
      <c r="S416" s="164"/>
      <c r="T416" s="164"/>
      <c r="V416" s="98"/>
      <c r="W416" s="98"/>
      <c r="X416" s="98"/>
      <c r="Y416" s="669"/>
      <c r="Z416" s="669"/>
      <c r="AA416" s="669"/>
      <c r="AB416" s="669"/>
      <c r="AC416" s="669"/>
      <c r="AD416" s="669"/>
      <c r="AE416" s="669"/>
      <c r="AF416" s="669"/>
      <c r="AG416" s="669"/>
      <c r="AH416" s="669"/>
      <c r="AI416" s="669"/>
      <c r="AJ416" s="669"/>
      <c r="AK416" s="669"/>
      <c r="AL416" s="669"/>
      <c r="AM416" s="669"/>
      <c r="AN416" s="669"/>
      <c r="AO416" s="669"/>
      <c r="AP416" s="669"/>
      <c r="AQ416" s="669"/>
      <c r="AR416" s="669"/>
      <c r="AS416" s="669"/>
      <c r="AT416" s="669"/>
      <c r="AU416" s="669"/>
    </row>
    <row r="417" spans="1:47" ht="15" outlineLevel="2" x14ac:dyDescent="0.2">
      <c r="A417" s="586"/>
      <c r="B417" s="586"/>
      <c r="C417" s="586"/>
      <c r="D417" s="681" t="s">
        <v>1</v>
      </c>
      <c r="E417" s="681"/>
      <c r="F417" s="671">
        <f>FirstYear</f>
        <v>0</v>
      </c>
      <c r="G417" s="671">
        <f>F417+1</f>
        <v>1</v>
      </c>
      <c r="H417" s="671">
        <f>G417+1</f>
        <v>2</v>
      </c>
      <c r="I417" s="671">
        <f>H417+1</f>
        <v>3</v>
      </c>
      <c r="J417" s="671">
        <f>I417+1</f>
        <v>4</v>
      </c>
      <c r="K417" s="671">
        <f>J417+1</f>
        <v>5</v>
      </c>
      <c r="M417" s="586"/>
      <c r="N417" s="164"/>
      <c r="O417" s="164"/>
      <c r="P417" s="164"/>
      <c r="Q417" s="164"/>
      <c r="R417" s="164"/>
      <c r="S417" s="164"/>
      <c r="T417" s="164"/>
      <c r="V417" s="98"/>
      <c r="W417" s="98"/>
      <c r="X417" s="98"/>
      <c r="Y417" s="669"/>
      <c r="Z417" s="669"/>
      <c r="AA417" s="669"/>
      <c r="AB417" s="669"/>
      <c r="AC417" s="669"/>
      <c r="AD417" s="669"/>
      <c r="AE417" s="669"/>
      <c r="AF417" s="669"/>
      <c r="AG417" s="669"/>
      <c r="AH417" s="669"/>
      <c r="AI417" s="669"/>
      <c r="AJ417" s="669"/>
      <c r="AK417" s="669"/>
      <c r="AL417" s="669"/>
      <c r="AM417" s="669"/>
      <c r="AN417" s="669"/>
      <c r="AO417" s="669"/>
      <c r="AP417" s="669"/>
      <c r="AQ417" s="669"/>
      <c r="AR417" s="669"/>
      <c r="AS417" s="669"/>
      <c r="AT417" s="669"/>
      <c r="AU417" s="669"/>
    </row>
    <row r="418" spans="1:47" outlineLevel="2" x14ac:dyDescent="0.2">
      <c r="A418" s="586"/>
      <c r="B418" s="586"/>
      <c r="C418" s="586"/>
      <c r="D418" s="586"/>
      <c r="E418" s="590" t="s">
        <v>269</v>
      </c>
      <c r="F418" s="397">
        <f>F419*$P260</f>
        <v>0</v>
      </c>
      <c r="G418" s="397">
        <f>G419*$N289</f>
        <v>0</v>
      </c>
      <c r="H418" s="397">
        <f>H419*$N289</f>
        <v>0</v>
      </c>
      <c r="I418" s="397">
        <f>I419*$N289</f>
        <v>0</v>
      </c>
      <c r="J418" s="397">
        <f>J419*$N289</f>
        <v>0</v>
      </c>
      <c r="K418" s="397">
        <f>K419*$N289</f>
        <v>0</v>
      </c>
      <c r="M418" s="586"/>
      <c r="N418" s="164"/>
      <c r="O418" s="164"/>
      <c r="P418" s="164"/>
      <c r="Q418" s="164"/>
      <c r="R418" s="164"/>
      <c r="S418" s="164"/>
      <c r="T418" s="164"/>
      <c r="V418" s="98"/>
      <c r="W418" s="98"/>
      <c r="X418" s="98"/>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row>
    <row r="419" spans="1:47" outlineLevel="2" x14ac:dyDescent="0.2">
      <c r="A419" s="586"/>
      <c r="B419" s="586"/>
      <c r="C419" s="352" t="str">
        <f>W275</f>
        <v/>
      </c>
      <c r="D419" s="586"/>
      <c r="E419" s="85" t="s">
        <v>80</v>
      </c>
      <c r="F419" s="86">
        <f t="shared" ref="F419:K419" si="185">IF($W$260=2,$N$260*IF($C419&lt;&gt;"",INDEX(RPBSScriptsChanged,$C419,F408),0),IF($Y260&lt;&gt;0,$M$260*INDEX(MBSRPBSDec,$C407,($Y260-1)*7+F408),0))*$V$260</f>
        <v>0</v>
      </c>
      <c r="G419" s="86">
        <f t="shared" si="185"/>
        <v>0</v>
      </c>
      <c r="H419" s="86">
        <f t="shared" si="185"/>
        <v>0</v>
      </c>
      <c r="I419" s="86">
        <f t="shared" si="185"/>
        <v>0</v>
      </c>
      <c r="J419" s="86">
        <f t="shared" si="185"/>
        <v>0</v>
      </c>
      <c r="K419" s="86">
        <f t="shared" si="185"/>
        <v>0</v>
      </c>
      <c r="M419" s="586"/>
      <c r="N419" s="164"/>
      <c r="O419" s="164"/>
      <c r="P419" s="164"/>
      <c r="Q419" s="164"/>
      <c r="R419" s="164"/>
      <c r="S419" s="164"/>
      <c r="T419" s="164"/>
      <c r="V419" s="98"/>
      <c r="W419" s="98"/>
      <c r="X419" s="98"/>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row>
    <row r="420" spans="1:47" outlineLevel="2" x14ac:dyDescent="0.2">
      <c r="A420" s="586"/>
      <c r="B420" s="352">
        <v>5</v>
      </c>
      <c r="C420" s="352">
        <v>6</v>
      </c>
      <c r="D420" s="586"/>
      <c r="E420" s="696" t="s">
        <v>146</v>
      </c>
      <c r="F420" s="86" t="str">
        <f t="shared" ref="F420:K423" si="186">IF(INDEX(MBSItemsDec,$C$407,1)&lt;&gt;"",F$419*INDEX(MBSItemsDec,$C$407,$B420)*INDEX(MBSItemsDec,$C$407,$C420),"")</f>
        <v/>
      </c>
      <c r="G420" s="86" t="str">
        <f t="shared" si="186"/>
        <v/>
      </c>
      <c r="H420" s="86" t="str">
        <f t="shared" si="186"/>
        <v/>
      </c>
      <c r="I420" s="86" t="str">
        <f t="shared" si="186"/>
        <v/>
      </c>
      <c r="J420" s="86" t="str">
        <f t="shared" si="186"/>
        <v/>
      </c>
      <c r="K420" s="86" t="str">
        <f t="shared" si="186"/>
        <v/>
      </c>
      <c r="M420" s="586"/>
      <c r="N420" s="164"/>
      <c r="O420" s="164"/>
      <c r="P420" s="164"/>
      <c r="Q420" s="164"/>
      <c r="R420" s="164"/>
      <c r="S420" s="164"/>
      <c r="T420" s="164"/>
      <c r="V420" s="98"/>
      <c r="W420" s="98"/>
      <c r="X420" s="98"/>
      <c r="Y420" s="669"/>
      <c r="Z420" s="669"/>
      <c r="AA420" s="669"/>
      <c r="AB420" s="669"/>
      <c r="AC420" s="669"/>
      <c r="AD420" s="669"/>
      <c r="AE420" s="669"/>
      <c r="AF420" s="669"/>
      <c r="AG420" s="669"/>
      <c r="AH420" s="669"/>
      <c r="AI420" s="669"/>
      <c r="AJ420" s="669"/>
      <c r="AK420" s="669"/>
      <c r="AL420" s="669"/>
      <c r="AM420" s="669"/>
      <c r="AN420" s="669"/>
      <c r="AO420" s="669"/>
      <c r="AP420" s="669"/>
      <c r="AQ420" s="669"/>
      <c r="AR420" s="669"/>
      <c r="AS420" s="669"/>
      <c r="AT420" s="669"/>
      <c r="AU420" s="669"/>
    </row>
    <row r="421" spans="1:47" outlineLevel="2" x14ac:dyDescent="0.2">
      <c r="A421" s="586"/>
      <c r="B421" s="352">
        <v>5</v>
      </c>
      <c r="C421" s="352">
        <v>7</v>
      </c>
      <c r="D421" s="586"/>
      <c r="E421" s="696" t="s">
        <v>147</v>
      </c>
      <c r="F421" s="86" t="str">
        <f t="shared" si="186"/>
        <v/>
      </c>
      <c r="G421" s="86" t="str">
        <f t="shared" si="186"/>
        <v/>
      </c>
      <c r="H421" s="86" t="str">
        <f t="shared" si="186"/>
        <v/>
      </c>
      <c r="I421" s="86" t="str">
        <f t="shared" si="186"/>
        <v/>
      </c>
      <c r="J421" s="86" t="str">
        <f t="shared" si="186"/>
        <v/>
      </c>
      <c r="K421" s="86" t="str">
        <f t="shared" si="186"/>
        <v/>
      </c>
      <c r="M421" s="586"/>
      <c r="N421" s="164"/>
      <c r="O421" s="164"/>
      <c r="P421" s="164"/>
      <c r="Q421" s="164"/>
      <c r="R421" s="164"/>
      <c r="S421" s="164"/>
      <c r="T421" s="164"/>
      <c r="V421" s="98"/>
      <c r="W421" s="98"/>
      <c r="X421" s="98"/>
      <c r="Y421" s="669"/>
      <c r="Z421" s="669"/>
      <c r="AA421" s="669"/>
      <c r="AB421" s="669"/>
      <c r="AC421" s="669"/>
      <c r="AD421" s="669"/>
      <c r="AE421" s="669"/>
      <c r="AF421" s="669"/>
      <c r="AG421" s="669"/>
      <c r="AH421" s="669"/>
      <c r="AI421" s="669"/>
      <c r="AJ421" s="669"/>
      <c r="AK421" s="669"/>
      <c r="AL421" s="669"/>
      <c r="AM421" s="669"/>
      <c r="AN421" s="669"/>
      <c r="AO421" s="669"/>
      <c r="AP421" s="669"/>
      <c r="AQ421" s="669"/>
      <c r="AR421" s="669"/>
      <c r="AS421" s="669"/>
      <c r="AT421" s="669"/>
      <c r="AU421" s="669"/>
    </row>
    <row r="422" spans="1:47" outlineLevel="2" x14ac:dyDescent="0.2">
      <c r="A422" s="586"/>
      <c r="B422" s="352">
        <v>4</v>
      </c>
      <c r="C422" s="352">
        <v>6</v>
      </c>
      <c r="D422" s="586"/>
      <c r="E422" s="696" t="s">
        <v>148</v>
      </c>
      <c r="F422" s="86" t="str">
        <f t="shared" si="186"/>
        <v/>
      </c>
      <c r="G422" s="86" t="str">
        <f t="shared" si="186"/>
        <v/>
      </c>
      <c r="H422" s="86" t="str">
        <f t="shared" si="186"/>
        <v/>
      </c>
      <c r="I422" s="86" t="str">
        <f t="shared" si="186"/>
        <v/>
      </c>
      <c r="J422" s="86" t="str">
        <f t="shared" si="186"/>
        <v/>
      </c>
      <c r="K422" s="86" t="str">
        <f t="shared" si="186"/>
        <v/>
      </c>
      <c r="M422" s="586"/>
      <c r="N422" s="164"/>
      <c r="O422" s="164"/>
      <c r="P422" s="164"/>
      <c r="Q422" s="164"/>
      <c r="R422" s="164"/>
      <c r="S422" s="164"/>
      <c r="T422" s="164"/>
      <c r="V422" s="98"/>
      <c r="W422" s="98"/>
      <c r="X422" s="98"/>
      <c r="Y422" s="669"/>
      <c r="Z422" s="669"/>
      <c r="AA422" s="669"/>
      <c r="AB422" s="669"/>
      <c r="AC422" s="669"/>
      <c r="AD422" s="669"/>
      <c r="AE422" s="669"/>
      <c r="AF422" s="669"/>
      <c r="AG422" s="669"/>
      <c r="AH422" s="669"/>
      <c r="AI422" s="669"/>
      <c r="AJ422" s="669"/>
      <c r="AK422" s="669"/>
      <c r="AL422" s="669"/>
      <c r="AM422" s="669"/>
      <c r="AN422" s="669"/>
      <c r="AO422" s="669"/>
      <c r="AP422" s="669"/>
      <c r="AQ422" s="669"/>
      <c r="AR422" s="669"/>
      <c r="AS422" s="669"/>
      <c r="AT422" s="669"/>
      <c r="AU422" s="669"/>
    </row>
    <row r="423" spans="1:47" outlineLevel="2" x14ac:dyDescent="0.2">
      <c r="A423" s="586"/>
      <c r="B423" s="352">
        <v>4</v>
      </c>
      <c r="C423" s="352">
        <v>7</v>
      </c>
      <c r="D423" s="586"/>
      <c r="E423" s="698" t="s">
        <v>149</v>
      </c>
      <c r="F423" s="86" t="str">
        <f t="shared" si="186"/>
        <v/>
      </c>
      <c r="G423" s="86" t="str">
        <f t="shared" si="186"/>
        <v/>
      </c>
      <c r="H423" s="86" t="str">
        <f t="shared" si="186"/>
        <v/>
      </c>
      <c r="I423" s="86" t="str">
        <f t="shared" si="186"/>
        <v/>
      </c>
      <c r="J423" s="86" t="str">
        <f t="shared" si="186"/>
        <v/>
      </c>
      <c r="K423" s="86" t="str">
        <f t="shared" si="186"/>
        <v/>
      </c>
      <c r="M423" s="586"/>
      <c r="N423" s="164"/>
      <c r="O423" s="164"/>
      <c r="P423" s="164"/>
      <c r="Q423" s="164"/>
      <c r="R423" s="164"/>
      <c r="S423" s="164"/>
      <c r="T423" s="164"/>
      <c r="V423" s="98"/>
      <c r="W423" s="98"/>
      <c r="X423" s="98"/>
      <c r="Y423" s="669"/>
      <c r="Z423" s="669"/>
      <c r="AA423" s="669"/>
      <c r="AB423" s="669"/>
      <c r="AC423" s="669"/>
      <c r="AD423" s="669"/>
      <c r="AE423" s="669"/>
      <c r="AF423" s="669"/>
      <c r="AG423" s="669"/>
      <c r="AH423" s="669"/>
      <c r="AI423" s="669"/>
      <c r="AJ423" s="669"/>
      <c r="AK423" s="669"/>
      <c r="AL423" s="669"/>
      <c r="AM423" s="669"/>
      <c r="AN423" s="669"/>
      <c r="AO423" s="669"/>
      <c r="AP423" s="669"/>
      <c r="AQ423" s="669"/>
      <c r="AR423" s="669"/>
      <c r="AS423" s="669"/>
      <c r="AT423" s="669"/>
      <c r="AU423" s="669"/>
    </row>
    <row r="424" spans="1:47" outlineLevel="1" x14ac:dyDescent="0.2">
      <c r="A424" s="586"/>
      <c r="B424" s="586"/>
      <c r="C424" s="586"/>
      <c r="D424" s="586"/>
      <c r="E424" s="586"/>
      <c r="F424" s="586"/>
      <c r="G424" s="586"/>
      <c r="H424" s="586"/>
      <c r="I424" s="586"/>
      <c r="J424" s="586"/>
      <c r="K424" s="586"/>
      <c r="L424" s="586"/>
      <c r="M424" s="586"/>
      <c r="N424" s="164"/>
      <c r="O424" s="164"/>
      <c r="P424" s="164"/>
      <c r="Q424" s="164"/>
      <c r="R424" s="164"/>
      <c r="S424" s="164"/>
      <c r="T424" s="164"/>
      <c r="V424" s="98"/>
      <c r="W424" s="98"/>
      <c r="X424" s="98"/>
      <c r="Y424" s="669"/>
      <c r="Z424" s="669"/>
      <c r="AA424" s="669"/>
      <c r="AB424" s="669"/>
      <c r="AC424" s="669"/>
      <c r="AD424" s="669"/>
      <c r="AE424" s="669"/>
      <c r="AF424" s="669"/>
      <c r="AG424" s="669"/>
      <c r="AH424" s="669"/>
      <c r="AI424" s="669"/>
      <c r="AJ424" s="669"/>
      <c r="AK424" s="669"/>
      <c r="AL424" s="669"/>
      <c r="AM424" s="669"/>
      <c r="AN424" s="669"/>
      <c r="AO424" s="669"/>
      <c r="AP424" s="669"/>
      <c r="AQ424" s="669"/>
      <c r="AR424" s="669"/>
      <c r="AS424" s="669"/>
      <c r="AT424" s="669"/>
      <c r="AU424" s="669"/>
    </row>
    <row r="425" spans="1:47" ht="15.75" outlineLevel="1" x14ac:dyDescent="0.2">
      <c r="A425" s="586"/>
      <c r="B425" s="586"/>
      <c r="C425" s="352">
        <v>9</v>
      </c>
      <c r="D425" s="110" t="str">
        <f>INDEX(MBSNamesChange,C425)</f>
        <v>** NOT USED **</v>
      </c>
      <c r="E425" s="110"/>
      <c r="F425" s="154"/>
      <c r="G425" s="154"/>
      <c r="H425" s="154"/>
      <c r="I425" s="154"/>
      <c r="J425" s="782" t="str">
        <f>IF(D425&lt;&gt;MsgNotUsed,"Co-payment group " &amp; K261,"")</f>
        <v/>
      </c>
      <c r="K425" s="782"/>
      <c r="L425" s="154"/>
      <c r="M425" s="154"/>
      <c r="N425" s="154"/>
      <c r="O425" s="154"/>
      <c r="P425" s="154"/>
      <c r="Q425" s="154"/>
      <c r="R425" s="154"/>
      <c r="S425" s="154"/>
      <c r="T425" s="154"/>
      <c r="V425" s="98"/>
      <c r="W425" s="98"/>
      <c r="X425" s="98"/>
      <c r="Y425" s="669"/>
      <c r="Z425" s="669"/>
      <c r="AA425" s="669"/>
      <c r="AB425" s="669"/>
      <c r="AC425" s="669"/>
      <c r="AD425" s="669"/>
      <c r="AE425" s="669"/>
      <c r="AF425" s="669"/>
      <c r="AG425" s="669"/>
      <c r="AH425" s="669"/>
      <c r="AI425" s="669"/>
      <c r="AJ425" s="669"/>
      <c r="AK425" s="669"/>
      <c r="AL425" s="669"/>
      <c r="AM425" s="669"/>
      <c r="AN425" s="669"/>
      <c r="AO425" s="669"/>
      <c r="AP425" s="669"/>
      <c r="AQ425" s="669"/>
      <c r="AR425" s="669"/>
      <c r="AS425" s="669"/>
      <c r="AT425" s="669"/>
      <c r="AU425" s="669"/>
    </row>
    <row r="426" spans="1:47" outlineLevel="2" x14ac:dyDescent="0.2">
      <c r="A426" s="586"/>
      <c r="B426" s="586"/>
      <c r="C426" s="586"/>
      <c r="D426" s="674"/>
      <c r="E426" s="674"/>
      <c r="F426" s="691">
        <v>2</v>
      </c>
      <c r="G426" s="691">
        <v>3</v>
      </c>
      <c r="H426" s="691">
        <v>4</v>
      </c>
      <c r="I426" s="691">
        <v>5</v>
      </c>
      <c r="J426" s="691">
        <v>6</v>
      </c>
      <c r="K426" s="691">
        <v>7</v>
      </c>
      <c r="L426" s="691"/>
      <c r="M426" s="674"/>
      <c r="N426" s="674"/>
      <c r="O426" s="715"/>
      <c r="P426" s="674"/>
      <c r="Q426" s="674"/>
      <c r="R426" s="674"/>
      <c r="S426" s="674"/>
      <c r="T426" s="674"/>
      <c r="V426" s="98"/>
      <c r="W426" s="98"/>
      <c r="X426" s="98"/>
      <c r="Y426" s="669"/>
      <c r="Z426" s="669"/>
      <c r="AA426" s="669"/>
      <c r="AB426" s="669"/>
      <c r="AC426" s="669"/>
      <c r="AD426" s="669"/>
      <c r="AE426" s="669"/>
      <c r="AF426" s="669"/>
      <c r="AG426" s="669"/>
      <c r="AH426" s="669"/>
      <c r="AI426" s="669"/>
      <c r="AJ426" s="669"/>
      <c r="AK426" s="669"/>
      <c r="AL426" s="669"/>
      <c r="AM426" s="669"/>
      <c r="AN426" s="669"/>
      <c r="AO426" s="669"/>
      <c r="AP426" s="669"/>
      <c r="AQ426" s="669"/>
      <c r="AR426" s="669"/>
      <c r="AS426" s="669"/>
      <c r="AT426" s="669"/>
      <c r="AU426" s="669"/>
    </row>
    <row r="427" spans="1:47" ht="15" outlineLevel="2" x14ac:dyDescent="0.2">
      <c r="A427" s="586"/>
      <c r="B427" s="586"/>
      <c r="C427" s="586"/>
      <c r="D427" s="681" t="s">
        <v>0</v>
      </c>
      <c r="E427" s="681"/>
      <c r="F427" s="671">
        <f>FirstYear</f>
        <v>0</v>
      </c>
      <c r="G427" s="671">
        <f>F427+1</f>
        <v>1</v>
      </c>
      <c r="H427" s="671">
        <f>G427+1</f>
        <v>2</v>
      </c>
      <c r="I427" s="671">
        <f>H427+1</f>
        <v>3</v>
      </c>
      <c r="J427" s="671">
        <f>I427+1</f>
        <v>4</v>
      </c>
      <c r="K427" s="671">
        <f>J427+1</f>
        <v>5</v>
      </c>
      <c r="M427" s="149"/>
      <c r="N427" s="692"/>
      <c r="O427" s="692"/>
      <c r="P427" s="692"/>
      <c r="Q427" s="99"/>
      <c r="R427" s="99"/>
      <c r="S427" s="99"/>
      <c r="T427" s="99"/>
      <c r="V427" s="99"/>
      <c r="W427" s="99"/>
      <c r="X427" s="99"/>
      <c r="Y427" s="669"/>
      <c r="Z427" s="669"/>
      <c r="AA427" s="669"/>
      <c r="AB427" s="669"/>
      <c r="AC427" s="669"/>
      <c r="AD427" s="669"/>
      <c r="AE427" s="669"/>
      <c r="AF427" s="669"/>
      <c r="AG427" s="669"/>
      <c r="AH427" s="669"/>
      <c r="AI427" s="669"/>
      <c r="AJ427" s="669"/>
      <c r="AK427" s="669"/>
      <c r="AL427" s="669"/>
      <c r="AM427" s="669"/>
      <c r="AN427" s="669"/>
      <c r="AO427" s="669"/>
      <c r="AP427" s="669"/>
      <c r="AQ427" s="669"/>
      <c r="AR427" s="669"/>
      <c r="AS427" s="669"/>
      <c r="AT427" s="669"/>
      <c r="AU427" s="669"/>
    </row>
    <row r="428" spans="1:47" outlineLevel="2" x14ac:dyDescent="0.2">
      <c r="A428" s="586"/>
      <c r="B428" s="586"/>
      <c r="C428" s="586"/>
      <c r="D428" s="586"/>
      <c r="E428" s="590" t="s">
        <v>269</v>
      </c>
      <c r="F428" s="397">
        <f t="shared" ref="F428:K428" si="187">F429*$P261</f>
        <v>0</v>
      </c>
      <c r="G428" s="397">
        <f t="shared" si="187"/>
        <v>0</v>
      </c>
      <c r="H428" s="397">
        <f t="shared" si="187"/>
        <v>0</v>
      </c>
      <c r="I428" s="397">
        <f t="shared" si="187"/>
        <v>0</v>
      </c>
      <c r="J428" s="397">
        <f t="shared" si="187"/>
        <v>0</v>
      </c>
      <c r="K428" s="397">
        <f t="shared" si="187"/>
        <v>0</v>
      </c>
      <c r="M428" s="149"/>
      <c r="N428" s="692"/>
      <c r="O428" s="692"/>
      <c r="P428" s="692"/>
      <c r="Q428" s="99"/>
      <c r="R428" s="99"/>
      <c r="S428" s="99"/>
      <c r="T428" s="99"/>
      <c r="V428" s="97">
        <f>FirstYear</f>
        <v>0</v>
      </c>
      <c r="W428" s="96">
        <f>IF(F429&lt;&gt;0,F429-F432,0)</f>
        <v>0</v>
      </c>
      <c r="X428" s="99"/>
      <c r="Y428" s="669"/>
      <c r="Z428" s="669"/>
      <c r="AA428" s="669"/>
      <c r="AB428" s="669"/>
      <c r="AC428" s="669"/>
      <c r="AD428" s="669"/>
      <c r="AE428" s="669"/>
      <c r="AF428" s="669"/>
      <c r="AG428" s="669"/>
      <c r="AH428" s="669"/>
      <c r="AI428" s="669"/>
      <c r="AJ428" s="669"/>
      <c r="AK428" s="669"/>
      <c r="AL428" s="669"/>
      <c r="AM428" s="669"/>
      <c r="AN428" s="669"/>
      <c r="AO428" s="669"/>
      <c r="AP428" s="669"/>
      <c r="AQ428" s="669"/>
      <c r="AR428" s="669"/>
      <c r="AS428" s="669"/>
      <c r="AT428" s="669"/>
      <c r="AU428" s="669"/>
    </row>
    <row r="429" spans="1:47" ht="14.25" outlineLevel="2" x14ac:dyDescent="0.2">
      <c r="A429" s="586"/>
      <c r="B429" s="586"/>
      <c r="C429" s="352" t="str">
        <f>W276</f>
        <v/>
      </c>
      <c r="D429" s="586"/>
      <c r="E429" s="85" t="s">
        <v>80</v>
      </c>
      <c r="F429" s="86">
        <f t="shared" ref="F429:K429" si="188">IF($W$261=2,$N$261*IF($C429&lt;&gt;"",INDEX(PBSScriptsChanged,$C429,F426),0),IF($Y261&lt;&gt;0,$M$261*INDEX(MBSPBSDec,$C425,($Y261-1)*7+F426),0))*$V$261</f>
        <v>0</v>
      </c>
      <c r="G429" s="86">
        <f t="shared" si="188"/>
        <v>0</v>
      </c>
      <c r="H429" s="86">
        <f t="shared" si="188"/>
        <v>0</v>
      </c>
      <c r="I429" s="86">
        <f t="shared" si="188"/>
        <v>0</v>
      </c>
      <c r="J429" s="86">
        <f t="shared" si="188"/>
        <v>0</v>
      </c>
      <c r="K429" s="86">
        <f t="shared" si="188"/>
        <v>0</v>
      </c>
      <c r="M429" s="701"/>
      <c r="N429" s="684"/>
      <c r="O429" s="684"/>
      <c r="P429" s="684"/>
      <c r="Q429" s="694"/>
      <c r="R429" s="694"/>
      <c r="S429" s="694"/>
      <c r="T429" s="694"/>
      <c r="V429" s="97">
        <f>V428+1</f>
        <v>1</v>
      </c>
      <c r="W429" s="96">
        <f>IF(G429&lt;&gt;0,G429-G432,0)</f>
        <v>0</v>
      </c>
      <c r="X429" s="695"/>
      <c r="Y429" s="669"/>
      <c r="Z429" s="669"/>
      <c r="AA429" s="669"/>
      <c r="AB429" s="669"/>
      <c r="AC429" s="669"/>
      <c r="AD429" s="669"/>
      <c r="AE429" s="669"/>
      <c r="AF429" s="669"/>
      <c r="AG429" s="669"/>
      <c r="AH429" s="669"/>
      <c r="AI429" s="669"/>
      <c r="AJ429" s="669"/>
      <c r="AK429" s="669"/>
      <c r="AL429" s="669"/>
      <c r="AM429" s="669"/>
      <c r="AN429" s="669"/>
      <c r="AO429" s="669"/>
      <c r="AP429" s="669"/>
      <c r="AQ429" s="669"/>
      <c r="AR429" s="669"/>
      <c r="AS429" s="669"/>
      <c r="AT429" s="669"/>
      <c r="AU429" s="669"/>
    </row>
    <row r="430" spans="1:47" outlineLevel="2" x14ac:dyDescent="0.2">
      <c r="A430" s="586"/>
      <c r="B430" s="352">
        <v>5</v>
      </c>
      <c r="C430" s="352">
        <v>6</v>
      </c>
      <c r="D430" s="586"/>
      <c r="E430" s="696" t="s">
        <v>146</v>
      </c>
      <c r="F430" s="86" t="str">
        <f t="shared" ref="F430:K433" si="189">IF(INDEX(MBSItemsDec,$C$425,1)&lt;&gt;"",F$429*INDEX(MBSItemsDec,$C$425,$B430)*INDEX(MBSItemsDec,$C$425,$C430),"")</f>
        <v/>
      </c>
      <c r="G430" s="86" t="str">
        <f t="shared" si="189"/>
        <v/>
      </c>
      <c r="H430" s="86" t="str">
        <f t="shared" si="189"/>
        <v/>
      </c>
      <c r="I430" s="86" t="str">
        <f t="shared" si="189"/>
        <v/>
      </c>
      <c r="J430" s="86" t="str">
        <f t="shared" si="189"/>
        <v/>
      </c>
      <c r="K430" s="86" t="str">
        <f t="shared" si="189"/>
        <v/>
      </c>
      <c r="M430" s="149"/>
      <c r="N430" s="697"/>
      <c r="O430" s="697"/>
      <c r="P430" s="697"/>
      <c r="Q430" s="694"/>
      <c r="R430" s="694"/>
      <c r="S430" s="694"/>
      <c r="T430" s="694"/>
      <c r="V430" s="97">
        <f>V429+1</f>
        <v>2</v>
      </c>
      <c r="W430" s="96">
        <f>IF(H429&lt;&gt;0,H429-H432,0)</f>
        <v>0</v>
      </c>
      <c r="X430" s="695"/>
      <c r="Y430" s="669"/>
      <c r="Z430" s="669"/>
      <c r="AA430" s="669"/>
      <c r="AB430" s="669"/>
      <c r="AC430" s="669"/>
      <c r="AD430" s="669"/>
      <c r="AE430" s="669"/>
      <c r="AF430" s="669"/>
      <c r="AG430" s="669"/>
      <c r="AH430" s="669"/>
      <c r="AI430" s="669"/>
      <c r="AJ430" s="669"/>
      <c r="AK430" s="669"/>
      <c r="AL430" s="669"/>
      <c r="AM430" s="669"/>
      <c r="AN430" s="669"/>
      <c r="AO430" s="669"/>
      <c r="AP430" s="669"/>
      <c r="AQ430" s="669"/>
      <c r="AR430" s="669"/>
      <c r="AS430" s="669"/>
      <c r="AT430" s="669"/>
      <c r="AU430" s="669"/>
    </row>
    <row r="431" spans="1:47" outlineLevel="2" x14ac:dyDescent="0.2">
      <c r="A431" s="586"/>
      <c r="B431" s="352">
        <v>5</v>
      </c>
      <c r="C431" s="352">
        <v>7</v>
      </c>
      <c r="D431" s="586"/>
      <c r="E431" s="696" t="s">
        <v>147</v>
      </c>
      <c r="F431" s="86" t="str">
        <f t="shared" si="189"/>
        <v/>
      </c>
      <c r="G431" s="86" t="str">
        <f t="shared" si="189"/>
        <v/>
      </c>
      <c r="H431" s="86" t="str">
        <f t="shared" si="189"/>
        <v/>
      </c>
      <c r="I431" s="86" t="str">
        <f t="shared" si="189"/>
        <v/>
      </c>
      <c r="J431" s="86" t="str">
        <f t="shared" si="189"/>
        <v/>
      </c>
      <c r="K431" s="86" t="str">
        <f t="shared" si="189"/>
        <v/>
      </c>
      <c r="M431" s="149"/>
      <c r="N431" s="697"/>
      <c r="O431" s="697"/>
      <c r="P431" s="697"/>
      <c r="Q431" s="694"/>
      <c r="R431" s="694"/>
      <c r="S431" s="694"/>
      <c r="T431" s="694"/>
      <c r="V431" s="97">
        <f>V430+1</f>
        <v>3</v>
      </c>
      <c r="W431" s="96">
        <f>IF(I429&lt;&gt;0,I429-I432,0)</f>
        <v>0</v>
      </c>
      <c r="X431" s="695"/>
      <c r="Y431" s="669"/>
      <c r="Z431" s="669"/>
      <c r="AA431" s="669"/>
      <c r="AB431" s="669"/>
      <c r="AC431" s="669"/>
      <c r="AD431" s="669"/>
      <c r="AE431" s="669"/>
      <c r="AF431" s="669"/>
      <c r="AG431" s="669"/>
      <c r="AH431" s="669"/>
      <c r="AI431" s="669"/>
      <c r="AJ431" s="669"/>
      <c r="AK431" s="669"/>
      <c r="AL431" s="669"/>
      <c r="AM431" s="669"/>
      <c r="AN431" s="669"/>
      <c r="AO431" s="669"/>
      <c r="AP431" s="669"/>
      <c r="AQ431" s="669"/>
      <c r="AR431" s="669"/>
      <c r="AS431" s="669"/>
      <c r="AT431" s="669"/>
      <c r="AU431" s="669"/>
    </row>
    <row r="432" spans="1:47" outlineLevel="2" x14ac:dyDescent="0.2">
      <c r="A432" s="586"/>
      <c r="B432" s="352">
        <v>4</v>
      </c>
      <c r="C432" s="352">
        <v>6</v>
      </c>
      <c r="D432" s="586"/>
      <c r="E432" s="696" t="s">
        <v>148</v>
      </c>
      <c r="F432" s="86" t="str">
        <f t="shared" si="189"/>
        <v/>
      </c>
      <c r="G432" s="86" t="str">
        <f t="shared" si="189"/>
        <v/>
      </c>
      <c r="H432" s="86" t="str">
        <f t="shared" si="189"/>
        <v/>
      </c>
      <c r="I432" s="86" t="str">
        <f t="shared" si="189"/>
        <v/>
      </c>
      <c r="J432" s="86" t="str">
        <f t="shared" si="189"/>
        <v/>
      </c>
      <c r="K432" s="86" t="str">
        <f t="shared" si="189"/>
        <v/>
      </c>
      <c r="M432" s="149"/>
      <c r="N432" s="697"/>
      <c r="O432" s="697"/>
      <c r="P432" s="697"/>
      <c r="Q432" s="694"/>
      <c r="R432" s="694"/>
      <c r="S432" s="694"/>
      <c r="T432" s="694"/>
      <c r="V432" s="97">
        <f>V431+1</f>
        <v>4</v>
      </c>
      <c r="W432" s="96">
        <f>IF(J429&lt;&gt;0,J429-J432,0)</f>
        <v>0</v>
      </c>
      <c r="X432" s="695"/>
      <c r="Y432" s="669"/>
      <c r="Z432" s="669"/>
      <c r="AA432" s="669"/>
      <c r="AB432" s="669"/>
      <c r="AC432" s="669"/>
      <c r="AD432" s="669"/>
      <c r="AE432" s="669"/>
      <c r="AF432" s="669"/>
      <c r="AG432" s="669"/>
      <c r="AH432" s="669"/>
      <c r="AI432" s="669"/>
      <c r="AJ432" s="669"/>
      <c r="AK432" s="669"/>
      <c r="AL432" s="669"/>
      <c r="AM432" s="669"/>
      <c r="AN432" s="669"/>
      <c r="AO432" s="669"/>
      <c r="AP432" s="669"/>
      <c r="AQ432" s="669"/>
      <c r="AR432" s="669"/>
      <c r="AS432" s="669"/>
      <c r="AT432" s="669"/>
      <c r="AU432" s="669"/>
    </row>
    <row r="433" spans="1:47" ht="12.75" customHeight="1" outlineLevel="2" x14ac:dyDescent="0.2">
      <c r="A433" s="586"/>
      <c r="B433" s="352">
        <v>4</v>
      </c>
      <c r="C433" s="352">
        <v>7</v>
      </c>
      <c r="D433" s="586"/>
      <c r="E433" s="698" t="s">
        <v>149</v>
      </c>
      <c r="F433" s="86" t="str">
        <f t="shared" si="189"/>
        <v/>
      </c>
      <c r="G433" s="86" t="str">
        <f t="shared" si="189"/>
        <v/>
      </c>
      <c r="H433" s="86" t="str">
        <f t="shared" si="189"/>
        <v/>
      </c>
      <c r="I433" s="86" t="str">
        <f t="shared" si="189"/>
        <v/>
      </c>
      <c r="J433" s="86" t="str">
        <f t="shared" si="189"/>
        <v/>
      </c>
      <c r="K433" s="86" t="str">
        <f t="shared" si="189"/>
        <v/>
      </c>
      <c r="M433" s="149"/>
      <c r="N433" s="697"/>
      <c r="O433" s="697"/>
      <c r="P433" s="697"/>
      <c r="Q433" s="694"/>
      <c r="R433" s="694"/>
      <c r="S433" s="694"/>
      <c r="T433" s="694"/>
      <c r="V433" s="97">
        <f>V432+1</f>
        <v>5</v>
      </c>
      <c r="W433" s="96">
        <f>IF(K429&lt;&gt;0,K429-K432,0)</f>
        <v>0</v>
      </c>
      <c r="X433" s="695"/>
      <c r="Y433" s="669"/>
      <c r="Z433" s="669"/>
      <c r="AA433" s="669"/>
      <c r="AB433" s="669"/>
      <c r="AC433" s="669"/>
      <c r="AD433" s="669"/>
      <c r="AE433" s="669"/>
      <c r="AF433" s="669"/>
      <c r="AG433" s="669"/>
      <c r="AH433" s="669"/>
      <c r="AI433" s="669"/>
      <c r="AJ433" s="669"/>
      <c r="AK433" s="669"/>
      <c r="AL433" s="669"/>
      <c r="AM433" s="669"/>
      <c r="AN433" s="669"/>
      <c r="AO433" s="669"/>
      <c r="AP433" s="669"/>
      <c r="AQ433" s="669"/>
      <c r="AR433" s="669"/>
      <c r="AS433" s="669"/>
      <c r="AT433" s="669"/>
      <c r="AU433" s="669"/>
    </row>
    <row r="434" spans="1:47" outlineLevel="2" x14ac:dyDescent="0.2">
      <c r="A434" s="586"/>
      <c r="B434" s="586"/>
      <c r="C434" s="586"/>
      <c r="D434" s="586"/>
      <c r="E434" s="586"/>
      <c r="F434" s="586"/>
      <c r="G434" s="586"/>
      <c r="H434" s="586"/>
      <c r="I434" s="586"/>
      <c r="J434" s="586"/>
      <c r="K434" s="586"/>
      <c r="M434" s="586"/>
      <c r="N434" s="164"/>
      <c r="O434" s="164"/>
      <c r="P434" s="164"/>
      <c r="Q434" s="164"/>
      <c r="R434" s="164"/>
      <c r="S434" s="164"/>
      <c r="T434" s="164"/>
      <c r="V434" s="98"/>
      <c r="W434" s="98"/>
      <c r="X434" s="98"/>
      <c r="Y434" s="669"/>
      <c r="Z434" s="669"/>
      <c r="AA434" s="669"/>
      <c r="AB434" s="669"/>
      <c r="AC434" s="669"/>
      <c r="AD434" s="669"/>
      <c r="AE434" s="669"/>
      <c r="AF434" s="669"/>
      <c r="AG434" s="669"/>
      <c r="AH434" s="669"/>
      <c r="AI434" s="669"/>
      <c r="AJ434" s="669"/>
      <c r="AK434" s="669"/>
      <c r="AL434" s="669"/>
      <c r="AM434" s="669"/>
      <c r="AN434" s="669"/>
      <c r="AO434" s="669"/>
      <c r="AP434" s="669"/>
      <c r="AQ434" s="669"/>
      <c r="AR434" s="669"/>
      <c r="AS434" s="669"/>
      <c r="AT434" s="669"/>
      <c r="AU434" s="669"/>
    </row>
    <row r="435" spans="1:47" ht="15" outlineLevel="2" x14ac:dyDescent="0.2">
      <c r="A435" s="586"/>
      <c r="B435" s="586"/>
      <c r="C435" s="586"/>
      <c r="D435" s="681" t="s">
        <v>1</v>
      </c>
      <c r="E435" s="681"/>
      <c r="F435" s="671">
        <f>FirstYear</f>
        <v>0</v>
      </c>
      <c r="G435" s="671">
        <f>F435+1</f>
        <v>1</v>
      </c>
      <c r="H435" s="671">
        <f>G435+1</f>
        <v>2</v>
      </c>
      <c r="I435" s="671">
        <f>H435+1</f>
        <v>3</v>
      </c>
      <c r="J435" s="671">
        <f>I435+1</f>
        <v>4</v>
      </c>
      <c r="K435" s="671">
        <f>J435+1</f>
        <v>5</v>
      </c>
      <c r="M435" s="586"/>
      <c r="N435" s="164"/>
      <c r="O435" s="164"/>
      <c r="P435" s="164"/>
      <c r="Q435" s="164"/>
      <c r="R435" s="164"/>
      <c r="S435" s="164"/>
      <c r="T435" s="164"/>
      <c r="V435" s="98"/>
      <c r="W435" s="98"/>
      <c r="X435" s="98"/>
      <c r="Y435" s="669"/>
      <c r="Z435" s="669"/>
      <c r="AA435" s="669"/>
      <c r="AB435" s="669"/>
      <c r="AC435" s="669"/>
      <c r="AD435" s="669"/>
      <c r="AE435" s="669"/>
      <c r="AF435" s="669"/>
      <c r="AG435" s="669"/>
      <c r="AH435" s="669"/>
      <c r="AI435" s="669"/>
      <c r="AJ435" s="669"/>
      <c r="AK435" s="669"/>
      <c r="AL435" s="669"/>
      <c r="AM435" s="669"/>
      <c r="AN435" s="669"/>
      <c r="AO435" s="669"/>
      <c r="AP435" s="669"/>
      <c r="AQ435" s="669"/>
      <c r="AR435" s="669"/>
      <c r="AS435" s="669"/>
      <c r="AT435" s="669"/>
      <c r="AU435" s="669"/>
    </row>
    <row r="436" spans="1:47" outlineLevel="2" x14ac:dyDescent="0.2">
      <c r="A436" s="586"/>
      <c r="B436" s="586"/>
      <c r="C436" s="586"/>
      <c r="D436" s="586"/>
      <c r="E436" s="590" t="s">
        <v>269</v>
      </c>
      <c r="F436" s="397">
        <f t="shared" ref="F436:K436" si="190">F437*$P261</f>
        <v>0</v>
      </c>
      <c r="G436" s="397">
        <f t="shared" si="190"/>
        <v>0</v>
      </c>
      <c r="H436" s="397">
        <f t="shared" si="190"/>
        <v>0</v>
      </c>
      <c r="I436" s="397">
        <f t="shared" si="190"/>
        <v>0</v>
      </c>
      <c r="J436" s="397">
        <f t="shared" si="190"/>
        <v>0</v>
      </c>
      <c r="K436" s="397">
        <f t="shared" si="190"/>
        <v>0</v>
      </c>
      <c r="M436" s="586"/>
      <c r="N436" s="164"/>
      <c r="O436" s="164"/>
      <c r="P436" s="164"/>
      <c r="Q436" s="164"/>
      <c r="R436" s="164"/>
      <c r="S436" s="164"/>
      <c r="T436" s="164"/>
      <c r="V436" s="98"/>
      <c r="W436" s="98"/>
      <c r="X436" s="98"/>
      <c r="Y436" s="669"/>
      <c r="Z436" s="669"/>
      <c r="AA436" s="669"/>
      <c r="AB436" s="669"/>
      <c r="AC436" s="669"/>
      <c r="AD436" s="669"/>
      <c r="AE436" s="669"/>
      <c r="AF436" s="669"/>
      <c r="AG436" s="669"/>
      <c r="AH436" s="669"/>
      <c r="AI436" s="669"/>
      <c r="AJ436" s="669"/>
      <c r="AK436" s="669"/>
      <c r="AL436" s="669"/>
      <c r="AM436" s="669"/>
      <c r="AN436" s="669"/>
      <c r="AO436" s="669"/>
      <c r="AP436" s="669"/>
      <c r="AQ436" s="669"/>
      <c r="AR436" s="669"/>
      <c r="AS436" s="669"/>
      <c r="AT436" s="669"/>
      <c r="AU436" s="669"/>
    </row>
    <row r="437" spans="1:47" outlineLevel="2" x14ac:dyDescent="0.2">
      <c r="A437" s="586"/>
      <c r="B437" s="586"/>
      <c r="C437" s="352" t="str">
        <f>W276</f>
        <v/>
      </c>
      <c r="D437" s="586"/>
      <c r="E437" s="85" t="s">
        <v>80</v>
      </c>
      <c r="F437" s="86">
        <f t="shared" ref="F437:K437" si="191">IF($W$261=2,$N$261*IF($C437&lt;&gt;"",INDEX(RPBSScriptsChanged,$C437,F426),0),IF($Y261&lt;&gt;0,$M$261*INDEX(MBSRPBSDec,$C425,($Y261-1)*7+F426),0))*$V$261</f>
        <v>0</v>
      </c>
      <c r="G437" s="86">
        <f t="shared" si="191"/>
        <v>0</v>
      </c>
      <c r="H437" s="86">
        <f t="shared" si="191"/>
        <v>0</v>
      </c>
      <c r="I437" s="86">
        <f t="shared" si="191"/>
        <v>0</v>
      </c>
      <c r="J437" s="86">
        <f t="shared" si="191"/>
        <v>0</v>
      </c>
      <c r="K437" s="86">
        <f t="shared" si="191"/>
        <v>0</v>
      </c>
      <c r="M437" s="586"/>
      <c r="N437" s="164"/>
      <c r="O437" s="164"/>
      <c r="P437" s="164"/>
      <c r="Q437" s="164"/>
      <c r="R437" s="164"/>
      <c r="S437" s="164"/>
      <c r="T437" s="164"/>
      <c r="V437" s="98"/>
      <c r="W437" s="98"/>
      <c r="X437" s="98"/>
      <c r="Y437" s="669"/>
      <c r="Z437" s="669"/>
      <c r="AA437" s="669"/>
      <c r="AB437" s="669"/>
      <c r="AC437" s="669"/>
      <c r="AD437" s="669"/>
      <c r="AE437" s="669"/>
      <c r="AF437" s="669"/>
      <c r="AG437" s="669"/>
      <c r="AH437" s="669"/>
      <c r="AI437" s="669"/>
      <c r="AJ437" s="669"/>
      <c r="AK437" s="669"/>
      <c r="AL437" s="669"/>
      <c r="AM437" s="669"/>
      <c r="AN437" s="669"/>
      <c r="AO437" s="669"/>
      <c r="AP437" s="669"/>
      <c r="AQ437" s="669"/>
      <c r="AR437" s="669"/>
      <c r="AS437" s="669"/>
      <c r="AT437" s="669"/>
      <c r="AU437" s="669"/>
    </row>
    <row r="438" spans="1:47" outlineLevel="2" x14ac:dyDescent="0.2">
      <c r="A438" s="586"/>
      <c r="B438" s="352">
        <v>5</v>
      </c>
      <c r="C438" s="352">
        <v>6</v>
      </c>
      <c r="D438" s="586"/>
      <c r="E438" s="696" t="s">
        <v>146</v>
      </c>
      <c r="F438" s="86" t="str">
        <f t="shared" ref="F438:K441" si="192">IF(INDEX(MBSItemsDec,$C$425,1)&lt;&gt;"",F$437*INDEX(MBSItemsDec,$C$425,$B438)*INDEX(MBSItemsDec,$C$425,$C438),"")</f>
        <v/>
      </c>
      <c r="G438" s="86" t="str">
        <f t="shared" si="192"/>
        <v/>
      </c>
      <c r="H438" s="86" t="str">
        <f t="shared" si="192"/>
        <v/>
      </c>
      <c r="I438" s="86" t="str">
        <f t="shared" si="192"/>
        <v/>
      </c>
      <c r="J438" s="86" t="str">
        <f t="shared" si="192"/>
        <v/>
      </c>
      <c r="K438" s="86" t="str">
        <f t="shared" si="192"/>
        <v/>
      </c>
      <c r="M438" s="586"/>
      <c r="N438" s="164"/>
      <c r="O438" s="164"/>
      <c r="P438" s="164"/>
      <c r="Q438" s="164"/>
      <c r="R438" s="164"/>
      <c r="S438" s="164"/>
      <c r="T438" s="164"/>
      <c r="V438" s="98"/>
      <c r="W438" s="98"/>
      <c r="X438" s="98"/>
      <c r="Y438" s="669"/>
      <c r="Z438" s="669"/>
      <c r="AA438" s="669"/>
      <c r="AB438" s="669"/>
      <c r="AC438" s="669"/>
      <c r="AD438" s="669"/>
      <c r="AE438" s="669"/>
      <c r="AF438" s="669"/>
      <c r="AG438" s="669"/>
      <c r="AH438" s="669"/>
      <c r="AI438" s="669"/>
      <c r="AJ438" s="669"/>
      <c r="AK438" s="669"/>
      <c r="AL438" s="669"/>
      <c r="AM438" s="669"/>
      <c r="AN438" s="669"/>
      <c r="AO438" s="669"/>
      <c r="AP438" s="669"/>
      <c r="AQ438" s="669"/>
      <c r="AR438" s="669"/>
      <c r="AS438" s="669"/>
      <c r="AT438" s="669"/>
      <c r="AU438" s="669"/>
    </row>
    <row r="439" spans="1:47" outlineLevel="2" x14ac:dyDescent="0.2">
      <c r="A439" s="586"/>
      <c r="B439" s="352">
        <v>5</v>
      </c>
      <c r="C439" s="352">
        <v>7</v>
      </c>
      <c r="D439" s="586"/>
      <c r="E439" s="696" t="s">
        <v>147</v>
      </c>
      <c r="F439" s="86" t="str">
        <f t="shared" si="192"/>
        <v/>
      </c>
      <c r="G439" s="86" t="str">
        <f t="shared" si="192"/>
        <v/>
      </c>
      <c r="H439" s="86" t="str">
        <f t="shared" si="192"/>
        <v/>
      </c>
      <c r="I439" s="86" t="str">
        <f t="shared" si="192"/>
        <v/>
      </c>
      <c r="J439" s="86" t="str">
        <f t="shared" si="192"/>
        <v/>
      </c>
      <c r="K439" s="86" t="str">
        <f t="shared" si="192"/>
        <v/>
      </c>
      <c r="M439" s="586"/>
      <c r="N439" s="164"/>
      <c r="O439" s="164"/>
      <c r="P439" s="164"/>
      <c r="Q439" s="164"/>
      <c r="R439" s="164"/>
      <c r="S439" s="164"/>
      <c r="T439" s="164"/>
      <c r="V439" s="98"/>
      <c r="W439" s="98"/>
      <c r="X439" s="98"/>
      <c r="Y439" s="669"/>
      <c r="Z439" s="669"/>
      <c r="AA439" s="669"/>
      <c r="AB439" s="669"/>
      <c r="AC439" s="669"/>
      <c r="AD439" s="669"/>
      <c r="AE439" s="669"/>
      <c r="AF439" s="669"/>
      <c r="AG439" s="669"/>
      <c r="AH439" s="669"/>
      <c r="AI439" s="669"/>
      <c r="AJ439" s="669"/>
      <c r="AK439" s="669"/>
      <c r="AL439" s="669"/>
      <c r="AM439" s="669"/>
      <c r="AN439" s="669"/>
      <c r="AO439" s="669"/>
      <c r="AP439" s="669"/>
      <c r="AQ439" s="669"/>
      <c r="AR439" s="669"/>
      <c r="AS439" s="669"/>
      <c r="AT439" s="669"/>
      <c r="AU439" s="669"/>
    </row>
    <row r="440" spans="1:47" outlineLevel="2" x14ac:dyDescent="0.2">
      <c r="A440" s="586"/>
      <c r="B440" s="352">
        <v>4</v>
      </c>
      <c r="C440" s="352">
        <v>6</v>
      </c>
      <c r="D440" s="586"/>
      <c r="E440" s="696" t="s">
        <v>148</v>
      </c>
      <c r="F440" s="86" t="str">
        <f t="shared" si="192"/>
        <v/>
      </c>
      <c r="G440" s="86" t="str">
        <f t="shared" si="192"/>
        <v/>
      </c>
      <c r="H440" s="86" t="str">
        <f t="shared" si="192"/>
        <v/>
      </c>
      <c r="I440" s="86" t="str">
        <f t="shared" si="192"/>
        <v/>
      </c>
      <c r="J440" s="86" t="str">
        <f t="shared" si="192"/>
        <v/>
      </c>
      <c r="K440" s="86" t="str">
        <f t="shared" si="192"/>
        <v/>
      </c>
      <c r="M440" s="586"/>
      <c r="N440" s="164"/>
      <c r="O440" s="164"/>
      <c r="P440" s="164"/>
      <c r="Q440" s="164"/>
      <c r="R440" s="164"/>
      <c r="S440" s="164"/>
      <c r="T440" s="164"/>
      <c r="V440" s="98"/>
      <c r="W440" s="98"/>
      <c r="X440" s="98"/>
      <c r="Y440" s="669"/>
      <c r="Z440" s="669"/>
      <c r="AA440" s="669"/>
      <c r="AB440" s="669"/>
      <c r="AC440" s="669"/>
      <c r="AD440" s="669"/>
      <c r="AE440" s="669"/>
      <c r="AF440" s="669"/>
      <c r="AG440" s="669"/>
      <c r="AH440" s="669"/>
      <c r="AI440" s="669"/>
      <c r="AJ440" s="669"/>
      <c r="AK440" s="669"/>
      <c r="AL440" s="669"/>
      <c r="AM440" s="669"/>
      <c r="AN440" s="669"/>
      <c r="AO440" s="669"/>
      <c r="AP440" s="669"/>
      <c r="AQ440" s="669"/>
      <c r="AR440" s="669"/>
      <c r="AS440" s="669"/>
      <c r="AT440" s="669"/>
      <c r="AU440" s="669"/>
    </row>
    <row r="441" spans="1:47" outlineLevel="2" x14ac:dyDescent="0.2">
      <c r="A441" s="586"/>
      <c r="B441" s="352">
        <v>4</v>
      </c>
      <c r="C441" s="352">
        <v>7</v>
      </c>
      <c r="D441" s="586"/>
      <c r="E441" s="698" t="s">
        <v>149</v>
      </c>
      <c r="F441" s="86" t="str">
        <f t="shared" si="192"/>
        <v/>
      </c>
      <c r="G441" s="86" t="str">
        <f t="shared" si="192"/>
        <v/>
      </c>
      <c r="H441" s="86" t="str">
        <f t="shared" si="192"/>
        <v/>
      </c>
      <c r="I441" s="86" t="str">
        <f t="shared" si="192"/>
        <v/>
      </c>
      <c r="J441" s="86" t="str">
        <f t="shared" si="192"/>
        <v/>
      </c>
      <c r="K441" s="86" t="str">
        <f t="shared" si="192"/>
        <v/>
      </c>
      <c r="M441" s="586"/>
      <c r="N441" s="164"/>
      <c r="O441" s="164"/>
      <c r="P441" s="164"/>
      <c r="Q441" s="164"/>
      <c r="R441" s="164"/>
      <c r="S441" s="164"/>
      <c r="T441" s="164"/>
      <c r="V441" s="98"/>
      <c r="W441" s="98"/>
      <c r="X441" s="98"/>
      <c r="Y441" s="669"/>
      <c r="Z441" s="669"/>
      <c r="AA441" s="669"/>
      <c r="AB441" s="669"/>
      <c r="AC441" s="669"/>
      <c r="AD441" s="669"/>
      <c r="AE441" s="669"/>
      <c r="AF441" s="669"/>
      <c r="AG441" s="669"/>
      <c r="AH441" s="669"/>
      <c r="AI441" s="669"/>
      <c r="AJ441" s="669"/>
      <c r="AK441" s="669"/>
      <c r="AL441" s="669"/>
      <c r="AM441" s="669"/>
      <c r="AN441" s="669"/>
      <c r="AO441" s="669"/>
      <c r="AP441" s="669"/>
      <c r="AQ441" s="669"/>
      <c r="AR441" s="669"/>
      <c r="AS441" s="669"/>
      <c r="AT441" s="669"/>
      <c r="AU441" s="669"/>
    </row>
    <row r="442" spans="1:47" outlineLevel="1" x14ac:dyDescent="0.2">
      <c r="A442" s="586"/>
      <c r="B442" s="586"/>
      <c r="C442" s="586"/>
      <c r="D442" s="586"/>
      <c r="E442" s="586"/>
      <c r="F442" s="586"/>
      <c r="G442" s="586"/>
      <c r="H442" s="586"/>
      <c r="I442" s="586"/>
      <c r="J442" s="586"/>
      <c r="K442" s="586"/>
      <c r="L442" s="586"/>
      <c r="M442" s="586"/>
      <c r="N442" s="164"/>
      <c r="O442" s="164"/>
      <c r="P442" s="164"/>
      <c r="Q442" s="164"/>
      <c r="R442" s="164"/>
      <c r="S442" s="164"/>
      <c r="T442" s="164"/>
      <c r="V442" s="98"/>
      <c r="W442" s="98"/>
      <c r="X442" s="98"/>
      <c r="Y442" s="669"/>
      <c r="Z442" s="669"/>
      <c r="AA442" s="669"/>
      <c r="AB442" s="669"/>
      <c r="AC442" s="669"/>
      <c r="AD442" s="669"/>
      <c r="AE442" s="669"/>
      <c r="AF442" s="669"/>
      <c r="AG442" s="669"/>
      <c r="AH442" s="669"/>
      <c r="AI442" s="669"/>
      <c r="AJ442" s="669"/>
      <c r="AK442" s="669"/>
      <c r="AL442" s="669"/>
      <c r="AM442" s="669"/>
      <c r="AN442" s="669"/>
      <c r="AO442" s="669"/>
      <c r="AP442" s="669"/>
      <c r="AQ442" s="669"/>
      <c r="AR442" s="669"/>
      <c r="AS442" s="669"/>
      <c r="AT442" s="669"/>
      <c r="AU442" s="669"/>
    </row>
    <row r="443" spans="1:47" ht="15.75" outlineLevel="1" x14ac:dyDescent="0.2">
      <c r="A443" s="586"/>
      <c r="B443" s="586"/>
      <c r="C443" s="352">
        <v>10</v>
      </c>
      <c r="D443" s="110" t="str">
        <f>INDEX(MBSNamesChange,C443)</f>
        <v>** NOT USED **</v>
      </c>
      <c r="E443" s="110"/>
      <c r="F443" s="154"/>
      <c r="G443" s="154"/>
      <c r="H443" s="154"/>
      <c r="I443" s="154"/>
      <c r="J443" s="782" t="str">
        <f>IF(D443&lt;&gt;MsgNotUsed,"Co-payment group " &amp; K262,"")</f>
        <v/>
      </c>
      <c r="K443" s="782"/>
      <c r="L443" s="154"/>
      <c r="M443" s="154"/>
      <c r="N443" s="154"/>
      <c r="O443" s="154"/>
      <c r="P443" s="154"/>
      <c r="Q443" s="154"/>
      <c r="R443" s="154"/>
      <c r="S443" s="154"/>
      <c r="T443" s="154"/>
      <c r="V443" s="98"/>
      <c r="W443" s="98"/>
      <c r="X443" s="98"/>
      <c r="Y443" s="669"/>
      <c r="Z443" s="669"/>
      <c r="AA443" s="669"/>
      <c r="AB443" s="669"/>
      <c r="AC443" s="669"/>
      <c r="AD443" s="669"/>
      <c r="AE443" s="669"/>
      <c r="AF443" s="669"/>
      <c r="AG443" s="669"/>
      <c r="AH443" s="669"/>
      <c r="AI443" s="669"/>
      <c r="AJ443" s="669"/>
      <c r="AK443" s="669"/>
      <c r="AL443" s="669"/>
      <c r="AM443" s="669"/>
      <c r="AN443" s="669"/>
      <c r="AO443" s="669"/>
      <c r="AP443" s="669"/>
      <c r="AQ443" s="669"/>
      <c r="AR443" s="669"/>
      <c r="AS443" s="669"/>
      <c r="AT443" s="669"/>
      <c r="AU443" s="669"/>
    </row>
    <row r="444" spans="1:47" outlineLevel="2" x14ac:dyDescent="0.2">
      <c r="A444" s="586"/>
      <c r="B444" s="586"/>
      <c r="C444" s="586"/>
      <c r="D444" s="674"/>
      <c r="E444" s="674"/>
      <c r="F444" s="691">
        <v>2</v>
      </c>
      <c r="G444" s="691">
        <v>3</v>
      </c>
      <c r="H444" s="691">
        <v>4</v>
      </c>
      <c r="I444" s="691">
        <v>5</v>
      </c>
      <c r="J444" s="691">
        <v>6</v>
      </c>
      <c r="K444" s="691">
        <v>7</v>
      </c>
      <c r="L444" s="691"/>
      <c r="M444" s="674"/>
      <c r="N444" s="674"/>
      <c r="O444" s="715"/>
      <c r="P444" s="674"/>
      <c r="Q444" s="674"/>
      <c r="R444" s="674"/>
      <c r="S444" s="674"/>
      <c r="T444" s="674"/>
      <c r="V444" s="98"/>
      <c r="W444" s="98"/>
      <c r="X444" s="98"/>
      <c r="Y444" s="669"/>
      <c r="Z444" s="669"/>
      <c r="AA444" s="669"/>
      <c r="AB444" s="669"/>
      <c r="AC444" s="669"/>
      <c r="AD444" s="669"/>
      <c r="AE444" s="669"/>
      <c r="AF444" s="669"/>
      <c r="AG444" s="669"/>
      <c r="AH444" s="669"/>
      <c r="AI444" s="669"/>
      <c r="AJ444" s="669"/>
      <c r="AK444" s="669"/>
      <c r="AL444" s="669"/>
      <c r="AM444" s="669"/>
      <c r="AN444" s="669"/>
      <c r="AO444" s="669"/>
      <c r="AP444" s="669"/>
      <c r="AQ444" s="669"/>
      <c r="AR444" s="669"/>
      <c r="AS444" s="669"/>
      <c r="AT444" s="669"/>
      <c r="AU444" s="669"/>
    </row>
    <row r="445" spans="1:47" ht="15" outlineLevel="2" x14ac:dyDescent="0.2">
      <c r="A445" s="586"/>
      <c r="B445" s="586"/>
      <c r="C445" s="586"/>
      <c r="D445" s="681" t="s">
        <v>0</v>
      </c>
      <c r="E445" s="681"/>
      <c r="F445" s="671">
        <f>FirstYear</f>
        <v>0</v>
      </c>
      <c r="G445" s="671">
        <f>F445+1</f>
        <v>1</v>
      </c>
      <c r="H445" s="671">
        <f>G445+1</f>
        <v>2</v>
      </c>
      <c r="I445" s="671">
        <f>H445+1</f>
        <v>3</v>
      </c>
      <c r="J445" s="671">
        <f>I445+1</f>
        <v>4</v>
      </c>
      <c r="K445" s="671">
        <f>J445+1</f>
        <v>5</v>
      </c>
      <c r="M445" s="149"/>
      <c r="N445" s="692"/>
      <c r="O445" s="692"/>
      <c r="P445" s="692"/>
      <c r="Q445" s="99"/>
      <c r="R445" s="99"/>
      <c r="S445" s="99"/>
      <c r="T445" s="99"/>
      <c r="V445" s="99"/>
      <c r="W445" s="99"/>
      <c r="X445" s="99"/>
      <c r="Y445" s="669"/>
      <c r="Z445" s="669"/>
      <c r="AA445" s="669"/>
      <c r="AB445" s="669"/>
      <c r="AC445" s="669"/>
      <c r="AD445" s="669"/>
      <c r="AE445" s="669"/>
      <c r="AF445" s="669"/>
      <c r="AG445" s="669"/>
      <c r="AH445" s="669"/>
      <c r="AI445" s="669"/>
      <c r="AJ445" s="669"/>
      <c r="AK445" s="669"/>
      <c r="AL445" s="669"/>
      <c r="AM445" s="669"/>
      <c r="AN445" s="669"/>
      <c r="AO445" s="669"/>
      <c r="AP445" s="669"/>
      <c r="AQ445" s="669"/>
      <c r="AR445" s="669"/>
      <c r="AS445" s="669"/>
      <c r="AT445" s="669"/>
      <c r="AU445" s="669"/>
    </row>
    <row r="446" spans="1:47" outlineLevel="2" x14ac:dyDescent="0.2">
      <c r="A446" s="586"/>
      <c r="B446" s="586"/>
      <c r="C446" s="586"/>
      <c r="D446" s="586"/>
      <c r="E446" s="590" t="s">
        <v>269</v>
      </c>
      <c r="F446" s="397">
        <f t="shared" ref="F446:K446" si="193">F447*$P262</f>
        <v>0</v>
      </c>
      <c r="G446" s="397">
        <f t="shared" si="193"/>
        <v>0</v>
      </c>
      <c r="H446" s="397">
        <f t="shared" si="193"/>
        <v>0</v>
      </c>
      <c r="I446" s="397">
        <f t="shared" si="193"/>
        <v>0</v>
      </c>
      <c r="J446" s="397">
        <f t="shared" si="193"/>
        <v>0</v>
      </c>
      <c r="K446" s="397">
        <f t="shared" si="193"/>
        <v>0</v>
      </c>
      <c r="M446" s="149"/>
      <c r="N446" s="692"/>
      <c r="O446" s="692"/>
      <c r="P446" s="692"/>
      <c r="Q446" s="99"/>
      <c r="R446" s="99"/>
      <c r="S446" s="99"/>
      <c r="T446" s="99"/>
      <c r="V446" s="97">
        <f>FirstYear</f>
        <v>0</v>
      </c>
      <c r="W446" s="96">
        <f>IF(F447&lt;&gt;0,F447-F450,0)</f>
        <v>0</v>
      </c>
      <c r="X446" s="99"/>
      <c r="Y446" s="669"/>
      <c r="Z446" s="669"/>
      <c r="AA446" s="669"/>
      <c r="AB446" s="669"/>
      <c r="AC446" s="669"/>
      <c r="AD446" s="669"/>
      <c r="AE446" s="669"/>
      <c r="AF446" s="669"/>
      <c r="AG446" s="669"/>
      <c r="AH446" s="669"/>
      <c r="AI446" s="669"/>
      <c r="AJ446" s="669"/>
      <c r="AK446" s="669"/>
      <c r="AL446" s="669"/>
      <c r="AM446" s="669"/>
      <c r="AN446" s="669"/>
      <c r="AO446" s="669"/>
      <c r="AP446" s="669"/>
      <c r="AQ446" s="669"/>
      <c r="AR446" s="669"/>
      <c r="AS446" s="669"/>
      <c r="AT446" s="669"/>
      <c r="AU446" s="669"/>
    </row>
    <row r="447" spans="1:47" ht="14.25" outlineLevel="2" x14ac:dyDescent="0.2">
      <c r="A447" s="586"/>
      <c r="B447" s="586"/>
      <c r="C447" s="352" t="str">
        <f>W277</f>
        <v/>
      </c>
      <c r="D447" s="586"/>
      <c r="E447" s="85" t="s">
        <v>80</v>
      </c>
      <c r="F447" s="86">
        <f t="shared" ref="F447:K447" si="194">IF($W$262=2,$N$262*IF($C447&lt;&gt;"",INDEX(PBSScriptsChanged,$C447,F444),0),IF($Y262&lt;&gt;0,$M$262*INDEX(MBSPBSDec,$C443,($Y262-1)*7+F444),0))*$V$262</f>
        <v>0</v>
      </c>
      <c r="G447" s="86">
        <f t="shared" si="194"/>
        <v>0</v>
      </c>
      <c r="H447" s="86">
        <f t="shared" si="194"/>
        <v>0</v>
      </c>
      <c r="I447" s="86">
        <f t="shared" si="194"/>
        <v>0</v>
      </c>
      <c r="J447" s="86">
        <f t="shared" si="194"/>
        <v>0</v>
      </c>
      <c r="K447" s="86">
        <f t="shared" si="194"/>
        <v>0</v>
      </c>
      <c r="M447" s="701"/>
      <c r="N447" s="684"/>
      <c r="O447" s="684"/>
      <c r="P447" s="684"/>
      <c r="Q447" s="694"/>
      <c r="R447" s="694"/>
      <c r="S447" s="694"/>
      <c r="T447" s="694"/>
      <c r="V447" s="97">
        <f>V446+1</f>
        <v>1</v>
      </c>
      <c r="W447" s="96">
        <f>IF(G447&lt;&gt;0,G447-G450,0)</f>
        <v>0</v>
      </c>
      <c r="X447" s="695"/>
      <c r="Y447" s="669"/>
      <c r="Z447" s="669"/>
      <c r="AA447" s="669"/>
      <c r="AB447" s="669"/>
      <c r="AC447" s="669"/>
      <c r="AD447" s="669"/>
      <c r="AE447" s="669"/>
      <c r="AF447" s="669"/>
      <c r="AG447" s="669"/>
      <c r="AH447" s="669"/>
      <c r="AI447" s="669"/>
      <c r="AJ447" s="669"/>
      <c r="AK447" s="669"/>
      <c r="AL447" s="669"/>
      <c r="AM447" s="669"/>
      <c r="AN447" s="669"/>
      <c r="AO447" s="669"/>
      <c r="AP447" s="669"/>
      <c r="AQ447" s="669"/>
      <c r="AR447" s="669"/>
      <c r="AS447" s="669"/>
      <c r="AT447" s="669"/>
      <c r="AU447" s="669"/>
    </row>
    <row r="448" spans="1:47" outlineLevel="2" x14ac:dyDescent="0.2">
      <c r="A448" s="586"/>
      <c r="B448" s="352">
        <v>5</v>
      </c>
      <c r="C448" s="352">
        <v>6</v>
      </c>
      <c r="D448" s="586"/>
      <c r="E448" s="696" t="s">
        <v>146</v>
      </c>
      <c r="F448" s="86" t="str">
        <f t="shared" ref="F448:K451" si="195">IF(INDEX(MBSItemsDec,$C$443,1)&lt;&gt;"",F$447*INDEX(MBSItemsDec,$C$443,$B448)*INDEX(MBSItemsDec,$C$443,$C448),"")</f>
        <v/>
      </c>
      <c r="G448" s="86" t="str">
        <f t="shared" si="195"/>
        <v/>
      </c>
      <c r="H448" s="86" t="str">
        <f t="shared" si="195"/>
        <v/>
      </c>
      <c r="I448" s="86" t="str">
        <f t="shared" si="195"/>
        <v/>
      </c>
      <c r="J448" s="86" t="str">
        <f t="shared" si="195"/>
        <v/>
      </c>
      <c r="K448" s="86" t="str">
        <f t="shared" si="195"/>
        <v/>
      </c>
      <c r="M448" s="149"/>
      <c r="N448" s="697"/>
      <c r="O448" s="697"/>
      <c r="P448" s="697"/>
      <c r="Q448" s="694"/>
      <c r="R448" s="694"/>
      <c r="S448" s="694"/>
      <c r="T448" s="694"/>
      <c r="V448" s="97">
        <f>V447+1</f>
        <v>2</v>
      </c>
      <c r="W448" s="96">
        <f>IF(H447&lt;&gt;0,H447-H450,0)</f>
        <v>0</v>
      </c>
      <c r="X448" s="695"/>
      <c r="Y448" s="669"/>
      <c r="Z448" s="669"/>
      <c r="AA448" s="669"/>
      <c r="AB448" s="669"/>
      <c r="AC448" s="669"/>
      <c r="AD448" s="669"/>
      <c r="AE448" s="669"/>
      <c r="AF448" s="669"/>
      <c r="AG448" s="669"/>
      <c r="AH448" s="669"/>
      <c r="AI448" s="669"/>
      <c r="AJ448" s="669"/>
      <c r="AK448" s="669"/>
      <c r="AL448" s="669"/>
      <c r="AM448" s="669"/>
      <c r="AN448" s="669"/>
      <c r="AO448" s="669"/>
      <c r="AP448" s="669"/>
      <c r="AQ448" s="669"/>
      <c r="AR448" s="669"/>
      <c r="AS448" s="669"/>
      <c r="AT448" s="669"/>
      <c r="AU448" s="669"/>
    </row>
    <row r="449" spans="1:47" outlineLevel="2" x14ac:dyDescent="0.2">
      <c r="A449" s="586"/>
      <c r="B449" s="352">
        <v>5</v>
      </c>
      <c r="C449" s="352">
        <v>7</v>
      </c>
      <c r="D449" s="586"/>
      <c r="E449" s="696" t="s">
        <v>147</v>
      </c>
      <c r="F449" s="86" t="str">
        <f t="shared" si="195"/>
        <v/>
      </c>
      <c r="G449" s="86" t="str">
        <f t="shared" si="195"/>
        <v/>
      </c>
      <c r="H449" s="86" t="str">
        <f t="shared" si="195"/>
        <v/>
      </c>
      <c r="I449" s="86" t="str">
        <f t="shared" si="195"/>
        <v/>
      </c>
      <c r="J449" s="86" t="str">
        <f t="shared" si="195"/>
        <v/>
      </c>
      <c r="K449" s="86" t="str">
        <f t="shared" si="195"/>
        <v/>
      </c>
      <c r="M449" s="149"/>
      <c r="N449" s="697"/>
      <c r="O449" s="697"/>
      <c r="P449" s="697"/>
      <c r="Q449" s="694"/>
      <c r="R449" s="694"/>
      <c r="S449" s="694"/>
      <c r="T449" s="694"/>
      <c r="V449" s="97">
        <f>V448+1</f>
        <v>3</v>
      </c>
      <c r="W449" s="96">
        <f>IF(I447&lt;&gt;0,I447-I450,0)</f>
        <v>0</v>
      </c>
      <c r="X449" s="695"/>
      <c r="Y449" s="669"/>
      <c r="Z449" s="669"/>
      <c r="AA449" s="669"/>
      <c r="AB449" s="669"/>
      <c r="AC449" s="669"/>
      <c r="AD449" s="669"/>
      <c r="AE449" s="669"/>
      <c r="AF449" s="669"/>
      <c r="AG449" s="669"/>
      <c r="AH449" s="669"/>
      <c r="AI449" s="669"/>
      <c r="AJ449" s="669"/>
      <c r="AK449" s="669"/>
      <c r="AL449" s="669"/>
      <c r="AM449" s="669"/>
      <c r="AN449" s="669"/>
      <c r="AO449" s="669"/>
      <c r="AP449" s="669"/>
      <c r="AQ449" s="669"/>
      <c r="AR449" s="669"/>
      <c r="AS449" s="669"/>
      <c r="AT449" s="669"/>
      <c r="AU449" s="669"/>
    </row>
    <row r="450" spans="1:47" outlineLevel="2" x14ac:dyDescent="0.2">
      <c r="A450" s="586"/>
      <c r="B450" s="352">
        <v>4</v>
      </c>
      <c r="C450" s="352">
        <v>6</v>
      </c>
      <c r="D450" s="586"/>
      <c r="E450" s="696" t="s">
        <v>148</v>
      </c>
      <c r="F450" s="86" t="str">
        <f t="shared" si="195"/>
        <v/>
      </c>
      <c r="G450" s="86" t="str">
        <f t="shared" si="195"/>
        <v/>
      </c>
      <c r="H450" s="86" t="str">
        <f t="shared" si="195"/>
        <v/>
      </c>
      <c r="I450" s="86" t="str">
        <f t="shared" si="195"/>
        <v/>
      </c>
      <c r="J450" s="86" t="str">
        <f t="shared" si="195"/>
        <v/>
      </c>
      <c r="K450" s="86" t="str">
        <f t="shared" si="195"/>
        <v/>
      </c>
      <c r="M450" s="149"/>
      <c r="N450" s="697"/>
      <c r="O450" s="697"/>
      <c r="P450" s="697"/>
      <c r="Q450" s="694"/>
      <c r="R450" s="694"/>
      <c r="S450" s="694"/>
      <c r="T450" s="694"/>
      <c r="V450" s="97">
        <f>V449+1</f>
        <v>4</v>
      </c>
      <c r="W450" s="96">
        <f>IF(J447&lt;&gt;0,J447-J450,0)</f>
        <v>0</v>
      </c>
      <c r="X450" s="695"/>
      <c r="Y450" s="669"/>
      <c r="Z450" s="669"/>
      <c r="AA450" s="669"/>
      <c r="AB450" s="669"/>
      <c r="AC450" s="669"/>
      <c r="AD450" s="669"/>
      <c r="AE450" s="669"/>
      <c r="AF450" s="669"/>
      <c r="AG450" s="669"/>
      <c r="AH450" s="669"/>
      <c r="AI450" s="669"/>
      <c r="AJ450" s="669"/>
      <c r="AK450" s="669"/>
      <c r="AL450" s="669"/>
      <c r="AM450" s="669"/>
      <c r="AN450" s="669"/>
      <c r="AO450" s="669"/>
      <c r="AP450" s="669"/>
      <c r="AQ450" s="669"/>
      <c r="AR450" s="669"/>
      <c r="AS450" s="669"/>
      <c r="AT450" s="669"/>
      <c r="AU450" s="669"/>
    </row>
    <row r="451" spans="1:47" ht="12.75" customHeight="1" outlineLevel="2" x14ac:dyDescent="0.2">
      <c r="A451" s="586"/>
      <c r="B451" s="352">
        <v>4</v>
      </c>
      <c r="C451" s="352">
        <v>7</v>
      </c>
      <c r="D451" s="586"/>
      <c r="E451" s="698" t="s">
        <v>149</v>
      </c>
      <c r="F451" s="86" t="str">
        <f t="shared" si="195"/>
        <v/>
      </c>
      <c r="G451" s="86" t="str">
        <f t="shared" si="195"/>
        <v/>
      </c>
      <c r="H451" s="86" t="str">
        <f t="shared" si="195"/>
        <v/>
      </c>
      <c r="I451" s="86" t="str">
        <f t="shared" si="195"/>
        <v/>
      </c>
      <c r="J451" s="86" t="str">
        <f t="shared" si="195"/>
        <v/>
      </c>
      <c r="K451" s="86" t="str">
        <f t="shared" si="195"/>
        <v/>
      </c>
      <c r="M451" s="149"/>
      <c r="N451" s="697"/>
      <c r="O451" s="697"/>
      <c r="P451" s="697"/>
      <c r="Q451" s="694"/>
      <c r="R451" s="694"/>
      <c r="S451" s="694"/>
      <c r="T451" s="694"/>
      <c r="V451" s="97">
        <f>V450+1</f>
        <v>5</v>
      </c>
      <c r="W451" s="96">
        <f>IF(K447&lt;&gt;0,K447-K450,0)</f>
        <v>0</v>
      </c>
      <c r="X451" s="695"/>
      <c r="Y451" s="669"/>
      <c r="Z451" s="669"/>
      <c r="AA451" s="669"/>
      <c r="AB451" s="669"/>
      <c r="AC451" s="669"/>
      <c r="AD451" s="669"/>
      <c r="AE451" s="669"/>
      <c r="AF451" s="669"/>
      <c r="AG451" s="669"/>
      <c r="AH451" s="669"/>
      <c r="AI451" s="669"/>
      <c r="AJ451" s="669"/>
      <c r="AK451" s="669"/>
      <c r="AL451" s="669"/>
      <c r="AM451" s="669"/>
      <c r="AN451" s="669"/>
      <c r="AO451" s="669"/>
      <c r="AP451" s="669"/>
      <c r="AQ451" s="669"/>
      <c r="AR451" s="669"/>
      <c r="AS451" s="669"/>
      <c r="AT451" s="669"/>
      <c r="AU451" s="669"/>
    </row>
    <row r="452" spans="1:47" outlineLevel="2" x14ac:dyDescent="0.2">
      <c r="A452" s="586"/>
      <c r="B452" s="586"/>
      <c r="C452" s="586"/>
      <c r="D452" s="586"/>
      <c r="E452" s="586"/>
      <c r="F452" s="586"/>
      <c r="G452" s="586"/>
      <c r="H452" s="586"/>
      <c r="I452" s="586"/>
      <c r="J452" s="586"/>
      <c r="K452" s="586"/>
      <c r="M452" s="586"/>
      <c r="N452" s="164"/>
      <c r="O452" s="164"/>
      <c r="P452" s="164"/>
      <c r="Q452" s="164"/>
      <c r="R452" s="164"/>
      <c r="S452" s="164"/>
      <c r="T452" s="164"/>
      <c r="V452" s="98"/>
      <c r="W452" s="98"/>
      <c r="X452" s="98"/>
      <c r="Y452" s="669"/>
      <c r="Z452" s="669"/>
      <c r="AA452" s="669"/>
      <c r="AB452" s="669"/>
      <c r="AC452" s="669"/>
      <c r="AD452" s="669"/>
      <c r="AE452" s="669"/>
      <c r="AF452" s="669"/>
      <c r="AG452" s="669"/>
      <c r="AH452" s="669"/>
      <c r="AI452" s="669"/>
      <c r="AJ452" s="669"/>
      <c r="AK452" s="669"/>
      <c r="AL452" s="669"/>
      <c r="AM452" s="669"/>
      <c r="AN452" s="669"/>
      <c r="AO452" s="669"/>
      <c r="AP452" s="669"/>
      <c r="AQ452" s="669"/>
      <c r="AR452" s="669"/>
      <c r="AS452" s="669"/>
      <c r="AT452" s="669"/>
      <c r="AU452" s="669"/>
    </row>
    <row r="453" spans="1:47" ht="15" outlineLevel="2" x14ac:dyDescent="0.2">
      <c r="A453" s="586"/>
      <c r="B453" s="586"/>
      <c r="C453" s="586"/>
      <c r="D453" s="681" t="s">
        <v>1</v>
      </c>
      <c r="E453" s="681"/>
      <c r="F453" s="671">
        <f>FirstYear</f>
        <v>0</v>
      </c>
      <c r="G453" s="671">
        <f>F453+1</f>
        <v>1</v>
      </c>
      <c r="H453" s="671">
        <f>G453+1</f>
        <v>2</v>
      </c>
      <c r="I453" s="671">
        <f>H453+1</f>
        <v>3</v>
      </c>
      <c r="J453" s="671">
        <f>I453+1</f>
        <v>4</v>
      </c>
      <c r="K453" s="671">
        <f>J453+1</f>
        <v>5</v>
      </c>
      <c r="M453" s="586"/>
      <c r="N453" s="164"/>
      <c r="O453" s="164"/>
      <c r="P453" s="164"/>
      <c r="Q453" s="164"/>
      <c r="R453" s="164"/>
      <c r="S453" s="164"/>
      <c r="T453" s="164"/>
      <c r="V453" s="98"/>
      <c r="W453" s="98"/>
      <c r="X453" s="98"/>
      <c r="Y453" s="669"/>
      <c r="Z453" s="669"/>
      <c r="AA453" s="669"/>
      <c r="AB453" s="669"/>
      <c r="AC453" s="669"/>
      <c r="AD453" s="669"/>
      <c r="AE453" s="669"/>
      <c r="AF453" s="669"/>
      <c r="AG453" s="669"/>
      <c r="AH453" s="669"/>
      <c r="AI453" s="669"/>
      <c r="AJ453" s="669"/>
      <c r="AK453" s="669"/>
      <c r="AL453" s="669"/>
      <c r="AM453" s="669"/>
      <c r="AN453" s="669"/>
      <c r="AO453" s="669"/>
      <c r="AP453" s="669"/>
      <c r="AQ453" s="669"/>
      <c r="AR453" s="669"/>
      <c r="AS453" s="669"/>
      <c r="AT453" s="669"/>
      <c r="AU453" s="669"/>
    </row>
    <row r="454" spans="1:47" outlineLevel="2" x14ac:dyDescent="0.2">
      <c r="A454" s="586"/>
      <c r="B454" s="586"/>
      <c r="C454" s="586"/>
      <c r="D454" s="586"/>
      <c r="E454" s="590" t="s">
        <v>269</v>
      </c>
      <c r="F454" s="397">
        <f t="shared" ref="F454:K454" si="196">F455*$P262</f>
        <v>0</v>
      </c>
      <c r="G454" s="397">
        <f t="shared" si="196"/>
        <v>0</v>
      </c>
      <c r="H454" s="397">
        <f t="shared" si="196"/>
        <v>0</v>
      </c>
      <c r="I454" s="397">
        <f t="shared" si="196"/>
        <v>0</v>
      </c>
      <c r="J454" s="397">
        <f t="shared" si="196"/>
        <v>0</v>
      </c>
      <c r="K454" s="397">
        <f t="shared" si="196"/>
        <v>0</v>
      </c>
      <c r="M454" s="586"/>
      <c r="N454" s="164"/>
      <c r="O454" s="164"/>
      <c r="P454" s="164"/>
      <c r="Q454" s="164"/>
      <c r="R454" s="164"/>
      <c r="S454" s="164"/>
      <c r="T454" s="164"/>
      <c r="V454" s="98"/>
      <c r="W454" s="98"/>
      <c r="X454" s="98"/>
      <c r="Y454" s="669"/>
      <c r="Z454" s="669"/>
      <c r="AA454" s="669"/>
      <c r="AB454" s="669"/>
      <c r="AC454" s="669"/>
      <c r="AD454" s="669"/>
      <c r="AE454" s="669"/>
      <c r="AF454" s="669"/>
      <c r="AG454" s="669"/>
      <c r="AH454" s="669"/>
      <c r="AI454" s="669"/>
      <c r="AJ454" s="669"/>
      <c r="AK454" s="669"/>
      <c r="AL454" s="669"/>
      <c r="AM454" s="669"/>
      <c r="AN454" s="669"/>
      <c r="AO454" s="669"/>
      <c r="AP454" s="669"/>
      <c r="AQ454" s="669"/>
      <c r="AR454" s="669"/>
      <c r="AS454" s="669"/>
      <c r="AT454" s="669"/>
      <c r="AU454" s="669"/>
    </row>
    <row r="455" spans="1:47" outlineLevel="2" x14ac:dyDescent="0.2">
      <c r="A455" s="586"/>
      <c r="B455" s="586"/>
      <c r="C455" s="352" t="str">
        <f>W277</f>
        <v/>
      </c>
      <c r="D455" s="586"/>
      <c r="E455" s="85" t="s">
        <v>80</v>
      </c>
      <c r="F455" s="86">
        <f t="shared" ref="F455:K455" si="197">IF($W$262=2,$N$262*IF($C455&lt;&gt;"",INDEX(RPBSScriptsChanged,$C455,F444),0),IF($Y262&lt;&gt;0,$M$262*INDEX(MBSRPBSDec,$C443,($Y262-1)*7+F444),0))*$V$262</f>
        <v>0</v>
      </c>
      <c r="G455" s="86">
        <f t="shared" si="197"/>
        <v>0</v>
      </c>
      <c r="H455" s="86">
        <f t="shared" si="197"/>
        <v>0</v>
      </c>
      <c r="I455" s="86">
        <f t="shared" si="197"/>
        <v>0</v>
      </c>
      <c r="J455" s="86">
        <f t="shared" si="197"/>
        <v>0</v>
      </c>
      <c r="K455" s="86">
        <f t="shared" si="197"/>
        <v>0</v>
      </c>
      <c r="M455" s="586"/>
      <c r="N455" s="164"/>
      <c r="O455" s="164"/>
      <c r="P455" s="164"/>
      <c r="Q455" s="164"/>
      <c r="R455" s="164"/>
      <c r="S455" s="164"/>
      <c r="T455" s="164"/>
      <c r="V455" s="98"/>
      <c r="W455" s="98"/>
      <c r="X455" s="98"/>
      <c r="Y455" s="669"/>
      <c r="Z455" s="669"/>
      <c r="AA455" s="669"/>
      <c r="AB455" s="669"/>
      <c r="AC455" s="669"/>
      <c r="AD455" s="669"/>
      <c r="AE455" s="669"/>
      <c r="AF455" s="669"/>
      <c r="AG455" s="669"/>
      <c r="AH455" s="669"/>
      <c r="AI455" s="669"/>
      <c r="AJ455" s="669"/>
      <c r="AK455" s="669"/>
      <c r="AL455" s="669"/>
      <c r="AM455" s="669"/>
      <c r="AN455" s="669"/>
      <c r="AO455" s="669"/>
      <c r="AP455" s="669"/>
      <c r="AQ455" s="669"/>
      <c r="AR455" s="669"/>
      <c r="AS455" s="669"/>
      <c r="AT455" s="669"/>
      <c r="AU455" s="669"/>
    </row>
    <row r="456" spans="1:47" outlineLevel="2" x14ac:dyDescent="0.2">
      <c r="A456" s="586"/>
      <c r="B456" s="352">
        <v>5</v>
      </c>
      <c r="C456" s="352">
        <v>6</v>
      </c>
      <c r="D456" s="586"/>
      <c r="E456" s="696" t="s">
        <v>146</v>
      </c>
      <c r="F456" s="86" t="str">
        <f t="shared" ref="F456:K459" si="198">IF(INDEX(MBSItemsDec,$C$443,1)&lt;&gt;"",F$455*INDEX(MBSItemsDec,$C$443,$B456)*INDEX(MBSItemsDec,$C$443,$C456),"")</f>
        <v/>
      </c>
      <c r="G456" s="86" t="str">
        <f t="shared" si="198"/>
        <v/>
      </c>
      <c r="H456" s="86" t="str">
        <f t="shared" si="198"/>
        <v/>
      </c>
      <c r="I456" s="86" t="str">
        <f t="shared" si="198"/>
        <v/>
      </c>
      <c r="J456" s="86" t="str">
        <f t="shared" si="198"/>
        <v/>
      </c>
      <c r="K456" s="86" t="str">
        <f t="shared" si="198"/>
        <v/>
      </c>
      <c r="M456" s="586"/>
      <c r="N456" s="164"/>
      <c r="O456" s="164"/>
      <c r="P456" s="164"/>
      <c r="Q456" s="164"/>
      <c r="R456" s="164"/>
      <c r="S456" s="164"/>
      <c r="T456" s="164"/>
      <c r="V456" s="98"/>
      <c r="W456" s="98"/>
      <c r="X456" s="98"/>
      <c r="Y456" s="669"/>
      <c r="Z456" s="669"/>
      <c r="AA456" s="669"/>
      <c r="AB456" s="669"/>
      <c r="AC456" s="669"/>
      <c r="AD456" s="669"/>
      <c r="AE456" s="669"/>
      <c r="AF456" s="669"/>
      <c r="AG456" s="669"/>
      <c r="AH456" s="669"/>
      <c r="AI456" s="669"/>
      <c r="AJ456" s="669"/>
      <c r="AK456" s="669"/>
      <c r="AL456" s="669"/>
      <c r="AM456" s="669"/>
      <c r="AN456" s="669"/>
      <c r="AO456" s="669"/>
      <c r="AP456" s="669"/>
      <c r="AQ456" s="669"/>
      <c r="AR456" s="669"/>
      <c r="AS456" s="669"/>
      <c r="AT456" s="669"/>
      <c r="AU456" s="669"/>
    </row>
    <row r="457" spans="1:47" outlineLevel="2" x14ac:dyDescent="0.2">
      <c r="A457" s="586"/>
      <c r="B457" s="352">
        <v>5</v>
      </c>
      <c r="C457" s="352">
        <v>7</v>
      </c>
      <c r="D457" s="586"/>
      <c r="E457" s="696" t="s">
        <v>147</v>
      </c>
      <c r="F457" s="86" t="str">
        <f t="shared" si="198"/>
        <v/>
      </c>
      <c r="G457" s="86" t="str">
        <f t="shared" si="198"/>
        <v/>
      </c>
      <c r="H457" s="86" t="str">
        <f t="shared" si="198"/>
        <v/>
      </c>
      <c r="I457" s="86" t="str">
        <f t="shared" si="198"/>
        <v/>
      </c>
      <c r="J457" s="86" t="str">
        <f t="shared" si="198"/>
        <v/>
      </c>
      <c r="K457" s="86" t="str">
        <f t="shared" si="198"/>
        <v/>
      </c>
      <c r="M457" s="586"/>
      <c r="N457" s="164"/>
      <c r="O457" s="164"/>
      <c r="P457" s="164"/>
      <c r="Q457" s="164"/>
      <c r="R457" s="164"/>
      <c r="S457" s="164"/>
      <c r="T457" s="164"/>
      <c r="V457" s="98"/>
      <c r="W457" s="98"/>
      <c r="X457" s="98"/>
      <c r="Y457" s="669"/>
      <c r="Z457" s="669"/>
      <c r="AA457" s="669"/>
      <c r="AB457" s="669"/>
      <c r="AC457" s="669"/>
      <c r="AD457" s="669"/>
      <c r="AE457" s="669"/>
      <c r="AF457" s="669"/>
      <c r="AG457" s="669"/>
      <c r="AH457" s="669"/>
      <c r="AI457" s="669"/>
      <c r="AJ457" s="669"/>
      <c r="AK457" s="669"/>
      <c r="AL457" s="669"/>
      <c r="AM457" s="669"/>
      <c r="AN457" s="669"/>
      <c r="AO457" s="669"/>
      <c r="AP457" s="669"/>
      <c r="AQ457" s="669"/>
      <c r="AR457" s="669"/>
      <c r="AS457" s="669"/>
      <c r="AT457" s="669"/>
      <c r="AU457" s="669"/>
    </row>
    <row r="458" spans="1:47" outlineLevel="2" x14ac:dyDescent="0.2">
      <c r="A458" s="586"/>
      <c r="B458" s="352">
        <v>4</v>
      </c>
      <c r="C458" s="352">
        <v>6</v>
      </c>
      <c r="D458" s="586"/>
      <c r="E458" s="696" t="s">
        <v>148</v>
      </c>
      <c r="F458" s="86" t="str">
        <f t="shared" si="198"/>
        <v/>
      </c>
      <c r="G458" s="86" t="str">
        <f t="shared" si="198"/>
        <v/>
      </c>
      <c r="H458" s="86" t="str">
        <f t="shared" si="198"/>
        <v/>
      </c>
      <c r="I458" s="86" t="str">
        <f t="shared" si="198"/>
        <v/>
      </c>
      <c r="J458" s="86" t="str">
        <f t="shared" si="198"/>
        <v/>
      </c>
      <c r="K458" s="86" t="str">
        <f t="shared" si="198"/>
        <v/>
      </c>
      <c r="M458" s="586"/>
      <c r="N458" s="164"/>
      <c r="O458" s="164"/>
      <c r="P458" s="164"/>
      <c r="Q458" s="164"/>
      <c r="R458" s="164"/>
      <c r="S458" s="164"/>
      <c r="T458" s="164"/>
      <c r="V458" s="98"/>
      <c r="W458" s="98"/>
      <c r="X458" s="98"/>
      <c r="Y458" s="669"/>
      <c r="Z458" s="669"/>
      <c r="AA458" s="669"/>
      <c r="AB458" s="669"/>
      <c r="AC458" s="669"/>
      <c r="AD458" s="669"/>
      <c r="AE458" s="669"/>
      <c r="AF458" s="669"/>
      <c r="AG458" s="669"/>
      <c r="AH458" s="669"/>
      <c r="AI458" s="669"/>
      <c r="AJ458" s="669"/>
      <c r="AK458" s="669"/>
      <c r="AL458" s="669"/>
      <c r="AM458" s="669"/>
      <c r="AN458" s="669"/>
      <c r="AO458" s="669"/>
      <c r="AP458" s="669"/>
      <c r="AQ458" s="669"/>
      <c r="AR458" s="669"/>
      <c r="AS458" s="669"/>
      <c r="AT458" s="669"/>
      <c r="AU458" s="669"/>
    </row>
    <row r="459" spans="1:47" outlineLevel="2" x14ac:dyDescent="0.2">
      <c r="A459" s="586"/>
      <c r="B459" s="352">
        <v>4</v>
      </c>
      <c r="C459" s="352">
        <v>7</v>
      </c>
      <c r="D459" s="586"/>
      <c r="E459" s="698" t="s">
        <v>149</v>
      </c>
      <c r="F459" s="86" t="str">
        <f t="shared" si="198"/>
        <v/>
      </c>
      <c r="G459" s="86" t="str">
        <f t="shared" si="198"/>
        <v/>
      </c>
      <c r="H459" s="86" t="str">
        <f t="shared" si="198"/>
        <v/>
      </c>
      <c r="I459" s="86" t="str">
        <f t="shared" si="198"/>
        <v/>
      </c>
      <c r="J459" s="86" t="str">
        <f t="shared" si="198"/>
        <v/>
      </c>
      <c r="K459" s="86" t="str">
        <f t="shared" si="198"/>
        <v/>
      </c>
      <c r="M459" s="586"/>
      <c r="N459" s="164"/>
      <c r="O459" s="164"/>
      <c r="P459" s="164"/>
      <c r="Q459" s="164"/>
      <c r="R459" s="164"/>
      <c r="S459" s="164"/>
      <c r="T459" s="164"/>
      <c r="V459" s="98"/>
      <c r="W459" s="98"/>
      <c r="X459" s="98"/>
      <c r="Y459" s="669"/>
      <c r="Z459" s="669"/>
      <c r="AA459" s="669"/>
      <c r="AB459" s="669"/>
      <c r="AC459" s="669"/>
      <c r="AD459" s="669"/>
      <c r="AE459" s="669"/>
      <c r="AF459" s="669"/>
      <c r="AG459" s="669"/>
      <c r="AH459" s="669"/>
      <c r="AI459" s="669"/>
      <c r="AJ459" s="669"/>
      <c r="AK459" s="669"/>
      <c r="AL459" s="669"/>
      <c r="AM459" s="669"/>
      <c r="AN459" s="669"/>
      <c r="AO459" s="669"/>
      <c r="AP459" s="669"/>
      <c r="AQ459" s="669"/>
      <c r="AR459" s="669"/>
      <c r="AS459" s="669"/>
      <c r="AT459" s="669"/>
      <c r="AU459" s="669"/>
    </row>
    <row r="460" spans="1:47" outlineLevel="1" x14ac:dyDescent="0.2">
      <c r="A460" s="586"/>
      <c r="B460" s="586"/>
      <c r="C460" s="586"/>
      <c r="D460" s="586"/>
      <c r="E460" s="586"/>
      <c r="F460" s="586"/>
      <c r="G460" s="586"/>
      <c r="H460" s="586"/>
      <c r="I460" s="586"/>
      <c r="J460" s="586"/>
      <c r="K460" s="586"/>
      <c r="L460" s="586"/>
      <c r="M460" s="586"/>
      <c r="N460" s="164"/>
      <c r="O460" s="164"/>
      <c r="P460" s="164"/>
      <c r="Q460" s="164"/>
      <c r="R460" s="164"/>
      <c r="S460" s="164"/>
      <c r="T460" s="164"/>
      <c r="V460" s="98"/>
      <c r="W460" s="98"/>
      <c r="X460" s="98"/>
      <c r="Y460" s="669"/>
      <c r="Z460" s="669"/>
      <c r="AA460" s="669"/>
      <c r="AB460" s="669"/>
      <c r="AC460" s="669"/>
      <c r="AD460" s="669"/>
      <c r="AE460" s="669"/>
      <c r="AF460" s="669"/>
      <c r="AG460" s="669"/>
      <c r="AH460" s="669"/>
      <c r="AI460" s="669"/>
      <c r="AJ460" s="669"/>
      <c r="AK460" s="669"/>
      <c r="AL460" s="669"/>
      <c r="AM460" s="669"/>
      <c r="AN460" s="669"/>
      <c r="AO460" s="669"/>
      <c r="AP460" s="669"/>
      <c r="AQ460" s="669"/>
      <c r="AR460" s="669"/>
      <c r="AS460" s="669"/>
      <c r="AT460" s="669"/>
      <c r="AU460" s="669"/>
    </row>
    <row r="461" spans="1:47" x14ac:dyDescent="0.2">
      <c r="A461" s="149"/>
      <c r="B461" s="149"/>
      <c r="C461" s="149"/>
      <c r="D461" s="149"/>
      <c r="E461" s="149"/>
      <c r="F461" s="149"/>
      <c r="G461" s="149"/>
      <c r="H461" s="149"/>
      <c r="I461" s="149"/>
      <c r="J461" s="149"/>
      <c r="K461" s="149"/>
      <c r="L461" s="149"/>
      <c r="M461" s="149"/>
      <c r="N461" s="149"/>
      <c r="O461" s="149"/>
      <c r="P461" s="149"/>
      <c r="Q461" s="149"/>
      <c r="R461" s="149"/>
      <c r="S461" s="149"/>
      <c r="T461" s="149"/>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row>
    <row r="462" spans="1:47" ht="15.75" x14ac:dyDescent="0.2">
      <c r="A462" s="152"/>
      <c r="B462" s="152"/>
      <c r="C462" s="110"/>
      <c r="D462" s="110" t="s">
        <v>945</v>
      </c>
      <c r="E462" s="154"/>
      <c r="F462" s="154"/>
      <c r="G462" s="154"/>
      <c r="H462" s="154"/>
      <c r="I462" s="154"/>
      <c r="J462" s="154"/>
      <c r="K462" s="154"/>
      <c r="L462" s="154"/>
      <c r="M462" s="154"/>
      <c r="N462" s="154"/>
      <c r="O462" s="154"/>
      <c r="P462" s="154"/>
      <c r="Q462" s="154"/>
      <c r="R462" s="154"/>
      <c r="S462" s="154"/>
      <c r="T462" s="154"/>
      <c r="V462" s="703"/>
      <c r="W462" s="703"/>
      <c r="X462" s="703"/>
      <c r="Y462" s="685"/>
      <c r="Z462" s="685"/>
      <c r="AA462" s="685"/>
      <c r="AB462" s="685"/>
      <c r="AC462" s="685"/>
      <c r="AD462" s="685"/>
      <c r="AE462" s="685"/>
      <c r="AF462" s="685"/>
      <c r="AG462" s="685"/>
      <c r="AH462" s="685"/>
      <c r="AI462" s="685"/>
      <c r="AJ462" s="685"/>
      <c r="AK462" s="685"/>
      <c r="AL462" s="685"/>
      <c r="AM462" s="685"/>
      <c r="AN462" s="685"/>
      <c r="AO462" s="685"/>
      <c r="AP462" s="685"/>
      <c r="AQ462" s="685"/>
      <c r="AR462" s="685"/>
      <c r="AS462" s="685"/>
      <c r="AT462" s="685"/>
      <c r="AU462" s="685"/>
    </row>
    <row r="463" spans="1:47" x14ac:dyDescent="0.2">
      <c r="A463" s="91"/>
      <c r="B463" s="91"/>
      <c r="C463" s="669"/>
      <c r="D463" s="669"/>
      <c r="E463" s="669"/>
      <c r="F463" s="669"/>
      <c r="G463" s="669"/>
      <c r="H463" s="669"/>
      <c r="I463" s="669"/>
      <c r="J463" s="669"/>
      <c r="K463" s="669"/>
      <c r="L463" s="669"/>
      <c r="M463" s="669"/>
      <c r="N463" s="669"/>
      <c r="O463" s="710"/>
      <c r="P463" s="669"/>
      <c r="Q463" s="669"/>
      <c r="R463" s="669"/>
      <c r="S463" s="669"/>
      <c r="T463" s="669"/>
      <c r="V463" s="704"/>
      <c r="W463" s="704"/>
      <c r="X463" s="704"/>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row>
    <row r="464" spans="1:47" x14ac:dyDescent="0.2">
      <c r="A464" s="91"/>
      <c r="B464" s="91"/>
      <c r="C464" s="669"/>
      <c r="D464" s="669" t="s">
        <v>348</v>
      </c>
      <c r="E464" s="669"/>
      <c r="F464" s="669"/>
      <c r="G464" s="669"/>
      <c r="H464" s="669"/>
      <c r="I464" s="669"/>
      <c r="J464" s="669"/>
      <c r="K464" s="669"/>
      <c r="L464" s="669"/>
      <c r="M464" s="669"/>
      <c r="N464" s="669"/>
      <c r="O464" s="710"/>
      <c r="P464" s="669"/>
      <c r="Q464" s="669"/>
      <c r="R464" s="669"/>
      <c r="S464" s="669"/>
      <c r="T464" s="669"/>
      <c r="V464" s="704"/>
      <c r="W464" s="704"/>
      <c r="X464" s="704"/>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row>
  </sheetData>
  <sheetProtection selectLockedCells="1"/>
  <dataConsolidate/>
  <mergeCells count="104">
    <mergeCell ref="G277:I277"/>
    <mergeCell ref="D275:F275"/>
    <mergeCell ref="D276:F276"/>
    <mergeCell ref="D277:F277"/>
    <mergeCell ref="AD10:AX10"/>
    <mergeCell ref="AD19:AX19"/>
    <mergeCell ref="AR11:AX11"/>
    <mergeCell ref="AK11:AQ11"/>
    <mergeCell ref="AD11:AJ11"/>
    <mergeCell ref="AS236:AX236"/>
    <mergeCell ref="AK236:AQ236"/>
    <mergeCell ref="AD236:AJ236"/>
    <mergeCell ref="AD20:AJ20"/>
    <mergeCell ref="AK20:AQ20"/>
    <mergeCell ref="AR20:AX20"/>
    <mergeCell ref="AD235:AX235"/>
    <mergeCell ref="AD222:AX222"/>
    <mergeCell ref="AD223:AJ223"/>
    <mergeCell ref="AK223:AQ223"/>
    <mergeCell ref="AR223:AX223"/>
    <mergeCell ref="AD36:AI36"/>
    <mergeCell ref="AJ36:AO36"/>
    <mergeCell ref="G271:I271"/>
    <mergeCell ref="G272:I272"/>
    <mergeCell ref="G273:I273"/>
    <mergeCell ref="G274:I274"/>
    <mergeCell ref="D272:F272"/>
    <mergeCell ref="D273:F273"/>
    <mergeCell ref="D274:F274"/>
    <mergeCell ref="G275:I275"/>
    <mergeCell ref="G276:I276"/>
    <mergeCell ref="G56:I56"/>
    <mergeCell ref="D57:F57"/>
    <mergeCell ref="D56:F56"/>
    <mergeCell ref="G57:I57"/>
    <mergeCell ref="D58:F58"/>
    <mergeCell ref="D59:F59"/>
    <mergeCell ref="D60:F60"/>
    <mergeCell ref="D61:F61"/>
    <mergeCell ref="D62:F62"/>
    <mergeCell ref="G62:I62"/>
    <mergeCell ref="G58:I58"/>
    <mergeCell ref="G59:I59"/>
    <mergeCell ref="G60:I60"/>
    <mergeCell ref="G61:I61"/>
    <mergeCell ref="G269:I269"/>
    <mergeCell ref="G270:I270"/>
    <mergeCell ref="G267:I267"/>
    <mergeCell ref="E37:F37"/>
    <mergeCell ref="E38:F38"/>
    <mergeCell ref="E39:F39"/>
    <mergeCell ref="E40:F40"/>
    <mergeCell ref="E41:F41"/>
    <mergeCell ref="G52:I52"/>
    <mergeCell ref="G53:I53"/>
    <mergeCell ref="G54:I54"/>
    <mergeCell ref="G55:I55"/>
    <mergeCell ref="G268:I268"/>
    <mergeCell ref="E258:F258"/>
    <mergeCell ref="E259:F259"/>
    <mergeCell ref="E260:F260"/>
    <mergeCell ref="E261:F261"/>
    <mergeCell ref="E262:F262"/>
    <mergeCell ref="E42:F42"/>
    <mergeCell ref="E43:F43"/>
    <mergeCell ref="E44:F44"/>
    <mergeCell ref="E45:F45"/>
    <mergeCell ref="E46:F46"/>
    <mergeCell ref="E47:F47"/>
    <mergeCell ref="D52:F52"/>
    <mergeCell ref="D53:F53"/>
    <mergeCell ref="D54:F54"/>
    <mergeCell ref="D55:F55"/>
    <mergeCell ref="D269:F269"/>
    <mergeCell ref="D270:F270"/>
    <mergeCell ref="D271:F271"/>
    <mergeCell ref="E252:F252"/>
    <mergeCell ref="E253:F253"/>
    <mergeCell ref="E254:F254"/>
    <mergeCell ref="E255:F255"/>
    <mergeCell ref="D268:F268"/>
    <mergeCell ref="E256:F256"/>
    <mergeCell ref="E257:F257"/>
    <mergeCell ref="D267:F267"/>
    <mergeCell ref="J156:K156"/>
    <mergeCell ref="J174:K174"/>
    <mergeCell ref="J192:K192"/>
    <mergeCell ref="J210:K210"/>
    <mergeCell ref="J228:K228"/>
    <mergeCell ref="J66:K66"/>
    <mergeCell ref="J84:K84"/>
    <mergeCell ref="J102:K102"/>
    <mergeCell ref="J120:K120"/>
    <mergeCell ref="J138:K138"/>
    <mergeCell ref="J371:K371"/>
    <mergeCell ref="J389:K389"/>
    <mergeCell ref="J407:K407"/>
    <mergeCell ref="J425:K425"/>
    <mergeCell ref="J443:K443"/>
    <mergeCell ref="J281:K281"/>
    <mergeCell ref="J299:K299"/>
    <mergeCell ref="J317:K317"/>
    <mergeCell ref="J335:K335"/>
    <mergeCell ref="J353:K353"/>
  </mergeCells>
  <conditionalFormatting sqref="G253:K262 R253:T262 R38:T47 G38:J47 L38:P47 M253:P262">
    <cfRule type="expression" dxfId="167" priority="219">
      <formula>$D38=""</formula>
    </cfRule>
  </conditionalFormatting>
  <conditionalFormatting sqref="G53:J53">
    <cfRule type="expression" dxfId="166" priority="456">
      <formula>$V53=0</formula>
    </cfRule>
  </conditionalFormatting>
  <conditionalFormatting sqref="G268:J268">
    <cfRule type="expression" dxfId="165" priority="466">
      <formula>$V268=0</formula>
    </cfRule>
  </conditionalFormatting>
  <conditionalFormatting sqref="G54:J54">
    <cfRule type="expression" dxfId="164" priority="67">
      <formula>$V54=0</formula>
    </cfRule>
  </conditionalFormatting>
  <conditionalFormatting sqref="G55:J55">
    <cfRule type="expression" dxfId="163" priority="66">
      <formula>$V55=0</formula>
    </cfRule>
  </conditionalFormatting>
  <conditionalFormatting sqref="G56:J56">
    <cfRule type="expression" dxfId="162" priority="65">
      <formula>$V56=0</formula>
    </cfRule>
  </conditionalFormatting>
  <conditionalFormatting sqref="G57:J57">
    <cfRule type="expression" dxfId="161" priority="64">
      <formula>$V57=0</formula>
    </cfRule>
  </conditionalFormatting>
  <conditionalFormatting sqref="G58:J58">
    <cfRule type="expression" dxfId="160" priority="63">
      <formula>$V58=0</formula>
    </cfRule>
  </conditionalFormatting>
  <conditionalFormatting sqref="G59:J59">
    <cfRule type="expression" dxfId="159" priority="62">
      <formula>$V59=0</formula>
    </cfRule>
  </conditionalFormatting>
  <conditionalFormatting sqref="G60:J60">
    <cfRule type="expression" dxfId="158" priority="61">
      <formula>$V60=0</formula>
    </cfRule>
  </conditionalFormatting>
  <conditionalFormatting sqref="G61:J61">
    <cfRule type="expression" dxfId="157" priority="60">
      <formula>$V61=0</formula>
    </cfRule>
  </conditionalFormatting>
  <conditionalFormatting sqref="G62:J62">
    <cfRule type="expression" dxfId="156" priority="59">
      <formula>$V62=0</formula>
    </cfRule>
  </conditionalFormatting>
  <conditionalFormatting sqref="G269:J269">
    <cfRule type="expression" dxfId="155" priority="49">
      <formula>$V269=0</formula>
    </cfRule>
  </conditionalFormatting>
  <conditionalFormatting sqref="G270:J270">
    <cfRule type="expression" dxfId="154" priority="48">
      <formula>$V270=0</formula>
    </cfRule>
  </conditionalFormatting>
  <conditionalFormatting sqref="G271:J271">
    <cfRule type="expression" dxfId="153" priority="47">
      <formula>$V271=0</formula>
    </cfRule>
  </conditionalFormatting>
  <conditionalFormatting sqref="G272:J272">
    <cfRule type="expression" dxfId="152" priority="46">
      <formula>$V272=0</formula>
    </cfRule>
  </conditionalFormatting>
  <conditionalFormatting sqref="G273:J273">
    <cfRule type="expression" dxfId="151" priority="45">
      <formula>$V273=0</formula>
    </cfRule>
  </conditionalFormatting>
  <conditionalFormatting sqref="G274:J274">
    <cfRule type="expression" dxfId="150" priority="44">
      <formula>$V274=0</formula>
    </cfRule>
  </conditionalFormatting>
  <conditionalFormatting sqref="G275:J275">
    <cfRule type="expression" dxfId="149" priority="43">
      <formula>$V275=0</formula>
    </cfRule>
  </conditionalFormatting>
  <conditionalFormatting sqref="G276:J276">
    <cfRule type="expression" dxfId="148" priority="42">
      <formula>$V276=0</formula>
    </cfRule>
  </conditionalFormatting>
  <conditionalFormatting sqref="G277:J277">
    <cfRule type="expression" dxfId="147" priority="41">
      <formula>$V277=0</formula>
    </cfRule>
  </conditionalFormatting>
  <conditionalFormatting sqref="M253 Q253:T253">
    <cfRule type="expression" dxfId="146" priority="31">
      <formula>$K$253&lt;&gt;"Per patient"</formula>
    </cfRule>
  </conditionalFormatting>
  <conditionalFormatting sqref="M254 Q254:T254">
    <cfRule type="expression" dxfId="145" priority="30">
      <formula>$K$254&lt;&gt;"Per patient"</formula>
    </cfRule>
  </conditionalFormatting>
  <conditionalFormatting sqref="M255 Q255:T255">
    <cfRule type="expression" dxfId="144" priority="29">
      <formula>$K$255&lt;&gt;"Per patient"</formula>
    </cfRule>
  </conditionalFormatting>
  <conditionalFormatting sqref="M256 Q256:T256">
    <cfRule type="expression" dxfId="143" priority="28">
      <formula>$K$256&lt;&gt;"Per patient"</formula>
    </cfRule>
  </conditionalFormatting>
  <conditionalFormatting sqref="M257 Q257:T257">
    <cfRule type="expression" dxfId="142" priority="27">
      <formula>$K$257&lt;&gt;"Per patient"</formula>
    </cfRule>
  </conditionalFormatting>
  <conditionalFormatting sqref="M258 Q258:T258">
    <cfRule type="expression" dxfId="141" priority="26">
      <formula>$K$258&lt;&gt;"Per patient"</formula>
    </cfRule>
  </conditionalFormatting>
  <conditionalFormatting sqref="M259 Q259:T259">
    <cfRule type="expression" dxfId="140" priority="25">
      <formula>$K$259&lt;&gt;"Per patient"</formula>
    </cfRule>
  </conditionalFormatting>
  <conditionalFormatting sqref="M260 Q260:T260">
    <cfRule type="expression" dxfId="139" priority="24">
      <formula>$K$260&lt;&gt;"Per patient"</formula>
    </cfRule>
  </conditionalFormatting>
  <conditionalFormatting sqref="M261 Q261:T261">
    <cfRule type="expression" dxfId="138" priority="23">
      <formula>$K$261&lt;&gt;"Per patient"</formula>
    </cfRule>
  </conditionalFormatting>
  <conditionalFormatting sqref="M262 Q262:T262">
    <cfRule type="expression" dxfId="137" priority="22">
      <formula>$K$262&lt;&gt;"Per patient"</formula>
    </cfRule>
  </conditionalFormatting>
  <conditionalFormatting sqref="N253">
    <cfRule type="expression" dxfId="136" priority="12">
      <formula>$K$253&lt;&gt;"Per script"</formula>
    </cfRule>
  </conditionalFormatting>
  <conditionalFormatting sqref="N254">
    <cfRule type="expression" dxfId="135" priority="11">
      <formula>$K$254&lt;&gt;"Per script"</formula>
    </cfRule>
  </conditionalFormatting>
  <conditionalFormatting sqref="N255">
    <cfRule type="expression" dxfId="134" priority="10">
      <formula>$K$255&lt;&gt;"Per script"</formula>
    </cfRule>
  </conditionalFormatting>
  <conditionalFormatting sqref="N256">
    <cfRule type="expression" dxfId="133" priority="9">
      <formula>$K$256&lt;&gt;"Per script"</formula>
    </cfRule>
  </conditionalFormatting>
  <conditionalFormatting sqref="N257">
    <cfRule type="expression" dxfId="132" priority="8">
      <formula>$K$257&lt;&gt;"Per script"</formula>
    </cfRule>
  </conditionalFormatting>
  <conditionalFormatting sqref="N258">
    <cfRule type="expression" dxfId="131" priority="7">
      <formula>$K$258&lt;&gt;"Per script"</formula>
    </cfRule>
  </conditionalFormatting>
  <conditionalFormatting sqref="N259">
    <cfRule type="expression" dxfId="130" priority="6">
      <formula>$K$259&lt;&gt;"Per script"</formula>
    </cfRule>
  </conditionalFormatting>
  <conditionalFormatting sqref="N260">
    <cfRule type="expression" dxfId="129" priority="5">
      <formula>$K$260&lt;&gt;"Per script"</formula>
    </cfRule>
  </conditionalFormatting>
  <conditionalFormatting sqref="N261">
    <cfRule type="expression" dxfId="128" priority="4">
      <formula>$K$261&lt;&gt;"Per script"</formula>
    </cfRule>
  </conditionalFormatting>
  <conditionalFormatting sqref="N262">
    <cfRule type="expression" dxfId="127" priority="3">
      <formula>$K$262&lt;&gt;"Per script"</formula>
    </cfRule>
  </conditionalFormatting>
  <conditionalFormatting sqref="M38 Q38:T38">
    <cfRule type="expression" dxfId="126" priority="563">
      <formula>$L38&lt;&gt;"Per patient"</formula>
    </cfRule>
  </conditionalFormatting>
  <conditionalFormatting sqref="N38">
    <cfRule type="expression" dxfId="125" priority="565">
      <formula>$L38&lt;&gt;"Per script"</formula>
    </cfRule>
  </conditionalFormatting>
  <conditionalFormatting sqref="M39 Q39:T39">
    <cfRule type="expression" dxfId="124" priority="566">
      <formula>$L$39&lt;&gt;"Per patient"</formula>
    </cfRule>
  </conditionalFormatting>
  <conditionalFormatting sqref="M40 Q40:T40">
    <cfRule type="expression" dxfId="123" priority="568">
      <formula>$L$40&lt;&gt;"Per patient"</formula>
    </cfRule>
  </conditionalFormatting>
  <conditionalFormatting sqref="M41 Q41:T41">
    <cfRule type="expression" dxfId="122" priority="570">
      <formula>$L$41&lt;&gt;"Per patient"</formula>
    </cfRule>
  </conditionalFormatting>
  <conditionalFormatting sqref="M42 Q42:T42">
    <cfRule type="expression" dxfId="121" priority="572">
      <formula>$L$42&lt;&gt;"Per patient"</formula>
    </cfRule>
  </conditionalFormatting>
  <conditionalFormatting sqref="M43 Q43:T43">
    <cfRule type="expression" dxfId="120" priority="574">
      <formula>$L$43&lt;&gt;"Per patient"</formula>
    </cfRule>
  </conditionalFormatting>
  <conditionalFormatting sqref="M44 Q44:T44">
    <cfRule type="expression" dxfId="119" priority="576">
      <formula>$L$44&lt;&gt;"Per patient"</formula>
    </cfRule>
  </conditionalFormatting>
  <conditionalFormatting sqref="M45 Q45:T45">
    <cfRule type="expression" dxfId="118" priority="578">
      <formula>$L$45&lt;&gt;"Per patient"</formula>
    </cfRule>
  </conditionalFormatting>
  <conditionalFormatting sqref="M46 Q46:T46">
    <cfRule type="expression" dxfId="117" priority="580">
      <formula>$L$46&lt;&gt;"Per patient"</formula>
    </cfRule>
  </conditionalFormatting>
  <conditionalFormatting sqref="M47 Q47:T47">
    <cfRule type="expression" dxfId="116" priority="582">
      <formula>$L$47&lt;&gt;"Per patient"</formula>
    </cfRule>
  </conditionalFormatting>
  <conditionalFormatting sqref="N39">
    <cfRule type="expression" dxfId="115" priority="584">
      <formula>$L$39&lt;&gt;"Per script"</formula>
    </cfRule>
  </conditionalFormatting>
  <conditionalFormatting sqref="N40">
    <cfRule type="expression" dxfId="114" priority="585">
      <formula>$L$40&lt;&gt;"Per script"</formula>
    </cfRule>
  </conditionalFormatting>
  <conditionalFormatting sqref="N41">
    <cfRule type="expression" dxfId="113" priority="586">
      <formula>$L$41&lt;&gt;"Per script"</formula>
    </cfRule>
  </conditionalFormatting>
  <conditionalFormatting sqref="N42">
    <cfRule type="expression" dxfId="112" priority="587">
      <formula>$L$42&lt;&gt;"Per script"</formula>
    </cfRule>
  </conditionalFormatting>
  <conditionalFormatting sqref="N43">
    <cfRule type="expression" dxfId="111" priority="588">
      <formula>$L$43&lt;&gt;"Per script"</formula>
    </cfRule>
  </conditionalFormatting>
  <conditionalFormatting sqref="N44">
    <cfRule type="expression" dxfId="110" priority="589">
      <formula>$L$44&lt;&gt;"Per script"</formula>
    </cfRule>
  </conditionalFormatting>
  <conditionalFormatting sqref="N45">
    <cfRule type="expression" dxfId="109" priority="590">
      <formula>$L$45&lt;&gt;"Per script"</formula>
    </cfRule>
  </conditionalFormatting>
  <conditionalFormatting sqref="N46">
    <cfRule type="expression" dxfId="108" priority="591">
      <formula>$L$46&lt;&gt;"Per script"</formula>
    </cfRule>
  </conditionalFormatting>
  <conditionalFormatting sqref="N47">
    <cfRule type="expression" dxfId="107" priority="592">
      <formula>$L$47&lt;&gt;"Per script"</formula>
    </cfRule>
  </conditionalFormatting>
  <conditionalFormatting sqref="K38:K47">
    <cfRule type="expression" dxfId="106" priority="2">
      <formula>$D38=""</formula>
    </cfRule>
  </conditionalFormatting>
  <conditionalFormatting sqref="L253:L262">
    <cfRule type="expression" dxfId="105" priority="1">
      <formula>$D253=""</formula>
    </cfRule>
  </conditionalFormatting>
  <dataValidations count="27">
    <dataValidation allowBlank="1" showErrorMessage="1" sqref="F22:K22 F16:K16"/>
    <dataValidation type="list" allowBlank="1" showInputMessage="1" showErrorMessage="1" sqref="L38:L47 L253:L262">
      <formula1>MBSBasis</formula1>
    </dataValidation>
    <dataValidation type="list" allowBlank="1" showInputMessage="1" showErrorMessage="1" sqref="G53:I62">
      <formula1>NamesNewTx</formula1>
    </dataValidation>
    <dataValidation type="list" allowBlank="1" showInputMessage="1" showErrorMessage="1" sqref="G268:I277">
      <formula1>NamesScriptsChangedTx</formula1>
    </dataValidation>
    <dataValidation type="list" allowBlank="1" showInputMessage="1" showErrorMessage="1" sqref="S38:S47 S253:S262">
      <formula1>PxTxSource</formula1>
    </dataValidation>
    <dataValidation type="list" allowBlank="1" showInputMessage="1" showErrorMessage="1" sqref="T38">
      <formula1>MBSPopInc01</formula1>
    </dataValidation>
    <dataValidation type="list" allowBlank="1" showInputMessage="1" showErrorMessage="1" sqref="T39">
      <formula1>MBSPopInc02</formula1>
    </dataValidation>
    <dataValidation type="list" allowBlank="1" showInputMessage="1" showErrorMessage="1" sqref="T40">
      <formula1>MBSPopInc03</formula1>
    </dataValidation>
    <dataValidation type="list" allowBlank="1" showInputMessage="1" showErrorMessage="1" sqref="T41">
      <formula1>MBSPopInc04</formula1>
    </dataValidation>
    <dataValidation type="list" allowBlank="1" showInputMessage="1" showErrorMessage="1" sqref="T42">
      <formula1>MBSPopInc05</formula1>
    </dataValidation>
    <dataValidation type="list" allowBlank="1" showInputMessage="1" showErrorMessage="1" sqref="T43">
      <formula1>MBSPopInc06</formula1>
    </dataValidation>
    <dataValidation type="list" allowBlank="1" showInputMessage="1" showErrorMessage="1" sqref="T44">
      <formula1>MBSPopInc07</formula1>
    </dataValidation>
    <dataValidation type="list" allowBlank="1" showInputMessage="1" showErrorMessage="1" sqref="T45">
      <formula1>MBSPopInc08</formula1>
    </dataValidation>
    <dataValidation type="list" allowBlank="1" showInputMessage="1" showErrorMessage="1" sqref="T46">
      <formula1>MBSPopInc09</formula1>
    </dataValidation>
    <dataValidation type="list" allowBlank="1" showInputMessage="1" showErrorMessage="1" sqref="T47">
      <formula1>MBSPopInc10</formula1>
    </dataValidation>
    <dataValidation type="list" allowBlank="1" showInputMessage="1" showErrorMessage="1" sqref="T253">
      <formula1>MBSPopDec01</formula1>
    </dataValidation>
    <dataValidation type="list" allowBlank="1" showInputMessage="1" showErrorMessage="1" sqref="T254">
      <formula1>MBSPopDec02</formula1>
    </dataValidation>
    <dataValidation type="list" allowBlank="1" showInputMessage="1" showErrorMessage="1" sqref="T255">
      <formula1>MBSPopDec03</formula1>
    </dataValidation>
    <dataValidation type="list" allowBlank="1" showInputMessage="1" showErrorMessage="1" sqref="T256">
      <formula1>MBSPopDec04</formula1>
    </dataValidation>
    <dataValidation type="list" allowBlank="1" showInputMessage="1" showErrorMessage="1" sqref="T257">
      <formula1>MBSPopDec05</formula1>
    </dataValidation>
    <dataValidation type="list" allowBlank="1" showInputMessage="1" showErrorMessage="1" sqref="T258">
      <formula1>MBSPopDec06</formula1>
    </dataValidation>
    <dataValidation type="list" allowBlank="1" showInputMessage="1" showErrorMessage="1" sqref="T259">
      <formula1>MBSPopDec07</formula1>
    </dataValidation>
    <dataValidation type="list" allowBlank="1" showInputMessage="1" showErrorMessage="1" sqref="T260">
      <formula1>MBSPopDec08</formula1>
    </dataValidation>
    <dataValidation type="list" allowBlank="1" showInputMessage="1" showErrorMessage="1" sqref="T261">
      <formula1>MBSPopDec09</formula1>
    </dataValidation>
    <dataValidation type="list" allowBlank="1" showInputMessage="1" showErrorMessage="1" sqref="T262">
      <formula1>MBSPopDec10</formula1>
    </dataValidation>
    <dataValidation type="list" allowBlank="1" showInputMessage="1" showErrorMessage="1" sqref="Q253:Q262 Q38:Q47">
      <formula1>TPShort</formula1>
    </dataValidation>
    <dataValidation type="list" allowBlank="1" showInputMessage="1" showErrorMessage="1" sqref="K38:K47 K253:K262">
      <formula1>CoPayBands</formula1>
    </dataValidation>
  </dataValidations>
  <pageMargins left="0.11811023622047245" right="0.11811023622047245" top="0.19685039370078741" bottom="0.15748031496062992" header="0.31496062992125984" footer="0.31496062992125984"/>
  <pageSetup paperSize="9" scale="46" orientation="landscape" horizontalDpi="300" verticalDpi="300" r:id="rId1"/>
  <ignoredErrors>
    <ignoredError sqref="AL12 AL21 AJ37 AS12 AS21 AJ252 AL237 AL224 AS224 AS237" formula="1"/>
    <ignoredError sqref="AC38:AC47 AC253:AC262"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DD271"/>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8" width="10.7109375" customWidth="1"/>
  </cols>
  <sheetData>
    <row r="1" spans="1:108" ht="23.25" x14ac:dyDescent="0.2">
      <c r="A1" s="144">
        <f>IF((SUM(E29:J29)&lt;&gt;0),2,0)</f>
        <v>0</v>
      </c>
      <c r="B1" s="168"/>
      <c r="C1" s="168"/>
      <c r="D1" s="167" t="s">
        <v>1017</v>
      </c>
      <c r="E1" s="168"/>
      <c r="F1" s="168"/>
      <c r="G1" s="168"/>
      <c r="H1" s="168"/>
      <c r="I1" s="168"/>
      <c r="J1" s="168"/>
      <c r="K1" s="168"/>
      <c r="L1" s="168"/>
      <c r="M1" s="168"/>
      <c r="N1" s="167" t="s">
        <v>334</v>
      </c>
      <c r="O1" s="168"/>
      <c r="P1" s="168"/>
      <c r="Q1" s="168"/>
      <c r="R1" s="168"/>
      <c r="S1" s="168"/>
      <c r="T1" s="168"/>
      <c r="U1" s="168"/>
      <c r="V1" s="168"/>
      <c r="W1" s="168"/>
      <c r="X1" s="773" t="str">
        <f>IF(A1=0,MsgNotUsed,"")</f>
        <v>** NOT USED **</v>
      </c>
      <c r="Y1" s="773"/>
      <c r="Z1" s="773"/>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row>
    <row r="2" spans="1:108" ht="15.75" x14ac:dyDescent="0.2">
      <c r="A2" s="168"/>
      <c r="B2" s="168"/>
      <c r="C2" s="168"/>
      <c r="D2" s="147" t="str">
        <f>CONCATENATE("Name of medicine: ", MedicineBrand)</f>
        <v>Name of medicine:  (®)</v>
      </c>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row>
    <row r="3" spans="1:108" ht="15.75" x14ac:dyDescent="0.2">
      <c r="A3" s="168"/>
      <c r="B3" s="168"/>
      <c r="C3" s="168"/>
      <c r="D3" s="147" t="str">
        <f>CONCATENATE("Indication: ",Indication)</f>
        <v xml:space="preserve">Indication: </v>
      </c>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row>
    <row r="4" spans="1:108" x14ac:dyDescent="0.2">
      <c r="A4" s="171"/>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row>
    <row r="5" spans="1:108" ht="15.75" x14ac:dyDescent="0.2">
      <c r="A5" s="247"/>
      <c r="B5" s="247"/>
      <c r="C5" s="247"/>
      <c r="D5" s="174" t="s">
        <v>956</v>
      </c>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row>
    <row r="6" spans="1:108" x14ac:dyDescent="0.2">
      <c r="A6" s="6"/>
      <c r="B6" s="6"/>
      <c r="C6" s="6"/>
      <c r="D6" s="26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row>
    <row r="7" spans="1:108" hidden="1" x14ac:dyDescent="0.2">
      <c r="A7" s="6"/>
      <c r="B7" s="6"/>
      <c r="C7" s="6"/>
      <c r="D7" s="266"/>
      <c r="E7" s="108">
        <f>FirstYear</f>
        <v>0</v>
      </c>
      <c r="F7" s="112">
        <f>E7+1</f>
        <v>1</v>
      </c>
      <c r="G7" s="112">
        <f>F7+1</f>
        <v>2</v>
      </c>
      <c r="H7" s="112">
        <f>G7+1</f>
        <v>3</v>
      </c>
      <c r="I7" s="112">
        <f>H7+1</f>
        <v>4</v>
      </c>
      <c r="J7" s="112">
        <f>I7+1</f>
        <v>5</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row>
    <row r="8" spans="1:108" hidden="1" x14ac:dyDescent="0.2">
      <c r="A8" s="6"/>
      <c r="B8" s="6"/>
      <c r="C8" s="6"/>
      <c r="D8" s="180">
        <v>1</v>
      </c>
      <c r="E8" s="267">
        <f t="shared" ref="E8:J8" si="0">E29</f>
        <v>0</v>
      </c>
      <c r="F8" s="267">
        <f t="shared" si="0"/>
        <v>0</v>
      </c>
      <c r="G8" s="267">
        <f t="shared" si="0"/>
        <v>0</v>
      </c>
      <c r="H8" s="267">
        <f t="shared" si="0"/>
        <v>0</v>
      </c>
      <c r="I8" s="267">
        <f t="shared" si="0"/>
        <v>0</v>
      </c>
      <c r="J8" s="267">
        <f t="shared" si="0"/>
        <v>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row>
    <row r="9" spans="1:108" hidden="1" x14ac:dyDescent="0.2">
      <c r="A9" s="6"/>
      <c r="B9" s="6"/>
      <c r="C9" s="6"/>
      <c r="D9" s="180">
        <v>2</v>
      </c>
      <c r="E9" s="267">
        <f t="shared" ref="E9:J9" si="1">E47</f>
        <v>0</v>
      </c>
      <c r="F9" s="267">
        <f t="shared" si="1"/>
        <v>0</v>
      </c>
      <c r="G9" s="267">
        <f t="shared" si="1"/>
        <v>0</v>
      </c>
      <c r="H9" s="267">
        <f t="shared" si="1"/>
        <v>0</v>
      </c>
      <c r="I9" s="267">
        <f t="shared" si="1"/>
        <v>0</v>
      </c>
      <c r="J9" s="267">
        <f t="shared" si="1"/>
        <v>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row>
    <row r="10" spans="1:108" hidden="1" x14ac:dyDescent="0.2">
      <c r="A10" s="6"/>
      <c r="B10" s="6"/>
      <c r="C10" s="6"/>
      <c r="D10" s="180">
        <v>3</v>
      </c>
      <c r="E10" s="267">
        <f t="shared" ref="E10:J10" si="2">E65</f>
        <v>0</v>
      </c>
      <c r="F10" s="267">
        <f t="shared" si="2"/>
        <v>0</v>
      </c>
      <c r="G10" s="267">
        <f t="shared" si="2"/>
        <v>0</v>
      </c>
      <c r="H10" s="267">
        <f t="shared" si="2"/>
        <v>0</v>
      </c>
      <c r="I10" s="267">
        <f t="shared" si="2"/>
        <v>0</v>
      </c>
      <c r="J10" s="267">
        <f t="shared" si="2"/>
        <v>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row>
    <row r="11" spans="1:108" hidden="1" x14ac:dyDescent="0.2">
      <c r="A11" s="6"/>
      <c r="B11" s="6"/>
      <c r="C11" s="6"/>
      <c r="D11" s="180">
        <v>4</v>
      </c>
      <c r="E11" s="267">
        <f t="shared" ref="E11:J11" si="3">E83</f>
        <v>0</v>
      </c>
      <c r="F11" s="267">
        <f t="shared" si="3"/>
        <v>0</v>
      </c>
      <c r="G11" s="267">
        <f t="shared" si="3"/>
        <v>0</v>
      </c>
      <c r="H11" s="267">
        <f t="shared" si="3"/>
        <v>0</v>
      </c>
      <c r="I11" s="267">
        <f t="shared" si="3"/>
        <v>0</v>
      </c>
      <c r="J11" s="267">
        <f t="shared" si="3"/>
        <v>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row>
    <row r="12" spans="1:108" hidden="1" x14ac:dyDescent="0.2">
      <c r="A12" s="6"/>
      <c r="B12" s="6"/>
      <c r="C12" s="6"/>
      <c r="D12" s="180">
        <v>5</v>
      </c>
      <c r="E12" s="267">
        <f t="shared" ref="E12:J12" si="4">E101</f>
        <v>0</v>
      </c>
      <c r="F12" s="267">
        <f t="shared" si="4"/>
        <v>0</v>
      </c>
      <c r="G12" s="267">
        <f t="shared" si="4"/>
        <v>0</v>
      </c>
      <c r="H12" s="267">
        <f t="shared" si="4"/>
        <v>0</v>
      </c>
      <c r="I12" s="267">
        <f t="shared" si="4"/>
        <v>0</v>
      </c>
      <c r="J12" s="267">
        <f t="shared" si="4"/>
        <v>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row>
    <row r="13" spans="1:108" hidden="1" x14ac:dyDescent="0.2">
      <c r="A13" s="6"/>
      <c r="B13" s="6"/>
      <c r="C13" s="6"/>
      <c r="D13" s="180">
        <v>6</v>
      </c>
      <c r="E13" s="267">
        <f t="shared" ref="E13:J13" si="5">E119</f>
        <v>0</v>
      </c>
      <c r="F13" s="267">
        <f t="shared" si="5"/>
        <v>0</v>
      </c>
      <c r="G13" s="267">
        <f t="shared" si="5"/>
        <v>0</v>
      </c>
      <c r="H13" s="267">
        <f t="shared" si="5"/>
        <v>0</v>
      </c>
      <c r="I13" s="267">
        <f t="shared" si="5"/>
        <v>0</v>
      </c>
      <c r="J13" s="267">
        <f t="shared" si="5"/>
        <v>0</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row>
    <row r="14" spans="1:108" hidden="1" x14ac:dyDescent="0.2">
      <c r="A14" s="6"/>
      <c r="B14" s="6"/>
      <c r="C14" s="6"/>
      <c r="D14" s="180">
        <v>7</v>
      </c>
      <c r="E14" s="267">
        <f t="shared" ref="E14:J14" si="6">E137</f>
        <v>0</v>
      </c>
      <c r="F14" s="267">
        <f t="shared" si="6"/>
        <v>0</v>
      </c>
      <c r="G14" s="267">
        <f t="shared" si="6"/>
        <v>0</v>
      </c>
      <c r="H14" s="267">
        <f t="shared" si="6"/>
        <v>0</v>
      </c>
      <c r="I14" s="267">
        <f t="shared" si="6"/>
        <v>0</v>
      </c>
      <c r="J14" s="267">
        <f t="shared" si="6"/>
        <v>0</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row>
    <row r="15" spans="1:108" hidden="1" x14ac:dyDescent="0.2">
      <c r="A15" s="6"/>
      <c r="B15" s="6"/>
      <c r="C15" s="6"/>
      <c r="D15" s="180">
        <v>8</v>
      </c>
      <c r="E15" s="267">
        <f t="shared" ref="E15:J15" si="7">E155</f>
        <v>0</v>
      </c>
      <c r="F15" s="267">
        <f t="shared" si="7"/>
        <v>0</v>
      </c>
      <c r="G15" s="267">
        <f t="shared" si="7"/>
        <v>0</v>
      </c>
      <c r="H15" s="267">
        <f t="shared" si="7"/>
        <v>0</v>
      </c>
      <c r="I15" s="267">
        <f t="shared" si="7"/>
        <v>0</v>
      </c>
      <c r="J15" s="267">
        <f t="shared" si="7"/>
        <v>0</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row>
    <row r="16" spans="1:108" hidden="1" x14ac:dyDescent="0.2">
      <c r="A16" s="6"/>
      <c r="B16" s="6"/>
      <c r="C16" s="6"/>
      <c r="D16" s="180">
        <v>9</v>
      </c>
      <c r="E16" s="267">
        <f t="shared" ref="E16:J16" si="8">E173</f>
        <v>0</v>
      </c>
      <c r="F16" s="267">
        <f t="shared" si="8"/>
        <v>0</v>
      </c>
      <c r="G16" s="267">
        <f t="shared" si="8"/>
        <v>0</v>
      </c>
      <c r="H16" s="267">
        <f t="shared" si="8"/>
        <v>0</v>
      </c>
      <c r="I16" s="267">
        <f t="shared" si="8"/>
        <v>0</v>
      </c>
      <c r="J16" s="267">
        <f t="shared" si="8"/>
        <v>0</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row>
    <row r="17" spans="1:108" hidden="1" x14ac:dyDescent="0.2">
      <c r="A17" s="6"/>
      <c r="B17" s="6"/>
      <c r="C17" s="6"/>
      <c r="D17" s="180">
        <v>10</v>
      </c>
      <c r="E17" s="267">
        <f t="shared" ref="E17:J17" si="9">E191</f>
        <v>0</v>
      </c>
      <c r="F17" s="267">
        <f t="shared" si="9"/>
        <v>0</v>
      </c>
      <c r="G17" s="267">
        <f t="shared" si="9"/>
        <v>0</v>
      </c>
      <c r="H17" s="267">
        <f t="shared" si="9"/>
        <v>0</v>
      </c>
      <c r="I17" s="267">
        <f t="shared" si="9"/>
        <v>0</v>
      </c>
      <c r="J17" s="267">
        <f t="shared" si="9"/>
        <v>0</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row>
    <row r="18" spans="1:108" hidden="1" x14ac:dyDescent="0.2">
      <c r="A18" s="6"/>
      <c r="B18" s="6"/>
      <c r="C18" s="6"/>
      <c r="D18" s="26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row>
    <row r="19" spans="1:108" ht="15.75" x14ac:dyDescent="0.2">
      <c r="A19" s="220"/>
      <c r="B19" s="83">
        <f>IF(H22&lt;&gt;"",VLOOKUP(H22,GenderCode,2,FALSE),0)</f>
        <v>0</v>
      </c>
      <c r="C19" s="212">
        <v>1</v>
      </c>
      <c r="D19" s="110" t="str">
        <f>IF(B19=0,MsgNotUsed, CONCATENATE("Australian population ", C19, ": ", H22, " ", E23, " - ", F23, " yrs inclusive (", E28, "-", J28, ")"))</f>
        <v>** NOT USED **</v>
      </c>
      <c r="E19" s="178"/>
      <c r="F19" s="178"/>
      <c r="G19" s="178"/>
      <c r="H19" s="178"/>
      <c r="I19" s="268"/>
      <c r="J19" s="178"/>
      <c r="K19" s="178"/>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row>
    <row r="20" spans="1:108" ht="14.25" outlineLevel="1" x14ac:dyDescent="0.2">
      <c r="A20" s="220"/>
      <c r="B20" s="220"/>
      <c r="C20" s="220"/>
      <c r="D20" s="209"/>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row>
    <row r="21" spans="1:108" outlineLevel="1" x14ac:dyDescent="0.2">
      <c r="A21" s="220"/>
      <c r="B21" s="220"/>
      <c r="C21" s="220"/>
      <c r="D21" s="6"/>
      <c r="E21" s="114" t="s">
        <v>279</v>
      </c>
      <c r="F21" s="114" t="s">
        <v>280</v>
      </c>
      <c r="G21" s="220"/>
      <c r="H21" s="114" t="s">
        <v>52</v>
      </c>
      <c r="I21" s="220"/>
      <c r="J21" s="114" t="s">
        <v>405</v>
      </c>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row>
    <row r="22" spans="1:108" outlineLevel="1" x14ac:dyDescent="0.2">
      <c r="A22" s="220"/>
      <c r="B22" s="220"/>
      <c r="C22" s="220"/>
      <c r="D22" s="58" t="s">
        <v>276</v>
      </c>
      <c r="E22" s="65"/>
      <c r="F22" s="65"/>
      <c r="G22" s="220"/>
      <c r="H22" s="107"/>
      <c r="I22" s="220"/>
      <c r="J22" s="107"/>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row>
    <row r="23" spans="1:108" outlineLevel="1" x14ac:dyDescent="0.2">
      <c r="A23" s="220"/>
      <c r="B23" s="220"/>
      <c r="C23" s="220"/>
      <c r="D23" s="6"/>
      <c r="E23" s="155">
        <f>IF(E22="",0,E22)</f>
        <v>0</v>
      </c>
      <c r="F23" s="155">
        <f>IF(F22="",100,F22)</f>
        <v>100</v>
      </c>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row>
    <row r="24" spans="1:108" outlineLevel="1" x14ac:dyDescent="0.2">
      <c r="A24" s="220"/>
      <c r="B24" s="220"/>
      <c r="C24" s="220"/>
      <c r="D24" s="220"/>
      <c r="E24" s="428" t="s">
        <v>512</v>
      </c>
      <c r="F24" s="428" t="s">
        <v>513</v>
      </c>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row>
    <row r="25" spans="1:108" outlineLevel="1" x14ac:dyDescent="0.2">
      <c r="A25" s="220"/>
      <c r="B25" s="220"/>
      <c r="C25" s="220"/>
      <c r="D25" s="58" t="s">
        <v>511</v>
      </c>
      <c r="E25" s="65"/>
      <c r="F25" s="65"/>
      <c r="G25" s="440">
        <f>IF(AND(E25&lt;&gt;"",F25&lt;&gt;""),E25/F25,1)</f>
        <v>1</v>
      </c>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row>
    <row r="26" spans="1:108" outlineLevel="1" x14ac:dyDescent="0.2">
      <c r="A26" s="220"/>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row>
    <row r="27" spans="1:108" outlineLevel="1" x14ac:dyDescent="0.2">
      <c r="A27" s="220"/>
      <c r="B27" s="220"/>
      <c r="C27" s="220"/>
      <c r="D27" s="220"/>
      <c r="E27" s="195" t="s">
        <v>289</v>
      </c>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row>
    <row r="28" spans="1:108" outlineLevel="1" x14ac:dyDescent="0.2">
      <c r="A28" s="220"/>
      <c r="B28" s="220"/>
      <c r="C28" s="220"/>
      <c r="D28" s="6"/>
      <c r="E28" s="108">
        <f>IF(J22&lt;&gt;"",J22,FirstYear)</f>
        <v>0</v>
      </c>
      <c r="F28" s="112">
        <f>E28+1</f>
        <v>1</v>
      </c>
      <c r="G28" s="112">
        <f>F28+1</f>
        <v>2</v>
      </c>
      <c r="H28" s="112">
        <f>G28+1</f>
        <v>3</v>
      </c>
      <c r="I28" s="112">
        <f>H28+1</f>
        <v>4</v>
      </c>
      <c r="J28" s="112">
        <f>I28+1</f>
        <v>5</v>
      </c>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row>
    <row r="29" spans="1:108" outlineLevel="1" x14ac:dyDescent="0.2">
      <c r="A29" s="220"/>
      <c r="B29" s="220"/>
      <c r="C29" s="220"/>
      <c r="D29" s="220"/>
      <c r="E29" s="86">
        <f t="shared" ref="E29:J29" si="10">IF($B$19&lt;&gt;0,VLOOKUP($B$19,$C$32:$J$34,E30)*$G25,0)</f>
        <v>0</v>
      </c>
      <c r="F29" s="86">
        <f t="shared" si="10"/>
        <v>0</v>
      </c>
      <c r="G29" s="86">
        <f t="shared" si="10"/>
        <v>0</v>
      </c>
      <c r="H29" s="86">
        <f t="shared" si="10"/>
        <v>0</v>
      </c>
      <c r="I29" s="86">
        <f t="shared" si="10"/>
        <v>0</v>
      </c>
      <c r="J29" s="86">
        <f t="shared" si="10"/>
        <v>0</v>
      </c>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row>
    <row r="30" spans="1:108" outlineLevel="1" x14ac:dyDescent="0.2">
      <c r="A30" s="220"/>
      <c r="B30" s="220"/>
      <c r="C30" s="220"/>
      <c r="D30" s="220"/>
      <c r="E30" s="269">
        <v>3</v>
      </c>
      <c r="F30" s="269">
        <v>4</v>
      </c>
      <c r="G30" s="269">
        <v>5</v>
      </c>
      <c r="H30" s="269">
        <v>6</v>
      </c>
      <c r="I30" s="269">
        <v>7</v>
      </c>
      <c r="J30" s="269">
        <v>8</v>
      </c>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row>
    <row r="31" spans="1:108" outlineLevel="1" x14ac:dyDescent="0.2">
      <c r="A31" s="220"/>
      <c r="B31" s="220"/>
      <c r="C31" s="220"/>
      <c r="D31" s="46" t="s">
        <v>362</v>
      </c>
      <c r="E31" s="108">
        <f t="shared" ref="E31:J31" si="11">E28</f>
        <v>0</v>
      </c>
      <c r="F31" s="108">
        <f t="shared" si="11"/>
        <v>1</v>
      </c>
      <c r="G31" s="108">
        <f t="shared" si="11"/>
        <v>2</v>
      </c>
      <c r="H31" s="108">
        <f t="shared" si="11"/>
        <v>3</v>
      </c>
      <c r="I31" s="108">
        <f t="shared" si="11"/>
        <v>4</v>
      </c>
      <c r="J31" s="108">
        <f t="shared" si="11"/>
        <v>5</v>
      </c>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row>
    <row r="32" spans="1:108" outlineLevel="1" x14ac:dyDescent="0.2">
      <c r="A32" s="220"/>
      <c r="B32" s="220"/>
      <c r="C32" s="212">
        <v>1</v>
      </c>
      <c r="D32" s="270" t="s">
        <v>274</v>
      </c>
      <c r="E32" s="86">
        <f>SUMPRODUCT(($D$203:$D$221=E31)*($E$202:$DA$202&gt;=$E$23)*($E$202:$DA$202&lt;=$F$23)*($E$203:$DA$221))</f>
        <v>0</v>
      </c>
      <c r="F32" s="86">
        <f t="shared" ref="F32:J32" si="12">SUMPRODUCT(($D$203:$D$221=F31)*($E$202:$DA$202&gt;=$E$23)*($E$202:$DA$202&lt;=$F$23)*($E$203:$DA$221))</f>
        <v>0</v>
      </c>
      <c r="G32" s="86">
        <f t="shared" si="12"/>
        <v>0</v>
      </c>
      <c r="H32" s="86">
        <f t="shared" si="12"/>
        <v>0</v>
      </c>
      <c r="I32" s="86">
        <f t="shared" si="12"/>
        <v>0</v>
      </c>
      <c r="J32" s="86">
        <f t="shared" si="12"/>
        <v>0</v>
      </c>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row>
    <row r="33" spans="1:108" outlineLevel="1" x14ac:dyDescent="0.2">
      <c r="A33" s="220"/>
      <c r="B33" s="220"/>
      <c r="C33" s="212">
        <v>2</v>
      </c>
      <c r="D33" s="270" t="s">
        <v>277</v>
      </c>
      <c r="E33" s="86">
        <f>SUMPRODUCT(($D$228:$D$246=E31)*($E$227:$DA$227&gt;=$E$23)*($E$227:$DA$227&lt;=$F$23)*($E$228:$DA$246))</f>
        <v>0</v>
      </c>
      <c r="F33" s="86">
        <f t="shared" ref="F33:J33" si="13">SUMPRODUCT(($D$228:$D$246=F31)*($E$227:$DA$227&gt;=$E$23)*($E$227:$DA$227&lt;=$F$23)*($E$228:$DA$246))</f>
        <v>0</v>
      </c>
      <c r="G33" s="86">
        <f t="shared" si="13"/>
        <v>0</v>
      </c>
      <c r="H33" s="86">
        <f t="shared" si="13"/>
        <v>0</v>
      </c>
      <c r="I33" s="86">
        <f t="shared" si="13"/>
        <v>0</v>
      </c>
      <c r="J33" s="86">
        <f t="shared" si="13"/>
        <v>0</v>
      </c>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row>
    <row r="34" spans="1:108" outlineLevel="1" x14ac:dyDescent="0.2">
      <c r="A34" s="220"/>
      <c r="B34" s="220"/>
      <c r="C34" s="212">
        <v>3</v>
      </c>
      <c r="D34" s="270" t="s">
        <v>278</v>
      </c>
      <c r="E34" s="86">
        <f>SUMPRODUCT(($D$253:$D$271=E31)*($E$252:$DA$252&gt;=$E$23)*($E$252:$DA$252&lt;=$F$23)*($E$253:$DA$271))</f>
        <v>0</v>
      </c>
      <c r="F34" s="86">
        <f t="shared" ref="F34:J34" si="14">SUMPRODUCT(($D$253:$D$271=F31)*($E$252:$DA$252&gt;=$E$23)*($E$252:$DA$252&lt;=$F$23)*($E$253:$DA$271))</f>
        <v>0</v>
      </c>
      <c r="G34" s="86">
        <f t="shared" si="14"/>
        <v>0</v>
      </c>
      <c r="H34" s="86">
        <f t="shared" si="14"/>
        <v>0</v>
      </c>
      <c r="I34" s="86">
        <f t="shared" si="14"/>
        <v>0</v>
      </c>
      <c r="J34" s="86">
        <f t="shared" si="14"/>
        <v>0</v>
      </c>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row>
    <row r="35" spans="1:108" outlineLevel="1" x14ac:dyDescent="0.2">
      <c r="A35" s="220"/>
      <c r="B35" s="220"/>
      <c r="C35" s="220"/>
      <c r="D35" s="6"/>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row>
    <row r="36" spans="1:108" x14ac:dyDescent="0.2">
      <c r="A36" s="220"/>
      <c r="B36" s="220"/>
      <c r="C36" s="220"/>
      <c r="D36" s="6"/>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row>
    <row r="37" spans="1:108" ht="15.75" x14ac:dyDescent="0.2">
      <c r="A37" s="220"/>
      <c r="B37" s="83">
        <f>IF(H40&lt;&gt;"",VLOOKUP(H40,GenderCode,2,FALSE),0)</f>
        <v>0</v>
      </c>
      <c r="C37" s="212">
        <v>2</v>
      </c>
      <c r="D37" s="110" t="str">
        <f>IF(B37=0,MsgNotUsed, CONCATENATE("Australian population ", C37, ": ", H40, " ", E41, " - ", F41, " yrs inclusive (", E46, "-", J46, ")"))</f>
        <v>** NOT USED **</v>
      </c>
      <c r="E37" s="178"/>
      <c r="F37" s="178"/>
      <c r="G37" s="178"/>
      <c r="H37" s="178"/>
      <c r="I37" s="268"/>
      <c r="J37" s="178"/>
      <c r="K37" s="178"/>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row>
    <row r="38" spans="1:108" ht="14.25" outlineLevel="1" x14ac:dyDescent="0.2">
      <c r="A38" s="220"/>
      <c r="B38" s="220"/>
      <c r="C38" s="220"/>
      <c r="D38" s="209"/>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row>
    <row r="39" spans="1:108" outlineLevel="1" x14ac:dyDescent="0.2">
      <c r="A39" s="220"/>
      <c r="B39" s="220"/>
      <c r="C39" s="220"/>
      <c r="D39" s="6"/>
      <c r="E39" s="114" t="s">
        <v>279</v>
      </c>
      <c r="F39" s="114" t="s">
        <v>280</v>
      </c>
      <c r="G39" s="220"/>
      <c r="H39" s="114" t="s">
        <v>52</v>
      </c>
      <c r="I39" s="220"/>
      <c r="J39" s="114" t="s">
        <v>405</v>
      </c>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row>
    <row r="40" spans="1:108" outlineLevel="1" x14ac:dyDescent="0.2">
      <c r="A40" s="220"/>
      <c r="B40" s="220"/>
      <c r="C40" s="220"/>
      <c r="D40" s="58" t="s">
        <v>276</v>
      </c>
      <c r="E40" s="65"/>
      <c r="F40" s="65"/>
      <c r="G40" s="220"/>
      <c r="H40" s="107"/>
      <c r="I40" s="220"/>
      <c r="J40" s="107"/>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row>
    <row r="41" spans="1:108" outlineLevel="1" x14ac:dyDescent="0.2">
      <c r="A41" s="220"/>
      <c r="B41" s="220"/>
      <c r="C41" s="220"/>
      <c r="D41" s="6"/>
      <c r="E41" s="155">
        <f>IF(E40="",0,E40)</f>
        <v>0</v>
      </c>
      <c r="F41" s="155">
        <f>IF(F40="",100,F40)</f>
        <v>100</v>
      </c>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row>
    <row r="42" spans="1:108" outlineLevel="1" x14ac:dyDescent="0.2">
      <c r="A42" s="220"/>
      <c r="B42" s="220"/>
      <c r="C42" s="220"/>
      <c r="D42" s="220"/>
      <c r="E42" s="428" t="s">
        <v>512</v>
      </c>
      <c r="F42" s="428" t="s">
        <v>513</v>
      </c>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row>
    <row r="43" spans="1:108" outlineLevel="1" x14ac:dyDescent="0.2">
      <c r="A43" s="220"/>
      <c r="B43" s="220"/>
      <c r="C43" s="220"/>
      <c r="D43" s="58" t="s">
        <v>511</v>
      </c>
      <c r="E43" s="65"/>
      <c r="F43" s="65"/>
      <c r="G43" s="440">
        <f>IF(AND(E43&lt;&gt;"",F43&lt;&gt;""),E43/F43,1)</f>
        <v>1</v>
      </c>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row>
    <row r="44" spans="1:108" outlineLevel="1" x14ac:dyDescent="0.2">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row>
    <row r="45" spans="1:108" outlineLevel="1" x14ac:dyDescent="0.2">
      <c r="A45" s="220"/>
      <c r="B45" s="220"/>
      <c r="C45" s="220"/>
      <c r="D45" s="220"/>
      <c r="E45" s="195" t="s">
        <v>289</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row>
    <row r="46" spans="1:108" outlineLevel="1" x14ac:dyDescent="0.2">
      <c r="A46" s="220"/>
      <c r="B46" s="220"/>
      <c r="C46" s="220"/>
      <c r="D46" s="6"/>
      <c r="E46" s="108">
        <f>IF(J40&lt;&gt;"",J40,FirstYear)</f>
        <v>0</v>
      </c>
      <c r="F46" s="112">
        <f>E46+1</f>
        <v>1</v>
      </c>
      <c r="G46" s="112">
        <f>F46+1</f>
        <v>2</v>
      </c>
      <c r="H46" s="112">
        <f>G46+1</f>
        <v>3</v>
      </c>
      <c r="I46" s="112">
        <f>H46+1</f>
        <v>4</v>
      </c>
      <c r="J46" s="112">
        <f>I46+1</f>
        <v>5</v>
      </c>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row>
    <row r="47" spans="1:108" outlineLevel="1" x14ac:dyDescent="0.2">
      <c r="A47" s="220"/>
      <c r="B47" s="220"/>
      <c r="C47" s="220"/>
      <c r="D47" s="220"/>
      <c r="E47" s="86">
        <f t="shared" ref="E47:J47" si="15">IF($B$37&lt;&gt;0,VLOOKUP($B$37,$C$50:$J$52,E48)*$G43,0)</f>
        <v>0</v>
      </c>
      <c r="F47" s="86">
        <f t="shared" si="15"/>
        <v>0</v>
      </c>
      <c r="G47" s="86">
        <f t="shared" si="15"/>
        <v>0</v>
      </c>
      <c r="H47" s="86">
        <f t="shared" si="15"/>
        <v>0</v>
      </c>
      <c r="I47" s="86">
        <f t="shared" si="15"/>
        <v>0</v>
      </c>
      <c r="J47" s="86">
        <f t="shared" si="15"/>
        <v>0</v>
      </c>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row>
    <row r="48" spans="1:108" outlineLevel="1" x14ac:dyDescent="0.2">
      <c r="A48" s="220"/>
      <c r="B48" s="220"/>
      <c r="C48" s="220"/>
      <c r="D48" s="220"/>
      <c r="E48" s="269">
        <v>3</v>
      </c>
      <c r="F48" s="269">
        <v>4</v>
      </c>
      <c r="G48" s="269">
        <v>5</v>
      </c>
      <c r="H48" s="269">
        <v>6</v>
      </c>
      <c r="I48" s="269">
        <v>7</v>
      </c>
      <c r="J48" s="269">
        <v>8</v>
      </c>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row>
    <row r="49" spans="1:108" outlineLevel="1" x14ac:dyDescent="0.2">
      <c r="A49" s="220"/>
      <c r="B49" s="220"/>
      <c r="C49" s="220"/>
      <c r="D49" s="46" t="s">
        <v>362</v>
      </c>
      <c r="E49" s="108">
        <f t="shared" ref="E49:J49" si="16">E46</f>
        <v>0</v>
      </c>
      <c r="F49" s="108">
        <f t="shared" si="16"/>
        <v>1</v>
      </c>
      <c r="G49" s="108">
        <f t="shared" si="16"/>
        <v>2</v>
      </c>
      <c r="H49" s="108">
        <f t="shared" si="16"/>
        <v>3</v>
      </c>
      <c r="I49" s="108">
        <f t="shared" si="16"/>
        <v>4</v>
      </c>
      <c r="J49" s="108">
        <f t="shared" si="16"/>
        <v>5</v>
      </c>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row>
    <row r="50" spans="1:108" outlineLevel="1" x14ac:dyDescent="0.2">
      <c r="A50" s="220"/>
      <c r="B50" s="220"/>
      <c r="C50" s="212">
        <v>1</v>
      </c>
      <c r="D50" s="270" t="s">
        <v>274</v>
      </c>
      <c r="E50" s="86">
        <f>SUMPRODUCT(($D$203:$D$221=E49)*($E$202:$DA$202&gt;=$E$41)*($E$202:$DA$202&lt;=$F$41)*($E$203:$DA$221))</f>
        <v>0</v>
      </c>
      <c r="F50" s="86">
        <f t="shared" ref="F50:J50" si="17">SUMPRODUCT(($D$203:$D$221=F49)*($E$202:$DA$202&gt;=$E$41)*($E$202:$DA$202&lt;=$F$41)*($E$203:$DA$221))</f>
        <v>0</v>
      </c>
      <c r="G50" s="86">
        <f t="shared" si="17"/>
        <v>0</v>
      </c>
      <c r="H50" s="86">
        <f t="shared" si="17"/>
        <v>0</v>
      </c>
      <c r="I50" s="86">
        <f t="shared" si="17"/>
        <v>0</v>
      </c>
      <c r="J50" s="86">
        <f t="shared" si="17"/>
        <v>0</v>
      </c>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row>
    <row r="51" spans="1:108" outlineLevel="1" x14ac:dyDescent="0.2">
      <c r="A51" s="220"/>
      <c r="B51" s="220"/>
      <c r="C51" s="212">
        <v>2</v>
      </c>
      <c r="D51" s="270" t="s">
        <v>277</v>
      </c>
      <c r="E51" s="86">
        <f>SUMPRODUCT(($D$228:$D$246=E49)*($E$227:$DA$227&gt;=$E$41)*($E$227:$DA$227&lt;=$F$41)*($E$228:$DA$246))</f>
        <v>0</v>
      </c>
      <c r="F51" s="86">
        <f t="shared" ref="F51:J51" si="18">SUMPRODUCT(($D$228:$D$246=F49)*($E$227:$DA$227&gt;=$E$41)*($E$227:$DA$227&lt;=$F$41)*($E$228:$DA$246))</f>
        <v>0</v>
      </c>
      <c r="G51" s="86">
        <f t="shared" si="18"/>
        <v>0</v>
      </c>
      <c r="H51" s="86">
        <f t="shared" si="18"/>
        <v>0</v>
      </c>
      <c r="I51" s="86">
        <f t="shared" si="18"/>
        <v>0</v>
      </c>
      <c r="J51" s="86">
        <f t="shared" si="18"/>
        <v>0</v>
      </c>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row>
    <row r="52" spans="1:108" outlineLevel="1" x14ac:dyDescent="0.2">
      <c r="A52" s="220"/>
      <c r="B52" s="220"/>
      <c r="C52" s="212">
        <v>3</v>
      </c>
      <c r="D52" s="270" t="s">
        <v>278</v>
      </c>
      <c r="E52" s="86">
        <f>SUMPRODUCT(($D$253:$D$271=E49)*($E$252:$DA$252&gt;=$E$41)*($E$252:$DA$252&lt;=$F$41)*($E$253:$DA$271))</f>
        <v>0</v>
      </c>
      <c r="F52" s="86">
        <f t="shared" ref="F52:J52" si="19">SUMPRODUCT(($D$253:$D$271=F49)*($E$252:$DA$252&gt;=$E$41)*($E$252:$DA$252&lt;=$F$41)*($E$253:$DA$271))</f>
        <v>0</v>
      </c>
      <c r="G52" s="86">
        <f t="shared" si="19"/>
        <v>0</v>
      </c>
      <c r="H52" s="86">
        <f t="shared" si="19"/>
        <v>0</v>
      </c>
      <c r="I52" s="86">
        <f t="shared" si="19"/>
        <v>0</v>
      </c>
      <c r="J52" s="86">
        <f t="shared" si="19"/>
        <v>0</v>
      </c>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row>
    <row r="53" spans="1:108" outlineLevel="1" x14ac:dyDescent="0.2">
      <c r="A53" s="220"/>
      <c r="B53" s="220"/>
      <c r="C53" s="220"/>
      <c r="D53" s="6"/>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row>
    <row r="54" spans="1:108" x14ac:dyDescent="0.2">
      <c r="A54" s="220"/>
      <c r="B54" s="220"/>
      <c r="C54" s="220"/>
      <c r="D54" s="6"/>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row>
    <row r="55" spans="1:108" ht="15.75" x14ac:dyDescent="0.2">
      <c r="A55" s="220"/>
      <c r="B55" s="83">
        <f>IF(H58&lt;&gt;"",VLOOKUP(H58,GenderCode,2,FALSE),0)</f>
        <v>0</v>
      </c>
      <c r="C55" s="212">
        <v>3</v>
      </c>
      <c r="D55" s="110" t="str">
        <f>IF(B55=0,MsgNotUsed, CONCATENATE("Australian population ", C55, ": ", H58, " ", E59, " - ", F59, " yrs inclusive (", E64, "-", J64, ")"))</f>
        <v>** NOT USED **</v>
      </c>
      <c r="E55" s="178"/>
      <c r="F55" s="178"/>
      <c r="G55" s="178"/>
      <c r="H55" s="178"/>
      <c r="I55" s="268"/>
      <c r="J55" s="178"/>
      <c r="K55" s="178"/>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row>
    <row r="56" spans="1:108" ht="14.25" outlineLevel="1" x14ac:dyDescent="0.2">
      <c r="A56" s="220"/>
      <c r="B56" s="220"/>
      <c r="C56" s="220"/>
      <c r="D56" s="209"/>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row>
    <row r="57" spans="1:108" outlineLevel="1" x14ac:dyDescent="0.2">
      <c r="A57" s="220"/>
      <c r="B57" s="220"/>
      <c r="C57" s="220"/>
      <c r="D57" s="6"/>
      <c r="E57" s="114" t="s">
        <v>279</v>
      </c>
      <c r="F57" s="114" t="s">
        <v>280</v>
      </c>
      <c r="G57" s="220"/>
      <c r="H57" s="114" t="s">
        <v>52</v>
      </c>
      <c r="I57" s="220"/>
      <c r="J57" s="114" t="s">
        <v>405</v>
      </c>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outlineLevel="1" x14ac:dyDescent="0.2">
      <c r="A58" s="220"/>
      <c r="B58" s="220"/>
      <c r="C58" s="220"/>
      <c r="D58" s="58" t="s">
        <v>276</v>
      </c>
      <c r="E58" s="65"/>
      <c r="F58" s="65"/>
      <c r="G58" s="220"/>
      <c r="H58" s="107"/>
      <c r="I58" s="220"/>
      <c r="J58" s="107"/>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outlineLevel="1" x14ac:dyDescent="0.2">
      <c r="A59" s="220"/>
      <c r="B59" s="220"/>
      <c r="C59" s="220"/>
      <c r="D59" s="6"/>
      <c r="E59" s="155">
        <f>IF(E58="",0,E58)</f>
        <v>0</v>
      </c>
      <c r="F59" s="155">
        <f>IF(F58="",100,F58)</f>
        <v>100</v>
      </c>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outlineLevel="1" x14ac:dyDescent="0.2">
      <c r="A60" s="220"/>
      <c r="B60" s="220"/>
      <c r="C60" s="220"/>
      <c r="D60" s="220"/>
      <c r="E60" s="428" t="s">
        <v>512</v>
      </c>
      <c r="F60" s="428" t="s">
        <v>513</v>
      </c>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row>
    <row r="61" spans="1:108" outlineLevel="1" x14ac:dyDescent="0.2">
      <c r="A61" s="220"/>
      <c r="B61" s="220"/>
      <c r="C61" s="220"/>
      <c r="D61" s="58" t="s">
        <v>511</v>
      </c>
      <c r="E61" s="65"/>
      <c r="F61" s="65"/>
      <c r="G61" s="440">
        <f>IF(AND(E61&lt;&gt;"",F61&lt;&gt;""),E61/F61,1)</f>
        <v>1</v>
      </c>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row>
    <row r="62" spans="1:108" outlineLevel="1" x14ac:dyDescent="0.2">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row>
    <row r="63" spans="1:108" outlineLevel="1" x14ac:dyDescent="0.2">
      <c r="A63" s="220"/>
      <c r="B63" s="220"/>
      <c r="C63" s="220"/>
      <c r="D63" s="220"/>
      <c r="E63" s="195" t="s">
        <v>289</v>
      </c>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row>
    <row r="64" spans="1:108" outlineLevel="1" x14ac:dyDescent="0.2">
      <c r="A64" s="220"/>
      <c r="B64" s="220"/>
      <c r="C64" s="220"/>
      <c r="D64" s="6"/>
      <c r="E64" s="108">
        <f>IF(J58&lt;&gt;"",J58,FirstYear)</f>
        <v>0</v>
      </c>
      <c r="F64" s="112">
        <f>E64+1</f>
        <v>1</v>
      </c>
      <c r="G64" s="112">
        <f>F64+1</f>
        <v>2</v>
      </c>
      <c r="H64" s="112">
        <f>G64+1</f>
        <v>3</v>
      </c>
      <c r="I64" s="112">
        <f>H64+1</f>
        <v>4</v>
      </c>
      <c r="J64" s="112">
        <f>I64+1</f>
        <v>5</v>
      </c>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row>
    <row r="65" spans="1:108" outlineLevel="1" x14ac:dyDescent="0.2">
      <c r="A65" s="220"/>
      <c r="B65" s="220"/>
      <c r="C65" s="220"/>
      <c r="D65" s="220"/>
      <c r="E65" s="86">
        <f t="shared" ref="E65:J65" si="20">IF($B$55&lt;&gt;0,VLOOKUP($B$55,$C$68:$J$70,E66)*$G61,0)</f>
        <v>0</v>
      </c>
      <c r="F65" s="86">
        <f t="shared" si="20"/>
        <v>0</v>
      </c>
      <c r="G65" s="86">
        <f t="shared" si="20"/>
        <v>0</v>
      </c>
      <c r="H65" s="86">
        <f t="shared" si="20"/>
        <v>0</v>
      </c>
      <c r="I65" s="86">
        <f t="shared" si="20"/>
        <v>0</v>
      </c>
      <c r="J65" s="86">
        <f t="shared" si="20"/>
        <v>0</v>
      </c>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row>
    <row r="66" spans="1:108" outlineLevel="1" x14ac:dyDescent="0.2">
      <c r="A66" s="220"/>
      <c r="B66" s="220"/>
      <c r="C66" s="220"/>
      <c r="D66" s="220"/>
      <c r="E66" s="269">
        <v>3</v>
      </c>
      <c r="F66" s="269">
        <v>4</v>
      </c>
      <c r="G66" s="269">
        <v>5</v>
      </c>
      <c r="H66" s="269">
        <v>6</v>
      </c>
      <c r="I66" s="269">
        <v>7</v>
      </c>
      <c r="J66" s="269">
        <v>8</v>
      </c>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row>
    <row r="67" spans="1:108" outlineLevel="1" x14ac:dyDescent="0.2">
      <c r="A67" s="220"/>
      <c r="B67" s="220"/>
      <c r="C67" s="220"/>
      <c r="D67" s="46" t="s">
        <v>362</v>
      </c>
      <c r="E67" s="108">
        <f t="shared" ref="E67:J67" si="21">E64</f>
        <v>0</v>
      </c>
      <c r="F67" s="108">
        <f t="shared" si="21"/>
        <v>1</v>
      </c>
      <c r="G67" s="108">
        <f t="shared" si="21"/>
        <v>2</v>
      </c>
      <c r="H67" s="108">
        <f t="shared" si="21"/>
        <v>3</v>
      </c>
      <c r="I67" s="108">
        <f t="shared" si="21"/>
        <v>4</v>
      </c>
      <c r="J67" s="108">
        <f t="shared" si="21"/>
        <v>5</v>
      </c>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row>
    <row r="68" spans="1:108" outlineLevel="1" x14ac:dyDescent="0.2">
      <c r="A68" s="220"/>
      <c r="B68" s="220"/>
      <c r="C68" s="212">
        <v>1</v>
      </c>
      <c r="D68" s="270" t="s">
        <v>274</v>
      </c>
      <c r="E68" s="86">
        <f>SUMPRODUCT(($D$203:$D$221=E67)*($E$202:$DA$202&gt;=$E$59)*($E$202:$DA$202&lt;=$F$59)*($E$203:$DA$221))</f>
        <v>0</v>
      </c>
      <c r="F68" s="86">
        <f t="shared" ref="F68:J68" si="22">SUMPRODUCT(($D$203:$D$221=F67)*($E$202:$DA$202&gt;=$E$59)*($E$202:$DA$202&lt;=$F$59)*($E$203:$DA$221))</f>
        <v>0</v>
      </c>
      <c r="G68" s="86">
        <f t="shared" si="22"/>
        <v>0</v>
      </c>
      <c r="H68" s="86">
        <f t="shared" si="22"/>
        <v>0</v>
      </c>
      <c r="I68" s="86">
        <f t="shared" si="22"/>
        <v>0</v>
      </c>
      <c r="J68" s="86">
        <f t="shared" si="22"/>
        <v>0</v>
      </c>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row>
    <row r="69" spans="1:108" outlineLevel="1" x14ac:dyDescent="0.2">
      <c r="A69" s="220"/>
      <c r="B69" s="220"/>
      <c r="C69" s="212">
        <v>2</v>
      </c>
      <c r="D69" s="270" t="s">
        <v>277</v>
      </c>
      <c r="E69" s="86">
        <f>SUMPRODUCT(($D$228:$D$246=E67)*($E$227:$DA$227&gt;=$E$59)*($E$227:$DA$227&lt;=$F$59)*($E$228:$DA$246))</f>
        <v>0</v>
      </c>
      <c r="F69" s="86">
        <f t="shared" ref="F69:J69" si="23">SUMPRODUCT(($D$228:$D$246=F67)*($E$227:$DA$227&gt;=$E$59)*($E$227:$DA$227&lt;=$F$59)*($E$228:$DA$246))</f>
        <v>0</v>
      </c>
      <c r="G69" s="86">
        <f t="shared" si="23"/>
        <v>0</v>
      </c>
      <c r="H69" s="86">
        <f t="shared" si="23"/>
        <v>0</v>
      </c>
      <c r="I69" s="86">
        <f t="shared" si="23"/>
        <v>0</v>
      </c>
      <c r="J69" s="86">
        <f t="shared" si="23"/>
        <v>0</v>
      </c>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row>
    <row r="70" spans="1:108" outlineLevel="1" x14ac:dyDescent="0.2">
      <c r="A70" s="220"/>
      <c r="B70" s="220"/>
      <c r="C70" s="212">
        <v>3</v>
      </c>
      <c r="D70" s="270" t="s">
        <v>278</v>
      </c>
      <c r="E70" s="86">
        <f>SUMPRODUCT(($D$253:$D$271=E67)*($E$252:$DA$252&gt;=$E$59)*($E$252:$DA$252&lt;=$F$59)*($E$253:$DA$271))</f>
        <v>0</v>
      </c>
      <c r="F70" s="86">
        <f t="shared" ref="F70:J70" si="24">SUMPRODUCT(($D$253:$D$271=F67)*($E$252:$DA$252&gt;=$E$59)*($E$252:$DA$252&lt;=$F$59)*($E$253:$DA$271))</f>
        <v>0</v>
      </c>
      <c r="G70" s="86">
        <f t="shared" si="24"/>
        <v>0</v>
      </c>
      <c r="H70" s="86">
        <f t="shared" si="24"/>
        <v>0</v>
      </c>
      <c r="I70" s="86">
        <f t="shared" si="24"/>
        <v>0</v>
      </c>
      <c r="J70" s="86">
        <f t="shared" si="24"/>
        <v>0</v>
      </c>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row>
    <row r="71" spans="1:108" outlineLevel="1" x14ac:dyDescent="0.2">
      <c r="A71" s="220"/>
      <c r="B71" s="220"/>
      <c r="C71" s="220"/>
      <c r="D71" s="6"/>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row>
    <row r="72" spans="1:108" x14ac:dyDescent="0.2">
      <c r="A72" s="220"/>
      <c r="B72" s="220"/>
      <c r="C72" s="220"/>
      <c r="D72" s="6"/>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row>
    <row r="73" spans="1:108" ht="15.75" x14ac:dyDescent="0.2">
      <c r="A73" s="220"/>
      <c r="B73" s="83">
        <f>IF(H76&lt;&gt;"",VLOOKUP(H76,GenderCode,2,FALSE),0)</f>
        <v>0</v>
      </c>
      <c r="C73" s="212">
        <v>4</v>
      </c>
      <c r="D73" s="110" t="str">
        <f>IF(B73=0,MsgNotUsed, CONCATENATE("Australian population ", C73, ": ", H76, " ", E77, " - ", F77, " yrs inclusive (", E82, "-", J82, ")"))</f>
        <v>** NOT USED **</v>
      </c>
      <c r="E73" s="178"/>
      <c r="F73" s="178"/>
      <c r="G73" s="178"/>
      <c r="H73" s="178"/>
      <c r="I73" s="268"/>
      <c r="J73" s="178"/>
      <c r="K73" s="178"/>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row>
    <row r="74" spans="1:108" ht="14.25" outlineLevel="1" x14ac:dyDescent="0.2">
      <c r="A74" s="220"/>
      <c r="B74" s="220"/>
      <c r="C74" s="220"/>
      <c r="D74" s="209"/>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row>
    <row r="75" spans="1:108" outlineLevel="1" x14ac:dyDescent="0.2">
      <c r="A75" s="220"/>
      <c r="B75" s="220"/>
      <c r="C75" s="220"/>
      <c r="D75" s="6"/>
      <c r="E75" s="114" t="s">
        <v>279</v>
      </c>
      <c r="F75" s="114" t="s">
        <v>280</v>
      </c>
      <c r="G75" s="220"/>
      <c r="H75" s="114" t="s">
        <v>52</v>
      </c>
      <c r="I75" s="220"/>
      <c r="J75" s="114" t="s">
        <v>405</v>
      </c>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row>
    <row r="76" spans="1:108" outlineLevel="1" x14ac:dyDescent="0.2">
      <c r="A76" s="220"/>
      <c r="B76" s="220"/>
      <c r="C76" s="220"/>
      <c r="D76" s="58" t="s">
        <v>276</v>
      </c>
      <c r="E76" s="65"/>
      <c r="F76" s="65"/>
      <c r="G76" s="220"/>
      <c r="H76" s="107"/>
      <c r="I76" s="220"/>
      <c r="J76" s="107"/>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row>
    <row r="77" spans="1:108" outlineLevel="1" x14ac:dyDescent="0.2">
      <c r="A77" s="220"/>
      <c r="B77" s="220"/>
      <c r="C77" s="220"/>
      <c r="D77" s="6"/>
      <c r="E77" s="155">
        <f>IF(E76="",0,E76)</f>
        <v>0</v>
      </c>
      <c r="F77" s="155">
        <f>IF(F76="",100,F76)</f>
        <v>100</v>
      </c>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row>
    <row r="78" spans="1:108" outlineLevel="1" x14ac:dyDescent="0.2">
      <c r="A78" s="220"/>
      <c r="B78" s="220"/>
      <c r="C78" s="220"/>
      <c r="D78" s="220"/>
      <c r="E78" s="428" t="s">
        <v>512</v>
      </c>
      <c r="F78" s="428" t="s">
        <v>513</v>
      </c>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row>
    <row r="79" spans="1:108" outlineLevel="1" x14ac:dyDescent="0.2">
      <c r="A79" s="220"/>
      <c r="B79" s="220"/>
      <c r="C79" s="220"/>
      <c r="D79" s="58" t="s">
        <v>511</v>
      </c>
      <c r="E79" s="65"/>
      <c r="F79" s="65"/>
      <c r="G79" s="440">
        <f>IF(AND(E79&lt;&gt;"",F79&lt;&gt;""),E79/F79,1)</f>
        <v>1</v>
      </c>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row>
    <row r="80" spans="1:108" outlineLevel="1" x14ac:dyDescent="0.2">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row>
    <row r="81" spans="1:108" outlineLevel="1" x14ac:dyDescent="0.2">
      <c r="A81" s="220"/>
      <c r="B81" s="220"/>
      <c r="C81" s="220"/>
      <c r="D81" s="220"/>
      <c r="E81" s="195" t="s">
        <v>289</v>
      </c>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row>
    <row r="82" spans="1:108" outlineLevel="1" x14ac:dyDescent="0.2">
      <c r="A82" s="220"/>
      <c r="B82" s="220"/>
      <c r="C82" s="220"/>
      <c r="D82" s="6"/>
      <c r="E82" s="108">
        <f>IF(J76&lt;&gt;"",J76,FirstYear)</f>
        <v>0</v>
      </c>
      <c r="F82" s="112">
        <f>E82+1</f>
        <v>1</v>
      </c>
      <c r="G82" s="112">
        <f>F82+1</f>
        <v>2</v>
      </c>
      <c r="H82" s="112">
        <f>G82+1</f>
        <v>3</v>
      </c>
      <c r="I82" s="112">
        <f>H82+1</f>
        <v>4</v>
      </c>
      <c r="J82" s="112">
        <f>I82+1</f>
        <v>5</v>
      </c>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row>
    <row r="83" spans="1:108" outlineLevel="1" x14ac:dyDescent="0.2">
      <c r="A83" s="220"/>
      <c r="B83" s="220"/>
      <c r="C83" s="220"/>
      <c r="D83" s="220"/>
      <c r="E83" s="86">
        <f t="shared" ref="E83:J83" si="25">IF($B$73&lt;&gt;0,VLOOKUP($B$73,$C$86:$J$88,E84)*$G79,0)</f>
        <v>0</v>
      </c>
      <c r="F83" s="86">
        <f t="shared" si="25"/>
        <v>0</v>
      </c>
      <c r="G83" s="86">
        <f t="shared" si="25"/>
        <v>0</v>
      </c>
      <c r="H83" s="86">
        <f t="shared" si="25"/>
        <v>0</v>
      </c>
      <c r="I83" s="86">
        <f t="shared" si="25"/>
        <v>0</v>
      </c>
      <c r="J83" s="86">
        <f t="shared" si="25"/>
        <v>0</v>
      </c>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row>
    <row r="84" spans="1:108" outlineLevel="1" x14ac:dyDescent="0.2">
      <c r="A84" s="220"/>
      <c r="B84" s="220"/>
      <c r="C84" s="220"/>
      <c r="D84" s="220"/>
      <c r="E84" s="269">
        <v>3</v>
      </c>
      <c r="F84" s="269">
        <v>4</v>
      </c>
      <c r="G84" s="269">
        <v>5</v>
      </c>
      <c r="H84" s="269">
        <v>6</v>
      </c>
      <c r="I84" s="269">
        <v>7</v>
      </c>
      <c r="J84" s="269">
        <v>8</v>
      </c>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row>
    <row r="85" spans="1:108" outlineLevel="1" x14ac:dyDescent="0.2">
      <c r="A85" s="220"/>
      <c r="B85" s="220"/>
      <c r="C85" s="220"/>
      <c r="D85" s="46" t="s">
        <v>362</v>
      </c>
      <c r="E85" s="108">
        <f t="shared" ref="E85:J85" si="26">E82</f>
        <v>0</v>
      </c>
      <c r="F85" s="108">
        <f t="shared" si="26"/>
        <v>1</v>
      </c>
      <c r="G85" s="108">
        <f t="shared" si="26"/>
        <v>2</v>
      </c>
      <c r="H85" s="108">
        <f t="shared" si="26"/>
        <v>3</v>
      </c>
      <c r="I85" s="108">
        <f t="shared" si="26"/>
        <v>4</v>
      </c>
      <c r="J85" s="108">
        <f t="shared" si="26"/>
        <v>5</v>
      </c>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row>
    <row r="86" spans="1:108" outlineLevel="1" x14ac:dyDescent="0.2">
      <c r="A86" s="220"/>
      <c r="B86" s="220"/>
      <c r="C86" s="212">
        <v>1</v>
      </c>
      <c r="D86" s="270" t="s">
        <v>274</v>
      </c>
      <c r="E86" s="86">
        <f>SUMPRODUCT(($D$203:$D$221=E85)*($E$202:$DA$202&gt;=$E$77)*($E$202:$DA$202&lt;=$F$77)*($E$203:$DA$221))</f>
        <v>0</v>
      </c>
      <c r="F86" s="86">
        <f t="shared" ref="F86:J86" si="27">SUMPRODUCT(($D$203:$D$221=F85)*($E$202:$DA$202&gt;=$E$77)*($E$202:$DA$202&lt;=$F$77)*($E$203:$DA$221))</f>
        <v>0</v>
      </c>
      <c r="G86" s="86">
        <f t="shared" si="27"/>
        <v>0</v>
      </c>
      <c r="H86" s="86">
        <f t="shared" si="27"/>
        <v>0</v>
      </c>
      <c r="I86" s="86">
        <f t="shared" si="27"/>
        <v>0</v>
      </c>
      <c r="J86" s="86">
        <f t="shared" si="27"/>
        <v>0</v>
      </c>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row>
    <row r="87" spans="1:108" outlineLevel="1" x14ac:dyDescent="0.2">
      <c r="A87" s="220"/>
      <c r="B87" s="220"/>
      <c r="C87" s="212">
        <v>2</v>
      </c>
      <c r="D87" s="270" t="s">
        <v>277</v>
      </c>
      <c r="E87" s="86">
        <f>SUMPRODUCT(($D$228:$D$246=E85)*($E$227:$DA$227&gt;=$E$77)*($E$227:$DA$227&lt;=$F$77)*($E$228:$DA$246))</f>
        <v>0</v>
      </c>
      <c r="F87" s="86">
        <f t="shared" ref="F87:J87" si="28">SUMPRODUCT(($D$228:$D$246=F85)*($E$227:$DA$227&gt;=$E$77)*($E$227:$DA$227&lt;=$F$77)*($E$228:$DA$246))</f>
        <v>0</v>
      </c>
      <c r="G87" s="86">
        <f t="shared" si="28"/>
        <v>0</v>
      </c>
      <c r="H87" s="86">
        <f t="shared" si="28"/>
        <v>0</v>
      </c>
      <c r="I87" s="86">
        <f t="shared" si="28"/>
        <v>0</v>
      </c>
      <c r="J87" s="86">
        <f t="shared" si="28"/>
        <v>0</v>
      </c>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row>
    <row r="88" spans="1:108" outlineLevel="1" x14ac:dyDescent="0.2">
      <c r="A88" s="220"/>
      <c r="B88" s="220"/>
      <c r="C88" s="212">
        <v>3</v>
      </c>
      <c r="D88" s="270" t="s">
        <v>278</v>
      </c>
      <c r="E88" s="86">
        <f>SUMPRODUCT(($D$253:$D$271=E85)*($E$252:$DA$252&gt;=$E$77)*($E$252:$DA$252&lt;=$F$77)*($E$253:$DA$271))</f>
        <v>0</v>
      </c>
      <c r="F88" s="86">
        <f t="shared" ref="F88:J88" si="29">SUMPRODUCT(($D$253:$D$271=F85)*($E$252:$DA$252&gt;=$E$77)*($E$252:$DA$252&lt;=$F$77)*($E$253:$DA$271))</f>
        <v>0</v>
      </c>
      <c r="G88" s="86">
        <f t="shared" si="29"/>
        <v>0</v>
      </c>
      <c r="H88" s="86">
        <f t="shared" si="29"/>
        <v>0</v>
      </c>
      <c r="I88" s="86">
        <f t="shared" si="29"/>
        <v>0</v>
      </c>
      <c r="J88" s="86">
        <f t="shared" si="29"/>
        <v>0</v>
      </c>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row>
    <row r="89" spans="1:108" outlineLevel="1" x14ac:dyDescent="0.2">
      <c r="A89" s="220"/>
      <c r="B89" s="220"/>
      <c r="C89" s="220"/>
      <c r="D89" s="6"/>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row>
    <row r="90" spans="1:108" x14ac:dyDescent="0.2">
      <c r="A90" s="220"/>
      <c r="B90" s="220"/>
      <c r="C90" s="220"/>
      <c r="D90" s="6"/>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row>
    <row r="91" spans="1:108" ht="15.75" x14ac:dyDescent="0.2">
      <c r="A91" s="220"/>
      <c r="B91" s="83">
        <f>IF(H94&lt;&gt;"",VLOOKUP(H94,GenderCode,2,FALSE),0)</f>
        <v>0</v>
      </c>
      <c r="C91" s="212">
        <v>5</v>
      </c>
      <c r="D91" s="110" t="str">
        <f>IF(B91=0,MsgNotUsed, CONCATENATE("Australian population ", C91, ": ", H94, " ", E95, " - ", F95, " yrs inclusive (", E100, "-", J100, ")"))</f>
        <v>** NOT USED **</v>
      </c>
      <c r="E91" s="178"/>
      <c r="F91" s="178"/>
      <c r="G91" s="178"/>
      <c r="H91" s="178"/>
      <c r="I91" s="268"/>
      <c r="J91" s="178"/>
      <c r="K91" s="178"/>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row>
    <row r="92" spans="1:108" ht="14.25" outlineLevel="1" x14ac:dyDescent="0.2">
      <c r="A92" s="220"/>
      <c r="B92" s="220"/>
      <c r="C92" s="220"/>
      <c r="D92" s="209"/>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row>
    <row r="93" spans="1:108" outlineLevel="1" x14ac:dyDescent="0.2">
      <c r="A93" s="220"/>
      <c r="B93" s="220"/>
      <c r="C93" s="220"/>
      <c r="D93" s="6"/>
      <c r="E93" s="114" t="s">
        <v>279</v>
      </c>
      <c r="F93" s="114" t="s">
        <v>280</v>
      </c>
      <c r="G93" s="220"/>
      <c r="H93" s="114" t="s">
        <v>52</v>
      </c>
      <c r="I93" s="220"/>
      <c r="J93" s="114" t="s">
        <v>405</v>
      </c>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row>
    <row r="94" spans="1:108" outlineLevel="1" x14ac:dyDescent="0.2">
      <c r="A94" s="220"/>
      <c r="B94" s="220"/>
      <c r="C94" s="220"/>
      <c r="D94" s="58" t="s">
        <v>276</v>
      </c>
      <c r="E94" s="65"/>
      <c r="F94" s="65"/>
      <c r="G94" s="220"/>
      <c r="H94" s="107"/>
      <c r="I94" s="220"/>
      <c r="J94" s="107"/>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row>
    <row r="95" spans="1:108" outlineLevel="1" x14ac:dyDescent="0.2">
      <c r="A95" s="220"/>
      <c r="B95" s="220"/>
      <c r="C95" s="220"/>
      <c r="D95" s="6"/>
      <c r="E95" s="155">
        <f>IF(E94="",0,E94)</f>
        <v>0</v>
      </c>
      <c r="F95" s="155">
        <f>IF(F94="",100,F94)</f>
        <v>100</v>
      </c>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row>
    <row r="96" spans="1:108" outlineLevel="1" x14ac:dyDescent="0.2">
      <c r="A96" s="220"/>
      <c r="B96" s="220"/>
      <c r="C96" s="220"/>
      <c r="D96" s="220"/>
      <c r="E96" s="428" t="s">
        <v>512</v>
      </c>
      <c r="F96" s="428" t="s">
        <v>513</v>
      </c>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row>
    <row r="97" spans="1:108" outlineLevel="1" x14ac:dyDescent="0.2">
      <c r="A97" s="220"/>
      <c r="B97" s="220"/>
      <c r="C97" s="220"/>
      <c r="D97" s="58" t="s">
        <v>511</v>
      </c>
      <c r="E97" s="65"/>
      <c r="F97" s="65"/>
      <c r="G97" s="440">
        <f>IF(AND(E97&lt;&gt;"",F97&lt;&gt;""),E97/F97,1)</f>
        <v>1</v>
      </c>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row>
    <row r="98" spans="1:108" outlineLevel="1" x14ac:dyDescent="0.2">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row>
    <row r="99" spans="1:108" outlineLevel="1" x14ac:dyDescent="0.2">
      <c r="A99" s="220"/>
      <c r="B99" s="220"/>
      <c r="C99" s="220"/>
      <c r="D99" s="220"/>
      <c r="E99" s="195" t="s">
        <v>289</v>
      </c>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row>
    <row r="100" spans="1:108" outlineLevel="1" x14ac:dyDescent="0.2">
      <c r="A100" s="220"/>
      <c r="B100" s="220"/>
      <c r="C100" s="220"/>
      <c r="D100" s="6"/>
      <c r="E100" s="108">
        <f>IF(J94&lt;&gt;"",J94,FirstYear)</f>
        <v>0</v>
      </c>
      <c r="F100" s="112">
        <f>E100+1</f>
        <v>1</v>
      </c>
      <c r="G100" s="112">
        <f>F100+1</f>
        <v>2</v>
      </c>
      <c r="H100" s="112">
        <f>G100+1</f>
        <v>3</v>
      </c>
      <c r="I100" s="112">
        <f>H100+1</f>
        <v>4</v>
      </c>
      <c r="J100" s="112">
        <f>I100+1</f>
        <v>5</v>
      </c>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row>
    <row r="101" spans="1:108" outlineLevel="1" x14ac:dyDescent="0.2">
      <c r="A101" s="220"/>
      <c r="B101" s="220"/>
      <c r="C101" s="220"/>
      <c r="D101" s="220"/>
      <c r="E101" s="86">
        <f t="shared" ref="E101:J101" si="30">IF($B$91&lt;&gt;0,VLOOKUP($B$91,$C$104:$J$106,E102)*$G97,0)</f>
        <v>0</v>
      </c>
      <c r="F101" s="86">
        <f t="shared" si="30"/>
        <v>0</v>
      </c>
      <c r="G101" s="86">
        <f t="shared" si="30"/>
        <v>0</v>
      </c>
      <c r="H101" s="86">
        <f t="shared" si="30"/>
        <v>0</v>
      </c>
      <c r="I101" s="86">
        <f t="shared" si="30"/>
        <v>0</v>
      </c>
      <c r="J101" s="86">
        <f t="shared" si="30"/>
        <v>0</v>
      </c>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row>
    <row r="102" spans="1:108" outlineLevel="1" x14ac:dyDescent="0.2">
      <c r="A102" s="220"/>
      <c r="B102" s="220"/>
      <c r="C102" s="220"/>
      <c r="D102" s="220"/>
      <c r="E102" s="269">
        <v>3</v>
      </c>
      <c r="F102" s="269">
        <v>4</v>
      </c>
      <c r="G102" s="269">
        <v>5</v>
      </c>
      <c r="H102" s="269">
        <v>6</v>
      </c>
      <c r="I102" s="269">
        <v>7</v>
      </c>
      <c r="J102" s="269">
        <v>8</v>
      </c>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row>
    <row r="103" spans="1:108" outlineLevel="1" x14ac:dyDescent="0.2">
      <c r="A103" s="220"/>
      <c r="B103" s="220"/>
      <c r="C103" s="220"/>
      <c r="D103" s="46" t="s">
        <v>362</v>
      </c>
      <c r="E103" s="108">
        <f t="shared" ref="E103:J103" si="31">E100</f>
        <v>0</v>
      </c>
      <c r="F103" s="108">
        <f t="shared" si="31"/>
        <v>1</v>
      </c>
      <c r="G103" s="108">
        <f t="shared" si="31"/>
        <v>2</v>
      </c>
      <c r="H103" s="108">
        <f t="shared" si="31"/>
        <v>3</v>
      </c>
      <c r="I103" s="108">
        <f t="shared" si="31"/>
        <v>4</v>
      </c>
      <c r="J103" s="108">
        <f t="shared" si="31"/>
        <v>5</v>
      </c>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row>
    <row r="104" spans="1:108" outlineLevel="1" x14ac:dyDescent="0.2">
      <c r="A104" s="220"/>
      <c r="B104" s="220"/>
      <c r="C104" s="212">
        <v>1</v>
      </c>
      <c r="D104" s="270" t="s">
        <v>274</v>
      </c>
      <c r="E104" s="86">
        <f>SUMPRODUCT(($D$203:$D$221=E103)*($E$202:$DA$202&gt;=$E$95)*($E$202:$DA$202&lt;=$F$95)*($E$203:$DA$221))</f>
        <v>0</v>
      </c>
      <c r="F104" s="86">
        <f t="shared" ref="F104:J104" si="32">SUMPRODUCT(($D$203:$D$221=F103)*($E$202:$DA$202&gt;=$E$95)*($E$202:$DA$202&lt;=$F$95)*($E$203:$DA$221))</f>
        <v>0</v>
      </c>
      <c r="G104" s="86">
        <f t="shared" si="32"/>
        <v>0</v>
      </c>
      <c r="H104" s="86">
        <f t="shared" si="32"/>
        <v>0</v>
      </c>
      <c r="I104" s="86">
        <f t="shared" si="32"/>
        <v>0</v>
      </c>
      <c r="J104" s="86">
        <f t="shared" si="32"/>
        <v>0</v>
      </c>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row>
    <row r="105" spans="1:108" outlineLevel="1" x14ac:dyDescent="0.2">
      <c r="A105" s="220"/>
      <c r="B105" s="220"/>
      <c r="C105" s="212">
        <v>2</v>
      </c>
      <c r="D105" s="270" t="s">
        <v>277</v>
      </c>
      <c r="E105" s="86">
        <f>SUMPRODUCT(($D$228:$D$246=E103)*($E$227:$DA$227&gt;=$E$95)*($E$227:$DA$227&lt;=$F$95)*($E$228:$DA$246))</f>
        <v>0</v>
      </c>
      <c r="F105" s="86">
        <f t="shared" ref="F105:J105" si="33">SUMPRODUCT(($D$228:$D$246=F103)*($E$227:$DA$227&gt;=$E$95)*($E$227:$DA$227&lt;=$F$95)*($E$228:$DA$246))</f>
        <v>0</v>
      </c>
      <c r="G105" s="86">
        <f t="shared" si="33"/>
        <v>0</v>
      </c>
      <c r="H105" s="86">
        <f t="shared" si="33"/>
        <v>0</v>
      </c>
      <c r="I105" s="86">
        <f t="shared" si="33"/>
        <v>0</v>
      </c>
      <c r="J105" s="86">
        <f t="shared" si="33"/>
        <v>0</v>
      </c>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row>
    <row r="106" spans="1:108" outlineLevel="1" x14ac:dyDescent="0.2">
      <c r="A106" s="220"/>
      <c r="B106" s="220"/>
      <c r="C106" s="212">
        <v>3</v>
      </c>
      <c r="D106" s="270" t="s">
        <v>278</v>
      </c>
      <c r="E106" s="86">
        <f>SUMPRODUCT(($D$253:$D$271=E103)*($E$252:$DA$252&gt;=$E$95)*($E$252:$DA$252&lt;=$F$95)*($E$253:$DA$271))</f>
        <v>0</v>
      </c>
      <c r="F106" s="86">
        <f t="shared" ref="F106:J106" si="34">SUMPRODUCT(($D$253:$D$271=F103)*($E$252:$DA$252&gt;=$E$95)*($E$252:$DA$252&lt;=$F$95)*($E$253:$DA$271))</f>
        <v>0</v>
      </c>
      <c r="G106" s="86">
        <f t="shared" si="34"/>
        <v>0</v>
      </c>
      <c r="H106" s="86">
        <f t="shared" si="34"/>
        <v>0</v>
      </c>
      <c r="I106" s="86">
        <f t="shared" si="34"/>
        <v>0</v>
      </c>
      <c r="J106" s="86">
        <f t="shared" si="34"/>
        <v>0</v>
      </c>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row>
    <row r="107" spans="1:108" outlineLevel="1" x14ac:dyDescent="0.2">
      <c r="A107" s="220"/>
      <c r="B107" s="220"/>
      <c r="C107" s="220"/>
      <c r="D107" s="6"/>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row>
    <row r="108" spans="1:108" x14ac:dyDescent="0.2">
      <c r="A108" s="220"/>
      <c r="B108" s="220"/>
      <c r="C108" s="220"/>
      <c r="D108" s="6"/>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row>
    <row r="109" spans="1:108" ht="15.75" x14ac:dyDescent="0.2">
      <c r="A109" s="220"/>
      <c r="B109" s="83">
        <f>IF(H112&lt;&gt;"",VLOOKUP(H112,GenderCode,2,FALSE),0)</f>
        <v>0</v>
      </c>
      <c r="C109" s="212">
        <v>6</v>
      </c>
      <c r="D109" s="110" t="str">
        <f>IF(B109=0,MsgNotUsed, CONCATENATE("Australian population ", C109, ": ", H112, " ", E113, " - ", F113, " yrs inclusive (", E118, "-", J118, ")"))</f>
        <v>** NOT USED **</v>
      </c>
      <c r="E109" s="178"/>
      <c r="F109" s="178"/>
      <c r="G109" s="178"/>
      <c r="H109" s="178"/>
      <c r="I109" s="268"/>
      <c r="J109" s="178"/>
      <c r="K109" s="178"/>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row>
    <row r="110" spans="1:108" ht="14.25" outlineLevel="1" x14ac:dyDescent="0.2">
      <c r="A110" s="220"/>
      <c r="B110" s="220"/>
      <c r="C110" s="220"/>
      <c r="D110" s="209"/>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row>
    <row r="111" spans="1:108" outlineLevel="1" x14ac:dyDescent="0.2">
      <c r="A111" s="220"/>
      <c r="B111" s="220"/>
      <c r="C111" s="220"/>
      <c r="D111" s="6"/>
      <c r="E111" s="114" t="s">
        <v>279</v>
      </c>
      <c r="F111" s="114" t="s">
        <v>280</v>
      </c>
      <c r="G111" s="220"/>
      <c r="H111" s="114" t="s">
        <v>52</v>
      </c>
      <c r="I111" s="220"/>
      <c r="J111" s="114" t="s">
        <v>405</v>
      </c>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row>
    <row r="112" spans="1:108" outlineLevel="1" x14ac:dyDescent="0.2">
      <c r="A112" s="220"/>
      <c r="B112" s="220"/>
      <c r="C112" s="220"/>
      <c r="D112" s="58" t="s">
        <v>276</v>
      </c>
      <c r="E112" s="65"/>
      <c r="F112" s="65"/>
      <c r="G112" s="220"/>
      <c r="H112" s="107"/>
      <c r="I112" s="220"/>
      <c r="J112" s="107"/>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row>
    <row r="113" spans="1:108" outlineLevel="1" x14ac:dyDescent="0.2">
      <c r="A113" s="220"/>
      <c r="B113" s="220"/>
      <c r="C113" s="220"/>
      <c r="D113" s="6"/>
      <c r="E113" s="155">
        <f>IF(E112="",0,E112)</f>
        <v>0</v>
      </c>
      <c r="F113" s="155">
        <f>IF(F112="",100,F112)</f>
        <v>100</v>
      </c>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row>
    <row r="114" spans="1:108" outlineLevel="1" x14ac:dyDescent="0.2">
      <c r="A114" s="220"/>
      <c r="B114" s="220"/>
      <c r="C114" s="220"/>
      <c r="D114" s="220"/>
      <c r="E114" s="428" t="s">
        <v>512</v>
      </c>
      <c r="F114" s="428" t="s">
        <v>513</v>
      </c>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row>
    <row r="115" spans="1:108" outlineLevel="1" x14ac:dyDescent="0.2">
      <c r="A115" s="220"/>
      <c r="B115" s="220"/>
      <c r="C115" s="220"/>
      <c r="D115" s="58" t="s">
        <v>511</v>
      </c>
      <c r="E115" s="65"/>
      <c r="F115" s="65"/>
      <c r="G115" s="440">
        <f>IF(AND(E115&lt;&gt;"",F115&lt;&gt;""),E115/F115,1)</f>
        <v>1</v>
      </c>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row>
    <row r="116" spans="1:108" outlineLevel="1" x14ac:dyDescent="0.2">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row>
    <row r="117" spans="1:108" outlineLevel="1" x14ac:dyDescent="0.2">
      <c r="A117" s="220"/>
      <c r="B117" s="220"/>
      <c r="C117" s="220"/>
      <c r="D117" s="220"/>
      <c r="E117" s="195" t="s">
        <v>289</v>
      </c>
      <c r="F117" s="220"/>
      <c r="G117" s="220"/>
      <c r="H117" s="220"/>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row>
    <row r="118" spans="1:108" outlineLevel="1" x14ac:dyDescent="0.2">
      <c r="A118" s="220"/>
      <c r="B118" s="220"/>
      <c r="C118" s="220"/>
      <c r="D118" s="6"/>
      <c r="E118" s="108">
        <f>IF(J112&lt;&gt;"",J112,FirstYear)</f>
        <v>0</v>
      </c>
      <c r="F118" s="112">
        <f>E118+1</f>
        <v>1</v>
      </c>
      <c r="G118" s="112">
        <f>F118+1</f>
        <v>2</v>
      </c>
      <c r="H118" s="112">
        <f>G118+1</f>
        <v>3</v>
      </c>
      <c r="I118" s="112">
        <f>H118+1</f>
        <v>4</v>
      </c>
      <c r="J118" s="112">
        <f>I118+1</f>
        <v>5</v>
      </c>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row>
    <row r="119" spans="1:108" outlineLevel="1" x14ac:dyDescent="0.2">
      <c r="A119" s="220"/>
      <c r="B119" s="220"/>
      <c r="C119" s="220"/>
      <c r="D119" s="220"/>
      <c r="E119" s="86">
        <f>IF($B$109&lt;&gt;0,VLOOKUP($B$109,$C$122:$J$124,E120)*$G115,0)</f>
        <v>0</v>
      </c>
      <c r="F119" s="86">
        <f t="shared" ref="F119:J119" si="35">IF($B$109&lt;&gt;0,VLOOKUP($B$109,$C$122:$J$124,F120)*$G115,0)</f>
        <v>0</v>
      </c>
      <c r="G119" s="86">
        <f t="shared" si="35"/>
        <v>0</v>
      </c>
      <c r="H119" s="86">
        <f t="shared" si="35"/>
        <v>0</v>
      </c>
      <c r="I119" s="86">
        <f t="shared" si="35"/>
        <v>0</v>
      </c>
      <c r="J119" s="86">
        <f t="shared" si="35"/>
        <v>0</v>
      </c>
      <c r="K119" s="22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row>
    <row r="120" spans="1:108" outlineLevel="1" x14ac:dyDescent="0.2">
      <c r="A120" s="220"/>
      <c r="B120" s="220"/>
      <c r="C120" s="220"/>
      <c r="D120" s="220"/>
      <c r="E120" s="269">
        <v>3</v>
      </c>
      <c r="F120" s="269">
        <v>4</v>
      </c>
      <c r="G120" s="269">
        <v>5</v>
      </c>
      <c r="H120" s="269">
        <v>6</v>
      </c>
      <c r="I120" s="269">
        <v>7</v>
      </c>
      <c r="J120" s="269">
        <v>8</v>
      </c>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row>
    <row r="121" spans="1:108" outlineLevel="1" x14ac:dyDescent="0.2">
      <c r="A121" s="220"/>
      <c r="B121" s="220"/>
      <c r="C121" s="220"/>
      <c r="D121" s="46" t="s">
        <v>362</v>
      </c>
      <c r="E121" s="108">
        <f t="shared" ref="E121:J121" si="36">E118</f>
        <v>0</v>
      </c>
      <c r="F121" s="108">
        <f t="shared" si="36"/>
        <v>1</v>
      </c>
      <c r="G121" s="108">
        <f t="shared" si="36"/>
        <v>2</v>
      </c>
      <c r="H121" s="108">
        <f t="shared" si="36"/>
        <v>3</v>
      </c>
      <c r="I121" s="108">
        <f t="shared" si="36"/>
        <v>4</v>
      </c>
      <c r="J121" s="108">
        <f t="shared" si="36"/>
        <v>5</v>
      </c>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row>
    <row r="122" spans="1:108" outlineLevel="1" x14ac:dyDescent="0.2">
      <c r="A122" s="220"/>
      <c r="B122" s="220"/>
      <c r="C122" s="212">
        <v>1</v>
      </c>
      <c r="D122" s="270" t="s">
        <v>274</v>
      </c>
      <c r="E122" s="86">
        <f>SUMPRODUCT(($D$203:$D$221=E121)*($E$202:$DA$202&gt;=$E$113)*($E$202:$DA$202&lt;=$F$113)*($E$203:$DA$221))</f>
        <v>0</v>
      </c>
      <c r="F122" s="86">
        <f t="shared" ref="F122:J122" si="37">SUMPRODUCT(($D$203:$D$221=F121)*($E$202:$DA$202&gt;=$E$113)*($E$202:$DA$202&lt;=$F$113)*($E$203:$DA$221))</f>
        <v>0</v>
      </c>
      <c r="G122" s="86">
        <f t="shared" si="37"/>
        <v>0</v>
      </c>
      <c r="H122" s="86">
        <f t="shared" si="37"/>
        <v>0</v>
      </c>
      <c r="I122" s="86">
        <f t="shared" si="37"/>
        <v>0</v>
      </c>
      <c r="J122" s="86">
        <f t="shared" si="37"/>
        <v>0</v>
      </c>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20"/>
      <c r="BL122" s="220"/>
      <c r="BM122" s="220"/>
      <c r="BN122" s="220"/>
      <c r="BO122" s="220"/>
      <c r="BP122" s="220"/>
      <c r="BQ122" s="220"/>
      <c r="BR122" s="220"/>
      <c r="BS122" s="220"/>
      <c r="BT122" s="220"/>
      <c r="BU122" s="220"/>
      <c r="BV122" s="220"/>
      <c r="BW122" s="220"/>
      <c r="BX122" s="220"/>
      <c r="BY122" s="220"/>
      <c r="BZ122" s="220"/>
      <c r="CA122" s="220"/>
      <c r="CB122" s="220"/>
      <c r="CC122" s="220"/>
      <c r="CD122" s="220"/>
      <c r="CE122" s="220"/>
      <c r="CF122" s="220"/>
      <c r="CG122" s="220"/>
      <c r="CH122" s="220"/>
      <c r="CI122" s="220"/>
      <c r="CJ122" s="220"/>
      <c r="CK122" s="220"/>
      <c r="CL122" s="220"/>
      <c r="CM122" s="220"/>
      <c r="CN122" s="220"/>
      <c r="CO122" s="220"/>
      <c r="CP122" s="220"/>
      <c r="CQ122" s="220"/>
      <c r="CR122" s="220"/>
      <c r="CS122" s="220"/>
      <c r="CT122" s="220"/>
      <c r="CU122" s="220"/>
      <c r="CV122" s="220"/>
      <c r="CW122" s="220"/>
      <c r="CX122" s="220"/>
      <c r="CY122" s="220"/>
      <c r="CZ122" s="220"/>
      <c r="DA122" s="220"/>
      <c r="DB122" s="220"/>
      <c r="DC122" s="220"/>
      <c r="DD122" s="220"/>
    </row>
    <row r="123" spans="1:108" outlineLevel="1" x14ac:dyDescent="0.2">
      <c r="A123" s="220"/>
      <c r="B123" s="220"/>
      <c r="C123" s="212">
        <v>2</v>
      </c>
      <c r="D123" s="270" t="s">
        <v>277</v>
      </c>
      <c r="E123" s="86">
        <f>SUMPRODUCT(($D$228:$D$246=E121)*($E$227:$DA$227&gt;=$E$113)*($E$227:$DA$227&lt;=$F$113)*($E$228:$DA$246))</f>
        <v>0</v>
      </c>
      <c r="F123" s="86">
        <f t="shared" ref="F123:J123" si="38">SUMPRODUCT(($D$228:$D$246=F121)*($E$227:$DA$227&gt;=$E$113)*($E$227:$DA$227&lt;=$F$113)*($E$228:$DA$246))</f>
        <v>0</v>
      </c>
      <c r="G123" s="86">
        <f t="shared" si="38"/>
        <v>0</v>
      </c>
      <c r="H123" s="86">
        <f t="shared" si="38"/>
        <v>0</v>
      </c>
      <c r="I123" s="86">
        <f t="shared" si="38"/>
        <v>0</v>
      </c>
      <c r="J123" s="86">
        <f t="shared" si="38"/>
        <v>0</v>
      </c>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20"/>
      <c r="BL123" s="220"/>
      <c r="BM123" s="220"/>
      <c r="BN123" s="220"/>
      <c r="BO123" s="220"/>
      <c r="BP123" s="220"/>
      <c r="BQ123" s="220"/>
      <c r="BR123" s="220"/>
      <c r="BS123" s="220"/>
      <c r="BT123" s="220"/>
      <c r="BU123" s="220"/>
      <c r="BV123" s="220"/>
      <c r="BW123" s="220"/>
      <c r="BX123" s="220"/>
      <c r="BY123" s="220"/>
      <c r="BZ123" s="220"/>
      <c r="CA123" s="220"/>
      <c r="CB123" s="220"/>
      <c r="CC123" s="220"/>
      <c r="CD123" s="220"/>
      <c r="CE123" s="220"/>
      <c r="CF123" s="220"/>
      <c r="CG123" s="220"/>
      <c r="CH123" s="220"/>
      <c r="CI123" s="220"/>
      <c r="CJ123" s="220"/>
      <c r="CK123" s="220"/>
      <c r="CL123" s="220"/>
      <c r="CM123" s="220"/>
      <c r="CN123" s="220"/>
      <c r="CO123" s="220"/>
      <c r="CP123" s="220"/>
      <c r="CQ123" s="220"/>
      <c r="CR123" s="220"/>
      <c r="CS123" s="220"/>
      <c r="CT123" s="220"/>
      <c r="CU123" s="220"/>
      <c r="CV123" s="220"/>
      <c r="CW123" s="220"/>
      <c r="CX123" s="220"/>
      <c r="CY123" s="220"/>
      <c r="CZ123" s="220"/>
      <c r="DA123" s="220"/>
      <c r="DB123" s="220"/>
      <c r="DC123" s="220"/>
      <c r="DD123" s="220"/>
    </row>
    <row r="124" spans="1:108" outlineLevel="1" x14ac:dyDescent="0.2">
      <c r="A124" s="220"/>
      <c r="B124" s="220"/>
      <c r="C124" s="212">
        <v>3</v>
      </c>
      <c r="D124" s="270" t="s">
        <v>278</v>
      </c>
      <c r="E124" s="86">
        <f>SUMPRODUCT(($D$253:$D$271=E121)*($E$252:$DA$252&gt;=$E$113)*($E$252:$DA$252&lt;=$F$113)*($E$253:$DA$271))</f>
        <v>0</v>
      </c>
      <c r="F124" s="86">
        <f t="shared" ref="F124:J124" si="39">SUMPRODUCT(($D$253:$D$271=F121)*($E$252:$DA$252&gt;=$E$113)*($E$252:$DA$252&lt;=$F$113)*($E$253:$DA$271))</f>
        <v>0</v>
      </c>
      <c r="G124" s="86">
        <f t="shared" si="39"/>
        <v>0</v>
      </c>
      <c r="H124" s="86">
        <f t="shared" si="39"/>
        <v>0</v>
      </c>
      <c r="I124" s="86">
        <f t="shared" si="39"/>
        <v>0</v>
      </c>
      <c r="J124" s="86">
        <f t="shared" si="39"/>
        <v>0</v>
      </c>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20"/>
      <c r="BL124" s="220"/>
      <c r="BM124" s="220"/>
      <c r="BN124" s="220"/>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20"/>
      <c r="CK124" s="220"/>
      <c r="CL124" s="220"/>
      <c r="CM124" s="220"/>
      <c r="CN124" s="220"/>
      <c r="CO124" s="220"/>
      <c r="CP124" s="220"/>
      <c r="CQ124" s="220"/>
      <c r="CR124" s="220"/>
      <c r="CS124" s="220"/>
      <c r="CT124" s="220"/>
      <c r="CU124" s="220"/>
      <c r="CV124" s="220"/>
      <c r="CW124" s="220"/>
      <c r="CX124" s="220"/>
      <c r="CY124" s="220"/>
      <c r="CZ124" s="220"/>
      <c r="DA124" s="220"/>
      <c r="DB124" s="220"/>
      <c r="DC124" s="220"/>
      <c r="DD124" s="220"/>
    </row>
    <row r="125" spans="1:108" outlineLevel="1" x14ac:dyDescent="0.2">
      <c r="A125" s="220"/>
      <c r="B125" s="220"/>
      <c r="C125" s="220"/>
      <c r="D125" s="6"/>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20"/>
      <c r="BL125" s="220"/>
      <c r="BM125" s="220"/>
      <c r="BN125" s="220"/>
      <c r="BO125" s="220"/>
      <c r="BP125" s="220"/>
      <c r="BQ125" s="220"/>
      <c r="BR125" s="220"/>
      <c r="BS125" s="220"/>
      <c r="BT125" s="220"/>
      <c r="BU125" s="220"/>
      <c r="BV125" s="220"/>
      <c r="BW125" s="220"/>
      <c r="BX125" s="220"/>
      <c r="BY125" s="220"/>
      <c r="BZ125" s="220"/>
      <c r="CA125" s="220"/>
      <c r="CB125" s="220"/>
      <c r="CC125" s="220"/>
      <c r="CD125" s="220"/>
      <c r="CE125" s="220"/>
      <c r="CF125" s="220"/>
      <c r="CG125" s="220"/>
      <c r="CH125" s="220"/>
      <c r="CI125" s="220"/>
      <c r="CJ125" s="220"/>
      <c r="CK125" s="220"/>
      <c r="CL125" s="220"/>
      <c r="CM125" s="220"/>
      <c r="CN125" s="220"/>
      <c r="CO125" s="220"/>
      <c r="CP125" s="220"/>
      <c r="CQ125" s="220"/>
      <c r="CR125" s="220"/>
      <c r="CS125" s="220"/>
      <c r="CT125" s="220"/>
      <c r="CU125" s="220"/>
      <c r="CV125" s="220"/>
      <c r="CW125" s="220"/>
      <c r="CX125" s="220"/>
      <c r="CY125" s="220"/>
      <c r="CZ125" s="220"/>
      <c r="DA125" s="220"/>
      <c r="DB125" s="220"/>
      <c r="DC125" s="220"/>
      <c r="DD125" s="220"/>
    </row>
    <row r="126" spans="1:108" x14ac:dyDescent="0.2">
      <c r="A126" s="220"/>
      <c r="B126" s="220"/>
      <c r="C126" s="220"/>
      <c r="D126" s="6"/>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row>
    <row r="127" spans="1:108" ht="15.75" x14ac:dyDescent="0.2">
      <c r="A127" s="220"/>
      <c r="B127" s="83">
        <f>IF(H130&lt;&gt;"",VLOOKUP(H130,GenderCode,2,FALSE),0)</f>
        <v>0</v>
      </c>
      <c r="C127" s="212">
        <v>7</v>
      </c>
      <c r="D127" s="110" t="str">
        <f>IF(B127=0,MsgNotUsed, CONCATENATE("Australian population ", C127, ": ", H130, " ", E131, " - ", F131, " yrs inclusive (", E136, "-", J136, ")"))</f>
        <v>** NOT USED **</v>
      </c>
      <c r="E127" s="178"/>
      <c r="F127" s="178"/>
      <c r="G127" s="178"/>
      <c r="H127" s="178"/>
      <c r="I127" s="268"/>
      <c r="J127" s="178"/>
      <c r="K127" s="178"/>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20"/>
      <c r="BL127" s="220"/>
      <c r="BM127" s="220"/>
      <c r="BN127" s="220"/>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20"/>
      <c r="CK127" s="220"/>
      <c r="CL127" s="220"/>
      <c r="CM127" s="220"/>
      <c r="CN127" s="220"/>
      <c r="CO127" s="220"/>
      <c r="CP127" s="220"/>
      <c r="CQ127" s="220"/>
      <c r="CR127" s="220"/>
      <c r="CS127" s="220"/>
      <c r="CT127" s="220"/>
      <c r="CU127" s="220"/>
      <c r="CV127" s="220"/>
      <c r="CW127" s="220"/>
      <c r="CX127" s="220"/>
      <c r="CY127" s="220"/>
      <c r="CZ127" s="220"/>
      <c r="DA127" s="220"/>
      <c r="DB127" s="220"/>
      <c r="DC127" s="220"/>
      <c r="DD127" s="220"/>
    </row>
    <row r="128" spans="1:108" ht="14.25" outlineLevel="1" x14ac:dyDescent="0.2">
      <c r="A128" s="220"/>
      <c r="B128" s="220"/>
      <c r="C128" s="220"/>
      <c r="D128" s="209"/>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20"/>
      <c r="BL128" s="220"/>
      <c r="BM128" s="220"/>
      <c r="BN128" s="220"/>
      <c r="BO128" s="220"/>
      <c r="BP128" s="220"/>
      <c r="BQ128" s="220"/>
      <c r="BR128" s="220"/>
      <c r="BS128" s="220"/>
      <c r="BT128" s="220"/>
      <c r="BU128" s="220"/>
      <c r="BV128" s="220"/>
      <c r="BW128" s="220"/>
      <c r="BX128" s="220"/>
      <c r="BY128" s="220"/>
      <c r="BZ128" s="220"/>
      <c r="CA128" s="220"/>
      <c r="CB128" s="220"/>
      <c r="CC128" s="220"/>
      <c r="CD128" s="220"/>
      <c r="CE128" s="220"/>
      <c r="CF128" s="220"/>
      <c r="CG128" s="220"/>
      <c r="CH128" s="220"/>
      <c r="CI128" s="220"/>
      <c r="CJ128" s="220"/>
      <c r="CK128" s="220"/>
      <c r="CL128" s="220"/>
      <c r="CM128" s="220"/>
      <c r="CN128" s="220"/>
      <c r="CO128" s="220"/>
      <c r="CP128" s="220"/>
      <c r="CQ128" s="220"/>
      <c r="CR128" s="220"/>
      <c r="CS128" s="220"/>
      <c r="CT128" s="220"/>
      <c r="CU128" s="220"/>
      <c r="CV128" s="220"/>
      <c r="CW128" s="220"/>
      <c r="CX128" s="220"/>
      <c r="CY128" s="220"/>
      <c r="CZ128" s="220"/>
      <c r="DA128" s="220"/>
      <c r="DB128" s="220"/>
      <c r="DC128" s="220"/>
      <c r="DD128" s="220"/>
    </row>
    <row r="129" spans="1:108" outlineLevel="1" x14ac:dyDescent="0.2">
      <c r="A129" s="220"/>
      <c r="B129" s="220"/>
      <c r="C129" s="220"/>
      <c r="D129" s="6"/>
      <c r="E129" s="114" t="s">
        <v>279</v>
      </c>
      <c r="F129" s="114" t="s">
        <v>280</v>
      </c>
      <c r="G129" s="220"/>
      <c r="H129" s="114" t="s">
        <v>52</v>
      </c>
      <c r="I129" s="220"/>
      <c r="J129" s="114" t="s">
        <v>405</v>
      </c>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20"/>
      <c r="BL129" s="220"/>
      <c r="BM129" s="220"/>
      <c r="BN129" s="220"/>
      <c r="BO129" s="220"/>
      <c r="BP129" s="220"/>
      <c r="BQ129" s="220"/>
      <c r="BR129" s="220"/>
      <c r="BS129" s="220"/>
      <c r="BT129" s="220"/>
      <c r="BU129" s="220"/>
      <c r="BV129" s="220"/>
      <c r="BW129" s="220"/>
      <c r="BX129" s="220"/>
      <c r="BY129" s="220"/>
      <c r="BZ129" s="220"/>
      <c r="CA129" s="220"/>
      <c r="CB129" s="220"/>
      <c r="CC129" s="220"/>
      <c r="CD129" s="220"/>
      <c r="CE129" s="220"/>
      <c r="CF129" s="220"/>
      <c r="CG129" s="220"/>
      <c r="CH129" s="220"/>
      <c r="CI129" s="220"/>
      <c r="CJ129" s="220"/>
      <c r="CK129" s="220"/>
      <c r="CL129" s="220"/>
      <c r="CM129" s="220"/>
      <c r="CN129" s="220"/>
      <c r="CO129" s="220"/>
      <c r="CP129" s="220"/>
      <c r="CQ129" s="220"/>
      <c r="CR129" s="220"/>
      <c r="CS129" s="220"/>
      <c r="CT129" s="220"/>
      <c r="CU129" s="220"/>
      <c r="CV129" s="220"/>
      <c r="CW129" s="220"/>
      <c r="CX129" s="220"/>
      <c r="CY129" s="220"/>
      <c r="CZ129" s="220"/>
      <c r="DA129" s="220"/>
      <c r="DB129" s="220"/>
      <c r="DC129" s="220"/>
      <c r="DD129" s="220"/>
    </row>
    <row r="130" spans="1:108" outlineLevel="1" x14ac:dyDescent="0.2">
      <c r="A130" s="220"/>
      <c r="B130" s="220"/>
      <c r="C130" s="220"/>
      <c r="D130" s="58" t="s">
        <v>276</v>
      </c>
      <c r="E130" s="65"/>
      <c r="F130" s="65"/>
      <c r="G130" s="220"/>
      <c r="H130" s="107"/>
      <c r="I130" s="220"/>
      <c r="J130" s="107"/>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row>
    <row r="131" spans="1:108" outlineLevel="1" x14ac:dyDescent="0.2">
      <c r="A131" s="220"/>
      <c r="B131" s="220"/>
      <c r="C131" s="220"/>
      <c r="D131" s="6"/>
      <c r="E131" s="155">
        <f>IF(E130="",0,E130)</f>
        <v>0</v>
      </c>
      <c r="F131" s="155">
        <f>IF(F130="",100,F130)</f>
        <v>100</v>
      </c>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20"/>
      <c r="BL131" s="220"/>
      <c r="BM131" s="220"/>
      <c r="BN131" s="220"/>
      <c r="BO131" s="220"/>
      <c r="BP131" s="220"/>
      <c r="BQ131" s="220"/>
      <c r="BR131" s="220"/>
      <c r="BS131" s="220"/>
      <c r="BT131" s="220"/>
      <c r="BU131" s="220"/>
      <c r="BV131" s="220"/>
      <c r="BW131" s="220"/>
      <c r="BX131" s="220"/>
      <c r="BY131" s="220"/>
      <c r="BZ131" s="220"/>
      <c r="CA131" s="220"/>
      <c r="CB131" s="220"/>
      <c r="CC131" s="220"/>
      <c r="CD131" s="220"/>
      <c r="CE131" s="220"/>
      <c r="CF131" s="220"/>
      <c r="CG131" s="220"/>
      <c r="CH131" s="220"/>
      <c r="CI131" s="220"/>
      <c r="CJ131" s="220"/>
      <c r="CK131" s="220"/>
      <c r="CL131" s="220"/>
      <c r="CM131" s="220"/>
      <c r="CN131" s="220"/>
      <c r="CO131" s="220"/>
      <c r="CP131" s="220"/>
      <c r="CQ131" s="220"/>
      <c r="CR131" s="220"/>
      <c r="CS131" s="220"/>
      <c r="CT131" s="220"/>
      <c r="CU131" s="220"/>
      <c r="CV131" s="220"/>
      <c r="CW131" s="220"/>
      <c r="CX131" s="220"/>
      <c r="CY131" s="220"/>
      <c r="CZ131" s="220"/>
      <c r="DA131" s="220"/>
      <c r="DB131" s="220"/>
      <c r="DC131" s="220"/>
      <c r="DD131" s="220"/>
    </row>
    <row r="132" spans="1:108" outlineLevel="1" x14ac:dyDescent="0.2">
      <c r="A132" s="220"/>
      <c r="B132" s="220"/>
      <c r="C132" s="220"/>
      <c r="D132" s="220"/>
      <c r="E132" s="428" t="s">
        <v>512</v>
      </c>
      <c r="F132" s="428" t="s">
        <v>513</v>
      </c>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row>
    <row r="133" spans="1:108" outlineLevel="1" x14ac:dyDescent="0.2">
      <c r="A133" s="220"/>
      <c r="B133" s="220"/>
      <c r="C133" s="220"/>
      <c r="D133" s="58" t="s">
        <v>511</v>
      </c>
      <c r="E133" s="65"/>
      <c r="F133" s="65"/>
      <c r="G133" s="440">
        <f>IF(AND(E133&lt;&gt;"",F133&lt;&gt;""),E133/F133,1)</f>
        <v>1</v>
      </c>
      <c r="H133" s="220"/>
      <c r="I133" s="220"/>
      <c r="J133" s="220"/>
      <c r="K133" s="220"/>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20"/>
      <c r="BK133" s="220"/>
      <c r="BL133" s="220"/>
      <c r="BM133" s="220"/>
      <c r="BN133" s="220"/>
      <c r="BO133" s="220"/>
      <c r="BP133" s="220"/>
      <c r="BQ133" s="220"/>
      <c r="BR133" s="220"/>
      <c r="BS133" s="220"/>
      <c r="BT133" s="220"/>
      <c r="BU133" s="220"/>
      <c r="BV133" s="220"/>
      <c r="BW133" s="220"/>
      <c r="BX133" s="220"/>
      <c r="BY133" s="220"/>
      <c r="BZ133" s="220"/>
      <c r="CA133" s="220"/>
      <c r="CB133" s="220"/>
      <c r="CC133" s="220"/>
      <c r="CD133" s="220"/>
      <c r="CE133" s="220"/>
      <c r="CF133" s="220"/>
      <c r="CG133" s="220"/>
      <c r="CH133" s="220"/>
      <c r="CI133" s="220"/>
      <c r="CJ133" s="220"/>
      <c r="CK133" s="220"/>
      <c r="CL133" s="220"/>
      <c r="CM133" s="220"/>
      <c r="CN133" s="220"/>
      <c r="CO133" s="220"/>
      <c r="CP133" s="220"/>
      <c r="CQ133" s="220"/>
      <c r="CR133" s="220"/>
      <c r="CS133" s="220"/>
      <c r="CT133" s="220"/>
      <c r="CU133" s="220"/>
      <c r="CV133" s="220"/>
      <c r="CW133" s="220"/>
      <c r="CX133" s="220"/>
      <c r="CY133" s="220"/>
      <c r="CZ133" s="220"/>
      <c r="DA133" s="220"/>
      <c r="DB133" s="220"/>
      <c r="DC133" s="220"/>
      <c r="DD133" s="220"/>
    </row>
    <row r="134" spans="1:108" outlineLevel="1" x14ac:dyDescent="0.2">
      <c r="A134" s="220"/>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20"/>
      <c r="BL134" s="220"/>
      <c r="BM134" s="220"/>
      <c r="BN134" s="220"/>
      <c r="BO134" s="220"/>
      <c r="BP134" s="220"/>
      <c r="BQ134" s="220"/>
      <c r="BR134" s="220"/>
      <c r="BS134" s="220"/>
      <c r="BT134" s="220"/>
      <c r="BU134" s="220"/>
      <c r="BV134" s="220"/>
      <c r="BW134" s="220"/>
      <c r="BX134" s="220"/>
      <c r="BY134" s="220"/>
      <c r="BZ134" s="220"/>
      <c r="CA134" s="220"/>
      <c r="CB134" s="220"/>
      <c r="CC134" s="220"/>
      <c r="CD134" s="220"/>
      <c r="CE134" s="220"/>
      <c r="CF134" s="220"/>
      <c r="CG134" s="220"/>
      <c r="CH134" s="220"/>
      <c r="CI134" s="220"/>
      <c r="CJ134" s="220"/>
      <c r="CK134" s="220"/>
      <c r="CL134" s="220"/>
      <c r="CM134" s="220"/>
      <c r="CN134" s="220"/>
      <c r="CO134" s="220"/>
      <c r="CP134" s="220"/>
      <c r="CQ134" s="220"/>
      <c r="CR134" s="220"/>
      <c r="CS134" s="220"/>
      <c r="CT134" s="220"/>
      <c r="CU134" s="220"/>
      <c r="CV134" s="220"/>
      <c r="CW134" s="220"/>
      <c r="CX134" s="220"/>
      <c r="CY134" s="220"/>
      <c r="CZ134" s="220"/>
      <c r="DA134" s="220"/>
      <c r="DB134" s="220"/>
      <c r="DC134" s="220"/>
      <c r="DD134" s="220"/>
    </row>
    <row r="135" spans="1:108" outlineLevel="1" x14ac:dyDescent="0.2">
      <c r="A135" s="220"/>
      <c r="B135" s="220"/>
      <c r="C135" s="220"/>
      <c r="D135" s="220"/>
      <c r="E135" s="195" t="s">
        <v>289</v>
      </c>
      <c r="F135" s="220"/>
      <c r="G135" s="220"/>
      <c r="H135" s="220"/>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20"/>
      <c r="BL135" s="220"/>
      <c r="BM135" s="220"/>
      <c r="BN135" s="220"/>
      <c r="BO135" s="220"/>
      <c r="BP135" s="220"/>
      <c r="BQ135" s="220"/>
      <c r="BR135" s="220"/>
      <c r="BS135" s="220"/>
      <c r="BT135" s="220"/>
      <c r="BU135" s="220"/>
      <c r="BV135" s="220"/>
      <c r="BW135" s="220"/>
      <c r="BX135" s="220"/>
      <c r="BY135" s="220"/>
      <c r="BZ135" s="220"/>
      <c r="CA135" s="220"/>
      <c r="CB135" s="220"/>
      <c r="CC135" s="220"/>
      <c r="CD135" s="220"/>
      <c r="CE135" s="220"/>
      <c r="CF135" s="220"/>
      <c r="CG135" s="220"/>
      <c r="CH135" s="220"/>
      <c r="CI135" s="220"/>
      <c r="CJ135" s="220"/>
      <c r="CK135" s="220"/>
      <c r="CL135" s="220"/>
      <c r="CM135" s="220"/>
      <c r="CN135" s="220"/>
      <c r="CO135" s="220"/>
      <c r="CP135" s="220"/>
      <c r="CQ135" s="220"/>
      <c r="CR135" s="220"/>
      <c r="CS135" s="220"/>
      <c r="CT135" s="220"/>
      <c r="CU135" s="220"/>
      <c r="CV135" s="220"/>
      <c r="CW135" s="220"/>
      <c r="CX135" s="220"/>
      <c r="CY135" s="220"/>
      <c r="CZ135" s="220"/>
      <c r="DA135" s="220"/>
      <c r="DB135" s="220"/>
      <c r="DC135" s="220"/>
      <c r="DD135" s="220"/>
    </row>
    <row r="136" spans="1:108" outlineLevel="1" x14ac:dyDescent="0.2">
      <c r="A136" s="220"/>
      <c r="B136" s="220"/>
      <c r="C136" s="220"/>
      <c r="D136" s="6"/>
      <c r="E136" s="108">
        <f>IF(J130&lt;&gt;"",J130,FirstYear)</f>
        <v>0</v>
      </c>
      <c r="F136" s="112">
        <f>E136+1</f>
        <v>1</v>
      </c>
      <c r="G136" s="112">
        <f>F136+1</f>
        <v>2</v>
      </c>
      <c r="H136" s="112">
        <f>G136+1</f>
        <v>3</v>
      </c>
      <c r="I136" s="112">
        <f>H136+1</f>
        <v>4</v>
      </c>
      <c r="J136" s="112">
        <f>I136+1</f>
        <v>5</v>
      </c>
      <c r="K136" s="220"/>
      <c r="L136" s="220"/>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20"/>
      <c r="BL136" s="220"/>
      <c r="BM136" s="220"/>
      <c r="BN136" s="220"/>
      <c r="BO136" s="220"/>
      <c r="BP136" s="220"/>
      <c r="BQ136" s="220"/>
      <c r="BR136" s="220"/>
      <c r="BS136" s="220"/>
      <c r="BT136" s="220"/>
      <c r="BU136" s="220"/>
      <c r="BV136" s="220"/>
      <c r="BW136" s="220"/>
      <c r="BX136" s="220"/>
      <c r="BY136" s="220"/>
      <c r="BZ136" s="220"/>
      <c r="CA136" s="220"/>
      <c r="CB136" s="220"/>
      <c r="CC136" s="220"/>
      <c r="CD136" s="220"/>
      <c r="CE136" s="220"/>
      <c r="CF136" s="220"/>
      <c r="CG136" s="220"/>
      <c r="CH136" s="220"/>
      <c r="CI136" s="220"/>
      <c r="CJ136" s="220"/>
      <c r="CK136" s="220"/>
      <c r="CL136" s="220"/>
      <c r="CM136" s="220"/>
      <c r="CN136" s="220"/>
      <c r="CO136" s="220"/>
      <c r="CP136" s="220"/>
      <c r="CQ136" s="220"/>
      <c r="CR136" s="220"/>
      <c r="CS136" s="220"/>
      <c r="CT136" s="220"/>
      <c r="CU136" s="220"/>
      <c r="CV136" s="220"/>
      <c r="CW136" s="220"/>
      <c r="CX136" s="220"/>
      <c r="CY136" s="220"/>
      <c r="CZ136" s="220"/>
      <c r="DA136" s="220"/>
      <c r="DB136" s="220"/>
      <c r="DC136" s="220"/>
      <c r="DD136" s="220"/>
    </row>
    <row r="137" spans="1:108" outlineLevel="1" x14ac:dyDescent="0.2">
      <c r="A137" s="220"/>
      <c r="B137" s="220"/>
      <c r="C137" s="220"/>
      <c r="D137" s="220"/>
      <c r="E137" s="86">
        <f>IF($B$127&lt;&gt;0,VLOOKUP($B$127,$C$140:$J$142,E138)*$G133,0)</f>
        <v>0</v>
      </c>
      <c r="F137" s="86">
        <f t="shared" ref="F137:J137" si="40">IF($B$127&lt;&gt;0,VLOOKUP($B$127,$C$140:$J$142,F138)*$G133,0)</f>
        <v>0</v>
      </c>
      <c r="G137" s="86">
        <f t="shared" si="40"/>
        <v>0</v>
      </c>
      <c r="H137" s="86">
        <f t="shared" si="40"/>
        <v>0</v>
      </c>
      <c r="I137" s="86">
        <f t="shared" si="40"/>
        <v>0</v>
      </c>
      <c r="J137" s="86">
        <f t="shared" si="40"/>
        <v>0</v>
      </c>
      <c r="K137" s="220"/>
      <c r="L137" s="220"/>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20"/>
      <c r="BL137" s="220"/>
      <c r="BM137" s="220"/>
      <c r="BN137" s="220"/>
      <c r="BO137" s="220"/>
      <c r="BP137" s="220"/>
      <c r="BQ137" s="220"/>
      <c r="BR137" s="220"/>
      <c r="BS137" s="220"/>
      <c r="BT137" s="220"/>
      <c r="BU137" s="220"/>
      <c r="BV137" s="220"/>
      <c r="BW137" s="220"/>
      <c r="BX137" s="220"/>
      <c r="BY137" s="220"/>
      <c r="BZ137" s="220"/>
      <c r="CA137" s="220"/>
      <c r="CB137" s="220"/>
      <c r="CC137" s="220"/>
      <c r="CD137" s="220"/>
      <c r="CE137" s="220"/>
      <c r="CF137" s="220"/>
      <c r="CG137" s="220"/>
      <c r="CH137" s="220"/>
      <c r="CI137" s="220"/>
      <c r="CJ137" s="220"/>
      <c r="CK137" s="220"/>
      <c r="CL137" s="220"/>
      <c r="CM137" s="220"/>
      <c r="CN137" s="220"/>
      <c r="CO137" s="220"/>
      <c r="CP137" s="220"/>
      <c r="CQ137" s="220"/>
      <c r="CR137" s="220"/>
      <c r="CS137" s="220"/>
      <c r="CT137" s="220"/>
      <c r="CU137" s="220"/>
      <c r="CV137" s="220"/>
      <c r="CW137" s="220"/>
      <c r="CX137" s="220"/>
      <c r="CY137" s="220"/>
      <c r="CZ137" s="220"/>
      <c r="DA137" s="220"/>
      <c r="DB137" s="220"/>
      <c r="DC137" s="220"/>
      <c r="DD137" s="220"/>
    </row>
    <row r="138" spans="1:108" outlineLevel="1" x14ac:dyDescent="0.2">
      <c r="A138" s="220"/>
      <c r="B138" s="220"/>
      <c r="C138" s="220"/>
      <c r="D138" s="220"/>
      <c r="E138" s="269">
        <v>3</v>
      </c>
      <c r="F138" s="269">
        <v>4</v>
      </c>
      <c r="G138" s="269">
        <v>5</v>
      </c>
      <c r="H138" s="269">
        <v>6</v>
      </c>
      <c r="I138" s="269">
        <v>7</v>
      </c>
      <c r="J138" s="269">
        <v>8</v>
      </c>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20"/>
      <c r="BL138" s="220"/>
      <c r="BM138" s="220"/>
      <c r="BN138" s="220"/>
      <c r="BO138" s="220"/>
      <c r="BP138" s="220"/>
      <c r="BQ138" s="220"/>
      <c r="BR138" s="220"/>
      <c r="BS138" s="220"/>
      <c r="BT138" s="220"/>
      <c r="BU138" s="220"/>
      <c r="BV138" s="220"/>
      <c r="BW138" s="220"/>
      <c r="BX138" s="220"/>
      <c r="BY138" s="220"/>
      <c r="BZ138" s="220"/>
      <c r="CA138" s="220"/>
      <c r="CB138" s="220"/>
      <c r="CC138" s="220"/>
      <c r="CD138" s="220"/>
      <c r="CE138" s="220"/>
      <c r="CF138" s="220"/>
      <c r="CG138" s="220"/>
      <c r="CH138" s="220"/>
      <c r="CI138" s="220"/>
      <c r="CJ138" s="220"/>
      <c r="CK138" s="220"/>
      <c r="CL138" s="220"/>
      <c r="CM138" s="220"/>
      <c r="CN138" s="220"/>
      <c r="CO138" s="220"/>
      <c r="CP138" s="220"/>
      <c r="CQ138" s="220"/>
      <c r="CR138" s="220"/>
      <c r="CS138" s="220"/>
      <c r="CT138" s="220"/>
      <c r="CU138" s="220"/>
      <c r="CV138" s="220"/>
      <c r="CW138" s="220"/>
      <c r="CX138" s="220"/>
      <c r="CY138" s="220"/>
      <c r="CZ138" s="220"/>
      <c r="DA138" s="220"/>
      <c r="DB138" s="220"/>
      <c r="DC138" s="220"/>
      <c r="DD138" s="220"/>
    </row>
    <row r="139" spans="1:108" outlineLevel="1" x14ac:dyDescent="0.2">
      <c r="A139" s="220"/>
      <c r="B139" s="220"/>
      <c r="C139" s="220"/>
      <c r="D139" s="46" t="s">
        <v>362</v>
      </c>
      <c r="E139" s="108">
        <f t="shared" ref="E139:J139" si="41">E136</f>
        <v>0</v>
      </c>
      <c r="F139" s="108">
        <f t="shared" si="41"/>
        <v>1</v>
      </c>
      <c r="G139" s="108">
        <f t="shared" si="41"/>
        <v>2</v>
      </c>
      <c r="H139" s="108">
        <f t="shared" si="41"/>
        <v>3</v>
      </c>
      <c r="I139" s="108">
        <f t="shared" si="41"/>
        <v>4</v>
      </c>
      <c r="J139" s="108">
        <f t="shared" si="41"/>
        <v>5</v>
      </c>
      <c r="K139" s="220"/>
      <c r="L139" s="220"/>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20"/>
      <c r="BL139" s="220"/>
      <c r="BM139" s="220"/>
      <c r="BN139" s="220"/>
      <c r="BO139" s="220"/>
      <c r="BP139" s="220"/>
      <c r="BQ139" s="220"/>
      <c r="BR139" s="220"/>
      <c r="BS139" s="220"/>
      <c r="BT139" s="220"/>
      <c r="BU139" s="220"/>
      <c r="BV139" s="220"/>
      <c r="BW139" s="220"/>
      <c r="BX139" s="220"/>
      <c r="BY139" s="220"/>
      <c r="BZ139" s="220"/>
      <c r="CA139" s="220"/>
      <c r="CB139" s="220"/>
      <c r="CC139" s="220"/>
      <c r="CD139" s="220"/>
      <c r="CE139" s="220"/>
      <c r="CF139" s="220"/>
      <c r="CG139" s="220"/>
      <c r="CH139" s="220"/>
      <c r="CI139" s="220"/>
      <c r="CJ139" s="220"/>
      <c r="CK139" s="220"/>
      <c r="CL139" s="220"/>
      <c r="CM139" s="220"/>
      <c r="CN139" s="220"/>
      <c r="CO139" s="220"/>
      <c r="CP139" s="220"/>
      <c r="CQ139" s="220"/>
      <c r="CR139" s="220"/>
      <c r="CS139" s="220"/>
      <c r="CT139" s="220"/>
      <c r="CU139" s="220"/>
      <c r="CV139" s="220"/>
      <c r="CW139" s="220"/>
      <c r="CX139" s="220"/>
      <c r="CY139" s="220"/>
      <c r="CZ139" s="220"/>
      <c r="DA139" s="220"/>
      <c r="DB139" s="220"/>
      <c r="DC139" s="220"/>
      <c r="DD139" s="220"/>
    </row>
    <row r="140" spans="1:108" outlineLevel="1" x14ac:dyDescent="0.2">
      <c r="A140" s="220"/>
      <c r="B140" s="220"/>
      <c r="C140" s="212">
        <v>1</v>
      </c>
      <c r="D140" s="270" t="s">
        <v>274</v>
      </c>
      <c r="E140" s="86">
        <f>SUMPRODUCT(($D$203:$D$221=E139)*($E$202:$DA$202&gt;=$E$131)*($E$202:$DA$202&lt;=$F$131)*($E$203:$DA$221))</f>
        <v>0</v>
      </c>
      <c r="F140" s="86">
        <f t="shared" ref="F140:J140" si="42">SUMPRODUCT(($D$203:$D$221=F139)*($E$202:$DA$202&gt;=$E$131)*($E$202:$DA$202&lt;=$F$131)*($E$203:$DA$221))</f>
        <v>0</v>
      </c>
      <c r="G140" s="86">
        <f t="shared" si="42"/>
        <v>0</v>
      </c>
      <c r="H140" s="86">
        <f t="shared" si="42"/>
        <v>0</v>
      </c>
      <c r="I140" s="86">
        <f t="shared" si="42"/>
        <v>0</v>
      </c>
      <c r="J140" s="86">
        <f t="shared" si="42"/>
        <v>0</v>
      </c>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20"/>
      <c r="BL140" s="220"/>
      <c r="BM140" s="220"/>
      <c r="BN140" s="220"/>
      <c r="BO140" s="220"/>
      <c r="BP140" s="220"/>
      <c r="BQ140" s="220"/>
      <c r="BR140" s="220"/>
      <c r="BS140" s="220"/>
      <c r="BT140" s="220"/>
      <c r="BU140" s="220"/>
      <c r="BV140" s="220"/>
      <c r="BW140" s="220"/>
      <c r="BX140" s="220"/>
      <c r="BY140" s="220"/>
      <c r="BZ140" s="220"/>
      <c r="CA140" s="220"/>
      <c r="CB140" s="220"/>
      <c r="CC140" s="220"/>
      <c r="CD140" s="220"/>
      <c r="CE140" s="220"/>
      <c r="CF140" s="220"/>
      <c r="CG140" s="220"/>
      <c r="CH140" s="220"/>
      <c r="CI140" s="220"/>
      <c r="CJ140" s="220"/>
      <c r="CK140" s="220"/>
      <c r="CL140" s="220"/>
      <c r="CM140" s="220"/>
      <c r="CN140" s="220"/>
      <c r="CO140" s="220"/>
      <c r="CP140" s="220"/>
      <c r="CQ140" s="220"/>
      <c r="CR140" s="220"/>
      <c r="CS140" s="220"/>
      <c r="CT140" s="220"/>
      <c r="CU140" s="220"/>
      <c r="CV140" s="220"/>
      <c r="CW140" s="220"/>
      <c r="CX140" s="220"/>
      <c r="CY140" s="220"/>
      <c r="CZ140" s="220"/>
      <c r="DA140" s="220"/>
      <c r="DB140" s="220"/>
      <c r="DC140" s="220"/>
      <c r="DD140" s="220"/>
    </row>
    <row r="141" spans="1:108" outlineLevel="1" x14ac:dyDescent="0.2">
      <c r="A141" s="220"/>
      <c r="B141" s="220"/>
      <c r="C141" s="212">
        <v>2</v>
      </c>
      <c r="D141" s="270" t="s">
        <v>277</v>
      </c>
      <c r="E141" s="86">
        <f>SUMPRODUCT(($D$228:$D$246=E139)*($E$227:$DA$227&gt;=$E$131)*($E$227:$DA$227&lt;=$F$131)*($E$228:$DA$246))</f>
        <v>0</v>
      </c>
      <c r="F141" s="86">
        <f t="shared" ref="F141:J141" si="43">SUMPRODUCT(($D$228:$D$246=F139)*($E$227:$DA$227&gt;=$E$131)*($E$227:$DA$227&lt;=$F$131)*($E$228:$DA$246))</f>
        <v>0</v>
      </c>
      <c r="G141" s="86">
        <f t="shared" si="43"/>
        <v>0</v>
      </c>
      <c r="H141" s="86">
        <f t="shared" si="43"/>
        <v>0</v>
      </c>
      <c r="I141" s="86">
        <f t="shared" si="43"/>
        <v>0</v>
      </c>
      <c r="J141" s="86">
        <f t="shared" si="43"/>
        <v>0</v>
      </c>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20"/>
      <c r="BL141" s="220"/>
      <c r="BM141" s="220"/>
      <c r="BN141" s="220"/>
      <c r="BO141" s="220"/>
      <c r="BP141" s="220"/>
      <c r="BQ141" s="220"/>
      <c r="BR141" s="220"/>
      <c r="BS141" s="220"/>
      <c r="BT141" s="220"/>
      <c r="BU141" s="220"/>
      <c r="BV141" s="220"/>
      <c r="BW141" s="220"/>
      <c r="BX141" s="220"/>
      <c r="BY141" s="220"/>
      <c r="BZ141" s="220"/>
      <c r="CA141" s="220"/>
      <c r="CB141" s="220"/>
      <c r="CC141" s="220"/>
      <c r="CD141" s="220"/>
      <c r="CE141" s="220"/>
      <c r="CF141" s="220"/>
      <c r="CG141" s="220"/>
      <c r="CH141" s="220"/>
      <c r="CI141" s="220"/>
      <c r="CJ141" s="220"/>
      <c r="CK141" s="220"/>
      <c r="CL141" s="220"/>
      <c r="CM141" s="220"/>
      <c r="CN141" s="220"/>
      <c r="CO141" s="220"/>
      <c r="CP141" s="220"/>
      <c r="CQ141" s="220"/>
      <c r="CR141" s="220"/>
      <c r="CS141" s="220"/>
      <c r="CT141" s="220"/>
      <c r="CU141" s="220"/>
      <c r="CV141" s="220"/>
      <c r="CW141" s="220"/>
      <c r="CX141" s="220"/>
      <c r="CY141" s="220"/>
      <c r="CZ141" s="220"/>
      <c r="DA141" s="220"/>
      <c r="DB141" s="220"/>
      <c r="DC141" s="220"/>
      <c r="DD141" s="220"/>
    </row>
    <row r="142" spans="1:108" outlineLevel="1" x14ac:dyDescent="0.2">
      <c r="A142" s="220"/>
      <c r="B142" s="220"/>
      <c r="C142" s="212">
        <v>3</v>
      </c>
      <c r="D142" s="270" t="s">
        <v>278</v>
      </c>
      <c r="E142" s="86">
        <f>SUMPRODUCT(($D$253:$D$271=E139)*($E$252:$DA$252&gt;=$E$131)*($E$252:$DA$252&lt;=$F$131)*($E$253:$DA$271))</f>
        <v>0</v>
      </c>
      <c r="F142" s="86">
        <f t="shared" ref="F142:J142" si="44">SUMPRODUCT(($D$253:$D$271=F139)*($E$252:$DA$252&gt;=$E$131)*($E$252:$DA$252&lt;=$F$131)*($E$253:$DA$271))</f>
        <v>0</v>
      </c>
      <c r="G142" s="86">
        <f t="shared" si="44"/>
        <v>0</v>
      </c>
      <c r="H142" s="86">
        <f t="shared" si="44"/>
        <v>0</v>
      </c>
      <c r="I142" s="86">
        <f t="shared" si="44"/>
        <v>0</v>
      </c>
      <c r="J142" s="86">
        <f t="shared" si="44"/>
        <v>0</v>
      </c>
      <c r="K142" s="220"/>
      <c r="L142" s="220"/>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20"/>
      <c r="BL142" s="220"/>
      <c r="BM142" s="220"/>
      <c r="BN142" s="220"/>
      <c r="BO142" s="220"/>
      <c r="BP142" s="220"/>
      <c r="BQ142" s="220"/>
      <c r="BR142" s="220"/>
      <c r="BS142" s="220"/>
      <c r="BT142" s="220"/>
      <c r="BU142" s="220"/>
      <c r="BV142" s="220"/>
      <c r="BW142" s="220"/>
      <c r="BX142" s="220"/>
      <c r="BY142" s="220"/>
      <c r="BZ142" s="220"/>
      <c r="CA142" s="220"/>
      <c r="CB142" s="220"/>
      <c r="CC142" s="220"/>
      <c r="CD142" s="220"/>
      <c r="CE142" s="220"/>
      <c r="CF142" s="220"/>
      <c r="CG142" s="220"/>
      <c r="CH142" s="220"/>
      <c r="CI142" s="220"/>
      <c r="CJ142" s="220"/>
      <c r="CK142" s="220"/>
      <c r="CL142" s="220"/>
      <c r="CM142" s="220"/>
      <c r="CN142" s="220"/>
      <c r="CO142" s="220"/>
      <c r="CP142" s="220"/>
      <c r="CQ142" s="220"/>
      <c r="CR142" s="220"/>
      <c r="CS142" s="220"/>
      <c r="CT142" s="220"/>
      <c r="CU142" s="220"/>
      <c r="CV142" s="220"/>
      <c r="CW142" s="220"/>
      <c r="CX142" s="220"/>
      <c r="CY142" s="220"/>
      <c r="CZ142" s="220"/>
      <c r="DA142" s="220"/>
      <c r="DB142" s="220"/>
      <c r="DC142" s="220"/>
      <c r="DD142" s="220"/>
    </row>
    <row r="143" spans="1:108" outlineLevel="1" x14ac:dyDescent="0.2">
      <c r="A143" s="220"/>
      <c r="B143" s="220"/>
      <c r="C143" s="220"/>
      <c r="D143" s="6"/>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20"/>
      <c r="BL143" s="220"/>
      <c r="BM143" s="220"/>
      <c r="BN143" s="220"/>
      <c r="BO143" s="220"/>
      <c r="BP143" s="220"/>
      <c r="BQ143" s="220"/>
      <c r="BR143" s="220"/>
      <c r="BS143" s="220"/>
      <c r="BT143" s="220"/>
      <c r="BU143" s="220"/>
      <c r="BV143" s="220"/>
      <c r="BW143" s="220"/>
      <c r="BX143" s="220"/>
      <c r="BY143" s="220"/>
      <c r="BZ143" s="220"/>
      <c r="CA143" s="220"/>
      <c r="CB143" s="220"/>
      <c r="CC143" s="220"/>
      <c r="CD143" s="220"/>
      <c r="CE143" s="220"/>
      <c r="CF143" s="220"/>
      <c r="CG143" s="220"/>
      <c r="CH143" s="220"/>
      <c r="CI143" s="220"/>
      <c r="CJ143" s="220"/>
      <c r="CK143" s="220"/>
      <c r="CL143" s="220"/>
      <c r="CM143" s="220"/>
      <c r="CN143" s="220"/>
      <c r="CO143" s="220"/>
      <c r="CP143" s="220"/>
      <c r="CQ143" s="220"/>
      <c r="CR143" s="220"/>
      <c r="CS143" s="220"/>
      <c r="CT143" s="220"/>
      <c r="CU143" s="220"/>
      <c r="CV143" s="220"/>
      <c r="CW143" s="220"/>
      <c r="CX143" s="220"/>
      <c r="CY143" s="220"/>
      <c r="CZ143" s="220"/>
      <c r="DA143" s="220"/>
      <c r="DB143" s="220"/>
      <c r="DC143" s="220"/>
      <c r="DD143" s="220"/>
    </row>
    <row r="144" spans="1:108" x14ac:dyDescent="0.2">
      <c r="A144" s="220"/>
      <c r="B144" s="220"/>
      <c r="C144" s="220"/>
      <c r="D144" s="6"/>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20"/>
      <c r="BL144" s="220"/>
      <c r="BM144" s="220"/>
      <c r="BN144" s="220"/>
      <c r="BO144" s="220"/>
      <c r="BP144" s="220"/>
      <c r="BQ144" s="220"/>
      <c r="BR144" s="220"/>
      <c r="BS144" s="220"/>
      <c r="BT144" s="220"/>
      <c r="BU144" s="220"/>
      <c r="BV144" s="220"/>
      <c r="BW144" s="220"/>
      <c r="BX144" s="220"/>
      <c r="BY144" s="220"/>
      <c r="BZ144" s="220"/>
      <c r="CA144" s="220"/>
      <c r="CB144" s="220"/>
      <c r="CC144" s="220"/>
      <c r="CD144" s="220"/>
      <c r="CE144" s="220"/>
      <c r="CF144" s="220"/>
      <c r="CG144" s="220"/>
      <c r="CH144" s="220"/>
      <c r="CI144" s="220"/>
      <c r="CJ144" s="220"/>
      <c r="CK144" s="220"/>
      <c r="CL144" s="220"/>
      <c r="CM144" s="220"/>
      <c r="CN144" s="220"/>
      <c r="CO144" s="220"/>
      <c r="CP144" s="220"/>
      <c r="CQ144" s="220"/>
      <c r="CR144" s="220"/>
      <c r="CS144" s="220"/>
      <c r="CT144" s="220"/>
      <c r="CU144" s="220"/>
      <c r="CV144" s="220"/>
      <c r="CW144" s="220"/>
      <c r="CX144" s="220"/>
      <c r="CY144" s="220"/>
      <c r="CZ144" s="220"/>
      <c r="DA144" s="220"/>
      <c r="DB144" s="220"/>
      <c r="DC144" s="220"/>
      <c r="DD144" s="220"/>
    </row>
    <row r="145" spans="1:108" ht="15.75" x14ac:dyDescent="0.2">
      <c r="A145" s="220"/>
      <c r="B145" s="83">
        <f>IF(H148&lt;&gt;"",VLOOKUP(H148,GenderCode,2,FALSE),0)</f>
        <v>0</v>
      </c>
      <c r="C145" s="212">
        <v>8</v>
      </c>
      <c r="D145" s="110" t="str">
        <f>IF(B145=0,MsgNotUsed, CONCATENATE("Australian population ", C145, ": ", H148, " ", E149, " - ", F149, " yrs inclusive (", E154, "-", J154, ")"))</f>
        <v>** NOT USED **</v>
      </c>
      <c r="E145" s="178"/>
      <c r="F145" s="178"/>
      <c r="G145" s="178"/>
      <c r="H145" s="178"/>
      <c r="I145" s="268"/>
      <c r="J145" s="178"/>
      <c r="K145" s="178"/>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20"/>
      <c r="BL145" s="220"/>
      <c r="BM145" s="220"/>
      <c r="BN145" s="220"/>
      <c r="BO145" s="220"/>
      <c r="BP145" s="220"/>
      <c r="BQ145" s="220"/>
      <c r="BR145" s="220"/>
      <c r="BS145" s="220"/>
      <c r="BT145" s="220"/>
      <c r="BU145" s="220"/>
      <c r="BV145" s="220"/>
      <c r="BW145" s="220"/>
      <c r="BX145" s="220"/>
      <c r="BY145" s="220"/>
      <c r="BZ145" s="220"/>
      <c r="CA145" s="220"/>
      <c r="CB145" s="220"/>
      <c r="CC145" s="220"/>
      <c r="CD145" s="220"/>
      <c r="CE145" s="220"/>
      <c r="CF145" s="220"/>
      <c r="CG145" s="220"/>
      <c r="CH145" s="220"/>
      <c r="CI145" s="220"/>
      <c r="CJ145" s="220"/>
      <c r="CK145" s="220"/>
      <c r="CL145" s="220"/>
      <c r="CM145" s="220"/>
      <c r="CN145" s="220"/>
      <c r="CO145" s="220"/>
      <c r="CP145" s="220"/>
      <c r="CQ145" s="220"/>
      <c r="CR145" s="220"/>
      <c r="CS145" s="220"/>
      <c r="CT145" s="220"/>
      <c r="CU145" s="220"/>
      <c r="CV145" s="220"/>
      <c r="CW145" s="220"/>
      <c r="CX145" s="220"/>
      <c r="CY145" s="220"/>
      <c r="CZ145" s="220"/>
      <c r="DA145" s="220"/>
      <c r="DB145" s="220"/>
      <c r="DC145" s="220"/>
      <c r="DD145" s="220"/>
    </row>
    <row r="146" spans="1:108" ht="14.25" outlineLevel="1" x14ac:dyDescent="0.2">
      <c r="A146" s="220"/>
      <c r="B146" s="220"/>
      <c r="C146" s="220"/>
      <c r="D146" s="209"/>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20"/>
      <c r="BL146" s="220"/>
      <c r="BM146" s="220"/>
      <c r="BN146" s="220"/>
      <c r="BO146" s="220"/>
      <c r="BP146" s="220"/>
      <c r="BQ146" s="220"/>
      <c r="BR146" s="220"/>
      <c r="BS146" s="220"/>
      <c r="BT146" s="220"/>
      <c r="BU146" s="220"/>
      <c r="BV146" s="220"/>
      <c r="BW146" s="220"/>
      <c r="BX146" s="220"/>
      <c r="BY146" s="220"/>
      <c r="BZ146" s="220"/>
      <c r="CA146" s="220"/>
      <c r="CB146" s="220"/>
      <c r="CC146" s="220"/>
      <c r="CD146" s="220"/>
      <c r="CE146" s="220"/>
      <c r="CF146" s="220"/>
      <c r="CG146" s="220"/>
      <c r="CH146" s="220"/>
      <c r="CI146" s="220"/>
      <c r="CJ146" s="220"/>
      <c r="CK146" s="220"/>
      <c r="CL146" s="220"/>
      <c r="CM146" s="220"/>
      <c r="CN146" s="220"/>
      <c r="CO146" s="220"/>
      <c r="CP146" s="220"/>
      <c r="CQ146" s="220"/>
      <c r="CR146" s="220"/>
      <c r="CS146" s="220"/>
      <c r="CT146" s="220"/>
      <c r="CU146" s="220"/>
      <c r="CV146" s="220"/>
      <c r="CW146" s="220"/>
      <c r="CX146" s="220"/>
      <c r="CY146" s="220"/>
      <c r="CZ146" s="220"/>
      <c r="DA146" s="220"/>
      <c r="DB146" s="220"/>
      <c r="DC146" s="220"/>
      <c r="DD146" s="220"/>
    </row>
    <row r="147" spans="1:108" outlineLevel="1" x14ac:dyDescent="0.2">
      <c r="A147" s="220"/>
      <c r="B147" s="220"/>
      <c r="C147" s="220"/>
      <c r="D147" s="6"/>
      <c r="E147" s="114" t="s">
        <v>279</v>
      </c>
      <c r="F147" s="114" t="s">
        <v>280</v>
      </c>
      <c r="G147" s="220"/>
      <c r="H147" s="114" t="s">
        <v>52</v>
      </c>
      <c r="I147" s="220"/>
      <c r="J147" s="114" t="s">
        <v>405</v>
      </c>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20"/>
      <c r="BL147" s="220"/>
      <c r="BM147" s="220"/>
      <c r="BN147" s="220"/>
      <c r="BO147" s="220"/>
      <c r="BP147" s="220"/>
      <c r="BQ147" s="220"/>
      <c r="BR147" s="220"/>
      <c r="BS147" s="220"/>
      <c r="BT147" s="220"/>
      <c r="BU147" s="220"/>
      <c r="BV147" s="220"/>
      <c r="BW147" s="220"/>
      <c r="BX147" s="220"/>
      <c r="BY147" s="220"/>
      <c r="BZ147" s="220"/>
      <c r="CA147" s="220"/>
      <c r="CB147" s="220"/>
      <c r="CC147" s="220"/>
      <c r="CD147" s="220"/>
      <c r="CE147" s="220"/>
      <c r="CF147" s="220"/>
      <c r="CG147" s="220"/>
      <c r="CH147" s="220"/>
      <c r="CI147" s="220"/>
      <c r="CJ147" s="220"/>
      <c r="CK147" s="220"/>
      <c r="CL147" s="220"/>
      <c r="CM147" s="220"/>
      <c r="CN147" s="220"/>
      <c r="CO147" s="220"/>
      <c r="CP147" s="220"/>
      <c r="CQ147" s="220"/>
      <c r="CR147" s="220"/>
      <c r="CS147" s="220"/>
      <c r="CT147" s="220"/>
      <c r="CU147" s="220"/>
      <c r="CV147" s="220"/>
      <c r="CW147" s="220"/>
      <c r="CX147" s="220"/>
      <c r="CY147" s="220"/>
      <c r="CZ147" s="220"/>
      <c r="DA147" s="220"/>
      <c r="DB147" s="220"/>
      <c r="DC147" s="220"/>
      <c r="DD147" s="220"/>
    </row>
    <row r="148" spans="1:108" outlineLevel="1" x14ac:dyDescent="0.2">
      <c r="A148" s="220"/>
      <c r="B148" s="220"/>
      <c r="C148" s="220"/>
      <c r="D148" s="58" t="s">
        <v>276</v>
      </c>
      <c r="E148" s="65"/>
      <c r="F148" s="65"/>
      <c r="G148" s="220"/>
      <c r="H148" s="107"/>
      <c r="I148" s="220"/>
      <c r="J148" s="107"/>
      <c r="K148" s="220"/>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20"/>
      <c r="BL148" s="220"/>
      <c r="BM148" s="220"/>
      <c r="BN148" s="220"/>
      <c r="BO148" s="220"/>
      <c r="BP148" s="220"/>
      <c r="BQ148" s="220"/>
      <c r="BR148" s="220"/>
      <c r="BS148" s="220"/>
      <c r="BT148" s="220"/>
      <c r="BU148" s="220"/>
      <c r="BV148" s="220"/>
      <c r="BW148" s="220"/>
      <c r="BX148" s="220"/>
      <c r="BY148" s="220"/>
      <c r="BZ148" s="220"/>
      <c r="CA148" s="220"/>
      <c r="CB148" s="220"/>
      <c r="CC148" s="220"/>
      <c r="CD148" s="220"/>
      <c r="CE148" s="220"/>
      <c r="CF148" s="220"/>
      <c r="CG148" s="220"/>
      <c r="CH148" s="220"/>
      <c r="CI148" s="220"/>
      <c r="CJ148" s="220"/>
      <c r="CK148" s="220"/>
      <c r="CL148" s="220"/>
      <c r="CM148" s="220"/>
      <c r="CN148" s="220"/>
      <c r="CO148" s="220"/>
      <c r="CP148" s="220"/>
      <c r="CQ148" s="220"/>
      <c r="CR148" s="220"/>
      <c r="CS148" s="220"/>
      <c r="CT148" s="220"/>
      <c r="CU148" s="220"/>
      <c r="CV148" s="220"/>
      <c r="CW148" s="220"/>
      <c r="CX148" s="220"/>
      <c r="CY148" s="220"/>
      <c r="CZ148" s="220"/>
      <c r="DA148" s="220"/>
      <c r="DB148" s="220"/>
      <c r="DC148" s="220"/>
      <c r="DD148" s="220"/>
    </row>
    <row r="149" spans="1:108" outlineLevel="1" x14ac:dyDescent="0.2">
      <c r="A149" s="220"/>
      <c r="B149" s="220"/>
      <c r="C149" s="220"/>
      <c r="D149" s="6"/>
      <c r="E149" s="155">
        <f>IF(E148="",0,E148)</f>
        <v>0</v>
      </c>
      <c r="F149" s="155">
        <f>IF(F148="",100,F148)</f>
        <v>100</v>
      </c>
      <c r="G149" s="220"/>
      <c r="H149" s="220"/>
      <c r="I149" s="220"/>
      <c r="J149" s="220"/>
      <c r="K149" s="220"/>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20"/>
      <c r="BL149" s="220"/>
      <c r="BM149" s="220"/>
      <c r="BN149" s="220"/>
      <c r="BO149" s="220"/>
      <c r="BP149" s="220"/>
      <c r="BQ149" s="220"/>
      <c r="BR149" s="220"/>
      <c r="BS149" s="220"/>
      <c r="BT149" s="220"/>
      <c r="BU149" s="220"/>
      <c r="BV149" s="220"/>
      <c r="BW149" s="220"/>
      <c r="BX149" s="220"/>
      <c r="BY149" s="220"/>
      <c r="BZ149" s="220"/>
      <c r="CA149" s="220"/>
      <c r="CB149" s="220"/>
      <c r="CC149" s="220"/>
      <c r="CD149" s="220"/>
      <c r="CE149" s="220"/>
      <c r="CF149" s="220"/>
      <c r="CG149" s="220"/>
      <c r="CH149" s="220"/>
      <c r="CI149" s="220"/>
      <c r="CJ149" s="220"/>
      <c r="CK149" s="220"/>
      <c r="CL149" s="220"/>
      <c r="CM149" s="220"/>
      <c r="CN149" s="220"/>
      <c r="CO149" s="220"/>
      <c r="CP149" s="220"/>
      <c r="CQ149" s="220"/>
      <c r="CR149" s="220"/>
      <c r="CS149" s="220"/>
      <c r="CT149" s="220"/>
      <c r="CU149" s="220"/>
      <c r="CV149" s="220"/>
      <c r="CW149" s="220"/>
      <c r="CX149" s="220"/>
      <c r="CY149" s="220"/>
      <c r="CZ149" s="220"/>
      <c r="DA149" s="220"/>
      <c r="DB149" s="220"/>
      <c r="DC149" s="220"/>
      <c r="DD149" s="220"/>
    </row>
    <row r="150" spans="1:108" outlineLevel="1" x14ac:dyDescent="0.2">
      <c r="A150" s="220"/>
      <c r="B150" s="220"/>
      <c r="C150" s="220"/>
      <c r="D150" s="220"/>
      <c r="E150" s="428" t="s">
        <v>512</v>
      </c>
      <c r="F150" s="428" t="s">
        <v>513</v>
      </c>
      <c r="G150" s="220"/>
      <c r="H150" s="220"/>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c r="BT150" s="220"/>
      <c r="BU150" s="220"/>
      <c r="BV150" s="220"/>
      <c r="BW150" s="220"/>
      <c r="BX150" s="220"/>
      <c r="BY150" s="220"/>
      <c r="BZ150" s="220"/>
      <c r="CA150" s="220"/>
      <c r="CB150" s="220"/>
      <c r="CC150" s="220"/>
      <c r="CD150" s="220"/>
      <c r="CE150" s="220"/>
      <c r="CF150" s="220"/>
      <c r="CG150" s="220"/>
      <c r="CH150" s="220"/>
      <c r="CI150" s="220"/>
      <c r="CJ150" s="220"/>
      <c r="CK150" s="220"/>
      <c r="CL150" s="220"/>
      <c r="CM150" s="220"/>
      <c r="CN150" s="220"/>
      <c r="CO150" s="220"/>
      <c r="CP150" s="220"/>
      <c r="CQ150" s="220"/>
      <c r="CR150" s="220"/>
      <c r="CS150" s="220"/>
      <c r="CT150" s="220"/>
      <c r="CU150" s="220"/>
      <c r="CV150" s="220"/>
      <c r="CW150" s="220"/>
      <c r="CX150" s="220"/>
      <c r="CY150" s="220"/>
      <c r="CZ150" s="220"/>
      <c r="DA150" s="220"/>
      <c r="DB150" s="220"/>
      <c r="DC150" s="220"/>
      <c r="DD150" s="220"/>
    </row>
    <row r="151" spans="1:108" outlineLevel="1" x14ac:dyDescent="0.2">
      <c r="A151" s="220"/>
      <c r="B151" s="220"/>
      <c r="C151" s="220"/>
      <c r="D151" s="58" t="s">
        <v>511</v>
      </c>
      <c r="E151" s="65"/>
      <c r="F151" s="65"/>
      <c r="G151" s="440">
        <f>IF(AND(E151&lt;&gt;"",F151&lt;&gt;""),E151/F151,1)</f>
        <v>1</v>
      </c>
      <c r="H151" s="220"/>
      <c r="I151" s="220"/>
      <c r="J151" s="220"/>
      <c r="K151" s="220"/>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20"/>
      <c r="BL151" s="220"/>
      <c r="BM151" s="220"/>
      <c r="BN151" s="220"/>
      <c r="BO151" s="220"/>
      <c r="BP151" s="220"/>
      <c r="BQ151" s="220"/>
      <c r="BR151" s="220"/>
      <c r="BS151" s="220"/>
      <c r="BT151" s="220"/>
      <c r="BU151" s="220"/>
      <c r="BV151" s="220"/>
      <c r="BW151" s="220"/>
      <c r="BX151" s="220"/>
      <c r="BY151" s="220"/>
      <c r="BZ151" s="220"/>
      <c r="CA151" s="220"/>
      <c r="CB151" s="220"/>
      <c r="CC151" s="220"/>
      <c r="CD151" s="220"/>
      <c r="CE151" s="220"/>
      <c r="CF151" s="220"/>
      <c r="CG151" s="220"/>
      <c r="CH151" s="220"/>
      <c r="CI151" s="220"/>
      <c r="CJ151" s="220"/>
      <c r="CK151" s="220"/>
      <c r="CL151" s="220"/>
      <c r="CM151" s="220"/>
      <c r="CN151" s="220"/>
      <c r="CO151" s="220"/>
      <c r="CP151" s="220"/>
      <c r="CQ151" s="220"/>
      <c r="CR151" s="220"/>
      <c r="CS151" s="220"/>
      <c r="CT151" s="220"/>
      <c r="CU151" s="220"/>
      <c r="CV151" s="220"/>
      <c r="CW151" s="220"/>
      <c r="CX151" s="220"/>
      <c r="CY151" s="220"/>
      <c r="CZ151" s="220"/>
      <c r="DA151" s="220"/>
      <c r="DB151" s="220"/>
      <c r="DC151" s="220"/>
      <c r="DD151" s="220"/>
    </row>
    <row r="152" spans="1:108" outlineLevel="1" x14ac:dyDescent="0.2">
      <c r="A152" s="220"/>
      <c r="B152" s="220"/>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20"/>
      <c r="BL152" s="220"/>
      <c r="BM152" s="220"/>
      <c r="BN152" s="220"/>
      <c r="BO152" s="220"/>
      <c r="BP152" s="220"/>
      <c r="BQ152" s="220"/>
      <c r="BR152" s="220"/>
      <c r="BS152" s="220"/>
      <c r="BT152" s="220"/>
      <c r="BU152" s="220"/>
      <c r="BV152" s="220"/>
      <c r="BW152" s="220"/>
      <c r="BX152" s="220"/>
      <c r="BY152" s="220"/>
      <c r="BZ152" s="220"/>
      <c r="CA152" s="220"/>
      <c r="CB152" s="220"/>
      <c r="CC152" s="220"/>
      <c r="CD152" s="220"/>
      <c r="CE152" s="220"/>
      <c r="CF152" s="220"/>
      <c r="CG152" s="220"/>
      <c r="CH152" s="220"/>
      <c r="CI152" s="220"/>
      <c r="CJ152" s="220"/>
      <c r="CK152" s="220"/>
      <c r="CL152" s="220"/>
      <c r="CM152" s="220"/>
      <c r="CN152" s="220"/>
      <c r="CO152" s="220"/>
      <c r="CP152" s="220"/>
      <c r="CQ152" s="220"/>
      <c r="CR152" s="220"/>
      <c r="CS152" s="220"/>
      <c r="CT152" s="220"/>
      <c r="CU152" s="220"/>
      <c r="CV152" s="220"/>
      <c r="CW152" s="220"/>
      <c r="CX152" s="220"/>
      <c r="CY152" s="220"/>
      <c r="CZ152" s="220"/>
      <c r="DA152" s="220"/>
      <c r="DB152" s="220"/>
      <c r="DC152" s="220"/>
      <c r="DD152" s="220"/>
    </row>
    <row r="153" spans="1:108" outlineLevel="1" x14ac:dyDescent="0.2">
      <c r="A153" s="220"/>
      <c r="B153" s="220"/>
      <c r="C153" s="220"/>
      <c r="D153" s="220"/>
      <c r="E153" s="195" t="s">
        <v>289</v>
      </c>
      <c r="F153" s="220"/>
      <c r="G153" s="220"/>
      <c r="H153" s="220"/>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20"/>
      <c r="BL153" s="220"/>
      <c r="BM153" s="220"/>
      <c r="BN153" s="220"/>
      <c r="BO153" s="220"/>
      <c r="BP153" s="220"/>
      <c r="BQ153" s="220"/>
      <c r="BR153" s="220"/>
      <c r="BS153" s="220"/>
      <c r="BT153" s="220"/>
      <c r="BU153" s="220"/>
      <c r="BV153" s="220"/>
      <c r="BW153" s="220"/>
      <c r="BX153" s="220"/>
      <c r="BY153" s="220"/>
      <c r="BZ153" s="220"/>
      <c r="CA153" s="220"/>
      <c r="CB153" s="220"/>
      <c r="CC153" s="220"/>
      <c r="CD153" s="220"/>
      <c r="CE153" s="220"/>
      <c r="CF153" s="220"/>
      <c r="CG153" s="220"/>
      <c r="CH153" s="220"/>
      <c r="CI153" s="220"/>
      <c r="CJ153" s="220"/>
      <c r="CK153" s="220"/>
      <c r="CL153" s="220"/>
      <c r="CM153" s="220"/>
      <c r="CN153" s="220"/>
      <c r="CO153" s="220"/>
      <c r="CP153" s="220"/>
      <c r="CQ153" s="220"/>
      <c r="CR153" s="220"/>
      <c r="CS153" s="220"/>
      <c r="CT153" s="220"/>
      <c r="CU153" s="220"/>
      <c r="CV153" s="220"/>
      <c r="CW153" s="220"/>
      <c r="CX153" s="220"/>
      <c r="CY153" s="220"/>
      <c r="CZ153" s="220"/>
      <c r="DA153" s="220"/>
      <c r="DB153" s="220"/>
      <c r="DC153" s="220"/>
      <c r="DD153" s="220"/>
    </row>
    <row r="154" spans="1:108" outlineLevel="1" x14ac:dyDescent="0.2">
      <c r="A154" s="220"/>
      <c r="B154" s="220"/>
      <c r="C154" s="220"/>
      <c r="D154" s="6"/>
      <c r="E154" s="108">
        <f>IF(J148&lt;&gt;"",J148,FirstYear)</f>
        <v>0</v>
      </c>
      <c r="F154" s="112">
        <f>E154+1</f>
        <v>1</v>
      </c>
      <c r="G154" s="112">
        <f>F154+1</f>
        <v>2</v>
      </c>
      <c r="H154" s="112">
        <f>G154+1</f>
        <v>3</v>
      </c>
      <c r="I154" s="112">
        <f>H154+1</f>
        <v>4</v>
      </c>
      <c r="J154" s="112">
        <f>I154+1</f>
        <v>5</v>
      </c>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20"/>
      <c r="BL154" s="220"/>
      <c r="BM154" s="220"/>
      <c r="BN154" s="220"/>
      <c r="BO154" s="220"/>
      <c r="BP154" s="220"/>
      <c r="BQ154" s="220"/>
      <c r="BR154" s="220"/>
      <c r="BS154" s="220"/>
      <c r="BT154" s="220"/>
      <c r="BU154" s="220"/>
      <c r="BV154" s="220"/>
      <c r="BW154" s="220"/>
      <c r="BX154" s="220"/>
      <c r="BY154" s="220"/>
      <c r="BZ154" s="220"/>
      <c r="CA154" s="220"/>
      <c r="CB154" s="220"/>
      <c r="CC154" s="220"/>
      <c r="CD154" s="220"/>
      <c r="CE154" s="220"/>
      <c r="CF154" s="220"/>
      <c r="CG154" s="220"/>
      <c r="CH154" s="220"/>
      <c r="CI154" s="220"/>
      <c r="CJ154" s="220"/>
      <c r="CK154" s="220"/>
      <c r="CL154" s="220"/>
      <c r="CM154" s="220"/>
      <c r="CN154" s="220"/>
      <c r="CO154" s="220"/>
      <c r="CP154" s="220"/>
      <c r="CQ154" s="220"/>
      <c r="CR154" s="220"/>
      <c r="CS154" s="220"/>
      <c r="CT154" s="220"/>
      <c r="CU154" s="220"/>
      <c r="CV154" s="220"/>
      <c r="CW154" s="220"/>
      <c r="CX154" s="220"/>
      <c r="CY154" s="220"/>
      <c r="CZ154" s="220"/>
      <c r="DA154" s="220"/>
      <c r="DB154" s="220"/>
      <c r="DC154" s="220"/>
      <c r="DD154" s="220"/>
    </row>
    <row r="155" spans="1:108" outlineLevel="1" x14ac:dyDescent="0.2">
      <c r="A155" s="220"/>
      <c r="B155" s="220"/>
      <c r="C155" s="220"/>
      <c r="D155" s="220"/>
      <c r="E155" s="86">
        <f>IF($B$145&lt;&gt;0,VLOOKUP($B$145,$C$158:$J$160,E156)*$G151,0)</f>
        <v>0</v>
      </c>
      <c r="F155" s="86">
        <f t="shared" ref="F155:J155" si="45">IF($B$145&lt;&gt;0,VLOOKUP($B$145,$C$158:$J$160,F156)*$G151,0)</f>
        <v>0</v>
      </c>
      <c r="G155" s="86">
        <f t="shared" si="45"/>
        <v>0</v>
      </c>
      <c r="H155" s="86">
        <f t="shared" si="45"/>
        <v>0</v>
      </c>
      <c r="I155" s="86">
        <f t="shared" si="45"/>
        <v>0</v>
      </c>
      <c r="J155" s="86">
        <f t="shared" si="45"/>
        <v>0</v>
      </c>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20"/>
      <c r="BL155" s="220"/>
      <c r="BM155" s="220"/>
      <c r="BN155" s="220"/>
      <c r="BO155" s="220"/>
      <c r="BP155" s="220"/>
      <c r="BQ155" s="220"/>
      <c r="BR155" s="220"/>
      <c r="BS155" s="220"/>
      <c r="BT155" s="220"/>
      <c r="BU155" s="220"/>
      <c r="BV155" s="220"/>
      <c r="BW155" s="220"/>
      <c r="BX155" s="220"/>
      <c r="BY155" s="220"/>
      <c r="BZ155" s="220"/>
      <c r="CA155" s="220"/>
      <c r="CB155" s="220"/>
      <c r="CC155" s="220"/>
      <c r="CD155" s="220"/>
      <c r="CE155" s="220"/>
      <c r="CF155" s="220"/>
      <c r="CG155" s="220"/>
      <c r="CH155" s="220"/>
      <c r="CI155" s="220"/>
      <c r="CJ155" s="220"/>
      <c r="CK155" s="220"/>
      <c r="CL155" s="220"/>
      <c r="CM155" s="220"/>
      <c r="CN155" s="220"/>
      <c r="CO155" s="220"/>
      <c r="CP155" s="220"/>
      <c r="CQ155" s="220"/>
      <c r="CR155" s="220"/>
      <c r="CS155" s="220"/>
      <c r="CT155" s="220"/>
      <c r="CU155" s="220"/>
      <c r="CV155" s="220"/>
      <c r="CW155" s="220"/>
      <c r="CX155" s="220"/>
      <c r="CY155" s="220"/>
      <c r="CZ155" s="220"/>
      <c r="DA155" s="220"/>
      <c r="DB155" s="220"/>
      <c r="DC155" s="220"/>
      <c r="DD155" s="220"/>
    </row>
    <row r="156" spans="1:108" outlineLevel="1" x14ac:dyDescent="0.2">
      <c r="A156" s="220"/>
      <c r="B156" s="220"/>
      <c r="C156" s="220"/>
      <c r="D156" s="220"/>
      <c r="E156" s="269">
        <v>3</v>
      </c>
      <c r="F156" s="269">
        <v>4</v>
      </c>
      <c r="G156" s="269">
        <v>5</v>
      </c>
      <c r="H156" s="269">
        <v>6</v>
      </c>
      <c r="I156" s="269">
        <v>7</v>
      </c>
      <c r="J156" s="269">
        <v>8</v>
      </c>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20"/>
      <c r="BL156" s="220"/>
      <c r="BM156" s="220"/>
      <c r="BN156" s="220"/>
      <c r="BO156" s="220"/>
      <c r="BP156" s="220"/>
      <c r="BQ156" s="220"/>
      <c r="BR156" s="220"/>
      <c r="BS156" s="220"/>
      <c r="BT156" s="220"/>
      <c r="BU156" s="220"/>
      <c r="BV156" s="220"/>
      <c r="BW156" s="220"/>
      <c r="BX156" s="220"/>
      <c r="BY156" s="220"/>
      <c r="BZ156" s="220"/>
      <c r="CA156" s="220"/>
      <c r="CB156" s="220"/>
      <c r="CC156" s="220"/>
      <c r="CD156" s="220"/>
      <c r="CE156" s="220"/>
      <c r="CF156" s="220"/>
      <c r="CG156" s="220"/>
      <c r="CH156" s="220"/>
      <c r="CI156" s="220"/>
      <c r="CJ156" s="220"/>
      <c r="CK156" s="220"/>
      <c r="CL156" s="220"/>
      <c r="CM156" s="220"/>
      <c r="CN156" s="220"/>
      <c r="CO156" s="220"/>
      <c r="CP156" s="220"/>
      <c r="CQ156" s="220"/>
      <c r="CR156" s="220"/>
      <c r="CS156" s="220"/>
      <c r="CT156" s="220"/>
      <c r="CU156" s="220"/>
      <c r="CV156" s="220"/>
      <c r="CW156" s="220"/>
      <c r="CX156" s="220"/>
      <c r="CY156" s="220"/>
      <c r="CZ156" s="220"/>
      <c r="DA156" s="220"/>
      <c r="DB156" s="220"/>
      <c r="DC156" s="220"/>
      <c r="DD156" s="220"/>
    </row>
    <row r="157" spans="1:108" outlineLevel="1" x14ac:dyDescent="0.2">
      <c r="A157" s="220"/>
      <c r="B157" s="220"/>
      <c r="C157" s="220"/>
      <c r="D157" s="46" t="s">
        <v>362</v>
      </c>
      <c r="E157" s="108">
        <f t="shared" ref="E157:J157" si="46">E154</f>
        <v>0</v>
      </c>
      <c r="F157" s="108">
        <f t="shared" si="46"/>
        <v>1</v>
      </c>
      <c r="G157" s="108">
        <f t="shared" si="46"/>
        <v>2</v>
      </c>
      <c r="H157" s="108">
        <f t="shared" si="46"/>
        <v>3</v>
      </c>
      <c r="I157" s="108">
        <f t="shared" si="46"/>
        <v>4</v>
      </c>
      <c r="J157" s="108">
        <f t="shared" si="46"/>
        <v>5</v>
      </c>
      <c r="K157" s="220"/>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20"/>
      <c r="BL157" s="220"/>
      <c r="BM157" s="220"/>
      <c r="BN157" s="220"/>
      <c r="BO157" s="220"/>
      <c r="BP157" s="220"/>
      <c r="BQ157" s="220"/>
      <c r="BR157" s="220"/>
      <c r="BS157" s="220"/>
      <c r="BT157" s="220"/>
      <c r="BU157" s="220"/>
      <c r="BV157" s="220"/>
      <c r="BW157" s="220"/>
      <c r="BX157" s="220"/>
      <c r="BY157" s="220"/>
      <c r="BZ157" s="220"/>
      <c r="CA157" s="220"/>
      <c r="CB157" s="220"/>
      <c r="CC157" s="220"/>
      <c r="CD157" s="220"/>
      <c r="CE157" s="220"/>
      <c r="CF157" s="220"/>
      <c r="CG157" s="220"/>
      <c r="CH157" s="220"/>
      <c r="CI157" s="220"/>
      <c r="CJ157" s="220"/>
      <c r="CK157" s="220"/>
      <c r="CL157" s="220"/>
      <c r="CM157" s="220"/>
      <c r="CN157" s="220"/>
      <c r="CO157" s="220"/>
      <c r="CP157" s="220"/>
      <c r="CQ157" s="220"/>
      <c r="CR157" s="220"/>
      <c r="CS157" s="220"/>
      <c r="CT157" s="220"/>
      <c r="CU157" s="220"/>
      <c r="CV157" s="220"/>
      <c r="CW157" s="220"/>
      <c r="CX157" s="220"/>
      <c r="CY157" s="220"/>
      <c r="CZ157" s="220"/>
      <c r="DA157" s="220"/>
      <c r="DB157" s="220"/>
      <c r="DC157" s="220"/>
      <c r="DD157" s="220"/>
    </row>
    <row r="158" spans="1:108" outlineLevel="1" x14ac:dyDescent="0.2">
      <c r="A158" s="220"/>
      <c r="B158" s="220"/>
      <c r="C158" s="212">
        <v>1</v>
      </c>
      <c r="D158" s="270" t="s">
        <v>274</v>
      </c>
      <c r="E158" s="86">
        <f>SUMPRODUCT(($D$203:$D$221=E157)*($E$202:$DA$202&gt;=$E$149)*($E$202:$DA$202&lt;=$F$149)*($E$203:$DA$221))</f>
        <v>0</v>
      </c>
      <c r="F158" s="86">
        <f t="shared" ref="F158:J158" si="47">SUMPRODUCT(($D$203:$D$221=F157)*($E$202:$DA$202&gt;=$E$149)*($E$202:$DA$202&lt;=$F$149)*($E$203:$DA$221))</f>
        <v>0</v>
      </c>
      <c r="G158" s="86">
        <f t="shared" si="47"/>
        <v>0</v>
      </c>
      <c r="H158" s="86">
        <f t="shared" si="47"/>
        <v>0</v>
      </c>
      <c r="I158" s="86">
        <f t="shared" si="47"/>
        <v>0</v>
      </c>
      <c r="J158" s="86">
        <f t="shared" si="47"/>
        <v>0</v>
      </c>
      <c r="K158" s="220"/>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c r="BT158" s="220"/>
      <c r="BU158" s="220"/>
      <c r="BV158" s="220"/>
      <c r="BW158" s="220"/>
      <c r="BX158" s="220"/>
      <c r="BY158" s="220"/>
      <c r="BZ158" s="220"/>
      <c r="CA158" s="220"/>
      <c r="CB158" s="220"/>
      <c r="CC158" s="220"/>
      <c r="CD158" s="220"/>
      <c r="CE158" s="220"/>
      <c r="CF158" s="220"/>
      <c r="CG158" s="220"/>
      <c r="CH158" s="220"/>
      <c r="CI158" s="220"/>
      <c r="CJ158" s="220"/>
      <c r="CK158" s="220"/>
      <c r="CL158" s="220"/>
      <c r="CM158" s="220"/>
      <c r="CN158" s="220"/>
      <c r="CO158" s="220"/>
      <c r="CP158" s="220"/>
      <c r="CQ158" s="220"/>
      <c r="CR158" s="220"/>
      <c r="CS158" s="220"/>
      <c r="CT158" s="220"/>
      <c r="CU158" s="220"/>
      <c r="CV158" s="220"/>
      <c r="CW158" s="220"/>
      <c r="CX158" s="220"/>
      <c r="CY158" s="220"/>
      <c r="CZ158" s="220"/>
      <c r="DA158" s="220"/>
      <c r="DB158" s="220"/>
      <c r="DC158" s="220"/>
      <c r="DD158" s="220"/>
    </row>
    <row r="159" spans="1:108" outlineLevel="1" x14ac:dyDescent="0.2">
      <c r="A159" s="220"/>
      <c r="B159" s="220"/>
      <c r="C159" s="212">
        <v>2</v>
      </c>
      <c r="D159" s="270" t="s">
        <v>277</v>
      </c>
      <c r="E159" s="86">
        <f>SUMPRODUCT(($D$228:$D$246=E157)*($E$227:$DA$227&gt;=$E$149)*($E$227:$DA$227&lt;=$F$149)*($E$228:$DA$246))</f>
        <v>0</v>
      </c>
      <c r="F159" s="86">
        <f t="shared" ref="F159:J159" si="48">SUMPRODUCT(($D$228:$D$246=F157)*($E$227:$DA$227&gt;=$E$149)*($E$227:$DA$227&lt;=$F$149)*($E$228:$DA$246))</f>
        <v>0</v>
      </c>
      <c r="G159" s="86">
        <f t="shared" si="48"/>
        <v>0</v>
      </c>
      <c r="H159" s="86">
        <f t="shared" si="48"/>
        <v>0</v>
      </c>
      <c r="I159" s="86">
        <f t="shared" si="48"/>
        <v>0</v>
      </c>
      <c r="J159" s="86">
        <f t="shared" si="48"/>
        <v>0</v>
      </c>
      <c r="K159" s="22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c r="BT159" s="220"/>
      <c r="BU159" s="220"/>
      <c r="BV159" s="220"/>
      <c r="BW159" s="220"/>
      <c r="BX159" s="220"/>
      <c r="BY159" s="220"/>
      <c r="BZ159" s="220"/>
      <c r="CA159" s="220"/>
      <c r="CB159" s="220"/>
      <c r="CC159" s="220"/>
      <c r="CD159" s="220"/>
      <c r="CE159" s="220"/>
      <c r="CF159" s="220"/>
      <c r="CG159" s="220"/>
      <c r="CH159" s="220"/>
      <c r="CI159" s="220"/>
      <c r="CJ159" s="220"/>
      <c r="CK159" s="220"/>
      <c r="CL159" s="220"/>
      <c r="CM159" s="220"/>
      <c r="CN159" s="220"/>
      <c r="CO159" s="220"/>
      <c r="CP159" s="220"/>
      <c r="CQ159" s="220"/>
      <c r="CR159" s="220"/>
      <c r="CS159" s="220"/>
      <c r="CT159" s="220"/>
      <c r="CU159" s="220"/>
      <c r="CV159" s="220"/>
      <c r="CW159" s="220"/>
      <c r="CX159" s="220"/>
      <c r="CY159" s="220"/>
      <c r="CZ159" s="220"/>
      <c r="DA159" s="220"/>
      <c r="DB159" s="220"/>
      <c r="DC159" s="220"/>
      <c r="DD159" s="220"/>
    </row>
    <row r="160" spans="1:108" outlineLevel="1" x14ac:dyDescent="0.2">
      <c r="A160" s="220"/>
      <c r="B160" s="220"/>
      <c r="C160" s="212">
        <v>3</v>
      </c>
      <c r="D160" s="270" t="s">
        <v>278</v>
      </c>
      <c r="E160" s="86">
        <f>SUMPRODUCT(($D$253:$D$271=E157)*($E$252:$DA$252&gt;=$E$149)*($E$252:$DA$252&lt;=$F$149)*($E$253:$DA$271))</f>
        <v>0</v>
      </c>
      <c r="F160" s="86">
        <f t="shared" ref="F160:J160" si="49">SUMPRODUCT(($D$253:$D$271=F157)*($E$252:$DA$252&gt;=$E$149)*($E$252:$DA$252&lt;=$F$149)*($E$253:$DA$271))</f>
        <v>0</v>
      </c>
      <c r="G160" s="86">
        <f t="shared" si="49"/>
        <v>0</v>
      </c>
      <c r="H160" s="86">
        <f t="shared" si="49"/>
        <v>0</v>
      </c>
      <c r="I160" s="86">
        <f t="shared" si="49"/>
        <v>0</v>
      </c>
      <c r="J160" s="86">
        <f t="shared" si="49"/>
        <v>0</v>
      </c>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row>
    <row r="161" spans="1:108" outlineLevel="1" x14ac:dyDescent="0.2">
      <c r="A161" s="220"/>
      <c r="B161" s="220"/>
      <c r="C161" s="220"/>
      <c r="D161" s="6"/>
      <c r="E161" s="220"/>
      <c r="F161" s="220"/>
      <c r="G161" s="220"/>
      <c r="H161" s="220"/>
      <c r="I161" s="220"/>
      <c r="J161" s="220"/>
      <c r="K161" s="220"/>
      <c r="L161" s="220"/>
      <c r="M161" s="220"/>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20"/>
      <c r="BL161" s="220"/>
      <c r="BM161" s="220"/>
      <c r="BN161" s="220"/>
      <c r="BO161" s="220"/>
      <c r="BP161" s="220"/>
      <c r="BQ161" s="220"/>
      <c r="BR161" s="220"/>
      <c r="BS161" s="220"/>
      <c r="BT161" s="220"/>
      <c r="BU161" s="220"/>
      <c r="BV161" s="220"/>
      <c r="BW161" s="220"/>
      <c r="BX161" s="220"/>
      <c r="BY161" s="220"/>
      <c r="BZ161" s="220"/>
      <c r="CA161" s="220"/>
      <c r="CB161" s="220"/>
      <c r="CC161" s="220"/>
      <c r="CD161" s="220"/>
      <c r="CE161" s="220"/>
      <c r="CF161" s="220"/>
      <c r="CG161" s="220"/>
      <c r="CH161" s="220"/>
      <c r="CI161" s="220"/>
      <c r="CJ161" s="220"/>
      <c r="CK161" s="220"/>
      <c r="CL161" s="220"/>
      <c r="CM161" s="220"/>
      <c r="CN161" s="220"/>
      <c r="CO161" s="220"/>
      <c r="CP161" s="220"/>
      <c r="CQ161" s="220"/>
      <c r="CR161" s="220"/>
      <c r="CS161" s="220"/>
      <c r="CT161" s="220"/>
      <c r="CU161" s="220"/>
      <c r="CV161" s="220"/>
      <c r="CW161" s="220"/>
      <c r="CX161" s="220"/>
      <c r="CY161" s="220"/>
      <c r="CZ161" s="220"/>
      <c r="DA161" s="220"/>
      <c r="DB161" s="220"/>
      <c r="DC161" s="220"/>
      <c r="DD161" s="220"/>
    </row>
    <row r="162" spans="1:108" x14ac:dyDescent="0.2">
      <c r="A162" s="220"/>
      <c r="B162" s="220"/>
      <c r="C162" s="220"/>
      <c r="D162" s="6"/>
      <c r="E162" s="220"/>
      <c r="F162" s="220"/>
      <c r="G162" s="220"/>
      <c r="H162" s="220"/>
      <c r="I162" s="220"/>
      <c r="J162" s="220"/>
      <c r="K162" s="22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20"/>
      <c r="BL162" s="220"/>
      <c r="BM162" s="220"/>
      <c r="BN162" s="220"/>
      <c r="BO162" s="220"/>
      <c r="BP162" s="220"/>
      <c r="BQ162" s="220"/>
      <c r="BR162" s="220"/>
      <c r="BS162" s="220"/>
      <c r="BT162" s="220"/>
      <c r="BU162" s="220"/>
      <c r="BV162" s="220"/>
      <c r="BW162" s="220"/>
      <c r="BX162" s="220"/>
      <c r="BY162" s="220"/>
      <c r="BZ162" s="220"/>
      <c r="CA162" s="220"/>
      <c r="CB162" s="220"/>
      <c r="CC162" s="220"/>
      <c r="CD162" s="220"/>
      <c r="CE162" s="220"/>
      <c r="CF162" s="220"/>
      <c r="CG162" s="220"/>
      <c r="CH162" s="220"/>
      <c r="CI162" s="220"/>
      <c r="CJ162" s="220"/>
      <c r="CK162" s="220"/>
      <c r="CL162" s="220"/>
      <c r="CM162" s="220"/>
      <c r="CN162" s="220"/>
      <c r="CO162" s="220"/>
      <c r="CP162" s="220"/>
      <c r="CQ162" s="220"/>
      <c r="CR162" s="220"/>
      <c r="CS162" s="220"/>
      <c r="CT162" s="220"/>
      <c r="CU162" s="220"/>
      <c r="CV162" s="220"/>
      <c r="CW162" s="220"/>
      <c r="CX162" s="220"/>
      <c r="CY162" s="220"/>
      <c r="CZ162" s="220"/>
      <c r="DA162" s="220"/>
      <c r="DB162" s="220"/>
      <c r="DC162" s="220"/>
      <c r="DD162" s="220"/>
    </row>
    <row r="163" spans="1:108" ht="15.75" x14ac:dyDescent="0.2">
      <c r="A163" s="220"/>
      <c r="B163" s="83">
        <f>IF(H166&lt;&gt;"",VLOOKUP(H166,GenderCode,2,FALSE),0)</f>
        <v>0</v>
      </c>
      <c r="C163" s="212">
        <v>9</v>
      </c>
      <c r="D163" s="110" t="str">
        <f>IF(B163=0,MsgNotUsed, CONCATENATE("Australian population ", C163, ": ", H166, " ", E167, " - ", F167, " yrs inclusive (", E172, "-", J172, ")"))</f>
        <v>** NOT USED **</v>
      </c>
      <c r="E163" s="178"/>
      <c r="F163" s="178"/>
      <c r="G163" s="178"/>
      <c r="H163" s="178"/>
      <c r="I163" s="268"/>
      <c r="J163" s="178"/>
      <c r="K163" s="178"/>
      <c r="L163" s="220"/>
      <c r="M163" s="220"/>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20"/>
      <c r="BL163" s="220"/>
      <c r="BM163" s="220"/>
      <c r="BN163" s="220"/>
      <c r="BO163" s="220"/>
      <c r="BP163" s="220"/>
      <c r="BQ163" s="220"/>
      <c r="BR163" s="220"/>
      <c r="BS163" s="220"/>
      <c r="BT163" s="220"/>
      <c r="BU163" s="220"/>
      <c r="BV163" s="220"/>
      <c r="BW163" s="220"/>
      <c r="BX163" s="220"/>
      <c r="BY163" s="220"/>
      <c r="BZ163" s="220"/>
      <c r="CA163" s="220"/>
      <c r="CB163" s="220"/>
      <c r="CC163" s="220"/>
      <c r="CD163" s="220"/>
      <c r="CE163" s="220"/>
      <c r="CF163" s="220"/>
      <c r="CG163" s="220"/>
      <c r="CH163" s="220"/>
      <c r="CI163" s="220"/>
      <c r="CJ163" s="220"/>
      <c r="CK163" s="220"/>
      <c r="CL163" s="220"/>
      <c r="CM163" s="220"/>
      <c r="CN163" s="220"/>
      <c r="CO163" s="220"/>
      <c r="CP163" s="220"/>
      <c r="CQ163" s="220"/>
      <c r="CR163" s="220"/>
      <c r="CS163" s="220"/>
      <c r="CT163" s="220"/>
      <c r="CU163" s="220"/>
      <c r="CV163" s="220"/>
      <c r="CW163" s="220"/>
      <c r="CX163" s="220"/>
      <c r="CY163" s="220"/>
      <c r="CZ163" s="220"/>
      <c r="DA163" s="220"/>
      <c r="DB163" s="220"/>
      <c r="DC163" s="220"/>
      <c r="DD163" s="220"/>
    </row>
    <row r="164" spans="1:108" ht="14.25" outlineLevel="1" x14ac:dyDescent="0.2">
      <c r="A164" s="220"/>
      <c r="B164" s="220"/>
      <c r="C164" s="220"/>
      <c r="D164" s="209"/>
      <c r="E164" s="220"/>
      <c r="F164" s="220"/>
      <c r="G164" s="220"/>
      <c r="H164" s="220"/>
      <c r="I164" s="220"/>
      <c r="J164" s="220"/>
      <c r="K164" s="220"/>
      <c r="L164" s="220"/>
      <c r="M164" s="220"/>
      <c r="N164" s="220"/>
      <c r="O164" s="220"/>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20"/>
      <c r="BL164" s="220"/>
      <c r="BM164" s="220"/>
      <c r="BN164" s="220"/>
      <c r="BO164" s="220"/>
      <c r="BP164" s="220"/>
      <c r="BQ164" s="220"/>
      <c r="BR164" s="220"/>
      <c r="BS164" s="220"/>
      <c r="BT164" s="220"/>
      <c r="BU164" s="220"/>
      <c r="BV164" s="220"/>
      <c r="BW164" s="220"/>
      <c r="BX164" s="220"/>
      <c r="BY164" s="220"/>
      <c r="BZ164" s="220"/>
      <c r="CA164" s="220"/>
      <c r="CB164" s="220"/>
      <c r="CC164" s="220"/>
      <c r="CD164" s="220"/>
      <c r="CE164" s="220"/>
      <c r="CF164" s="220"/>
      <c r="CG164" s="220"/>
      <c r="CH164" s="220"/>
      <c r="CI164" s="220"/>
      <c r="CJ164" s="220"/>
      <c r="CK164" s="220"/>
      <c r="CL164" s="220"/>
      <c r="CM164" s="220"/>
      <c r="CN164" s="220"/>
      <c r="CO164" s="220"/>
      <c r="CP164" s="220"/>
      <c r="CQ164" s="220"/>
      <c r="CR164" s="220"/>
      <c r="CS164" s="220"/>
      <c r="CT164" s="220"/>
      <c r="CU164" s="220"/>
      <c r="CV164" s="220"/>
      <c r="CW164" s="220"/>
      <c r="CX164" s="220"/>
      <c r="CY164" s="220"/>
      <c r="CZ164" s="220"/>
      <c r="DA164" s="220"/>
      <c r="DB164" s="220"/>
      <c r="DC164" s="220"/>
      <c r="DD164" s="220"/>
    </row>
    <row r="165" spans="1:108" outlineLevel="1" x14ac:dyDescent="0.2">
      <c r="A165" s="220"/>
      <c r="B165" s="220"/>
      <c r="C165" s="220"/>
      <c r="D165" s="6"/>
      <c r="E165" s="114" t="s">
        <v>279</v>
      </c>
      <c r="F165" s="114" t="s">
        <v>280</v>
      </c>
      <c r="G165" s="220"/>
      <c r="H165" s="114" t="s">
        <v>52</v>
      </c>
      <c r="I165" s="220"/>
      <c r="J165" s="114" t="s">
        <v>405</v>
      </c>
      <c r="K165" s="22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20"/>
      <c r="BL165" s="220"/>
      <c r="BM165" s="220"/>
      <c r="BN165" s="220"/>
      <c r="BO165" s="220"/>
      <c r="BP165" s="220"/>
      <c r="BQ165" s="220"/>
      <c r="BR165" s="220"/>
      <c r="BS165" s="220"/>
      <c r="BT165" s="220"/>
      <c r="BU165" s="220"/>
      <c r="BV165" s="220"/>
      <c r="BW165" s="220"/>
      <c r="BX165" s="220"/>
      <c r="BY165" s="220"/>
      <c r="BZ165" s="220"/>
      <c r="CA165" s="220"/>
      <c r="CB165" s="220"/>
      <c r="CC165" s="220"/>
      <c r="CD165" s="220"/>
      <c r="CE165" s="220"/>
      <c r="CF165" s="220"/>
      <c r="CG165" s="220"/>
      <c r="CH165" s="220"/>
      <c r="CI165" s="220"/>
      <c r="CJ165" s="220"/>
      <c r="CK165" s="220"/>
      <c r="CL165" s="220"/>
      <c r="CM165" s="220"/>
      <c r="CN165" s="220"/>
      <c r="CO165" s="220"/>
      <c r="CP165" s="220"/>
      <c r="CQ165" s="220"/>
      <c r="CR165" s="220"/>
      <c r="CS165" s="220"/>
      <c r="CT165" s="220"/>
      <c r="CU165" s="220"/>
      <c r="CV165" s="220"/>
      <c r="CW165" s="220"/>
      <c r="CX165" s="220"/>
      <c r="CY165" s="220"/>
      <c r="CZ165" s="220"/>
      <c r="DA165" s="220"/>
      <c r="DB165" s="220"/>
      <c r="DC165" s="220"/>
      <c r="DD165" s="220"/>
    </row>
    <row r="166" spans="1:108" outlineLevel="1" x14ac:dyDescent="0.2">
      <c r="A166" s="220"/>
      <c r="B166" s="220"/>
      <c r="C166" s="220"/>
      <c r="D166" s="58" t="s">
        <v>276</v>
      </c>
      <c r="E166" s="65"/>
      <c r="F166" s="65"/>
      <c r="G166" s="220"/>
      <c r="H166" s="107"/>
      <c r="I166" s="220"/>
      <c r="J166" s="107"/>
      <c r="K166" s="220"/>
      <c r="L166" s="220"/>
      <c r="M166" s="220"/>
      <c r="N166" s="220"/>
      <c r="O166" s="220"/>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20"/>
      <c r="BL166" s="220"/>
      <c r="BM166" s="220"/>
      <c r="BN166" s="220"/>
      <c r="BO166" s="220"/>
      <c r="BP166" s="220"/>
      <c r="BQ166" s="220"/>
      <c r="BR166" s="220"/>
      <c r="BS166" s="220"/>
      <c r="BT166" s="220"/>
      <c r="BU166" s="220"/>
      <c r="BV166" s="220"/>
      <c r="BW166" s="220"/>
      <c r="BX166" s="220"/>
      <c r="BY166" s="220"/>
      <c r="BZ166" s="220"/>
      <c r="CA166" s="220"/>
      <c r="CB166" s="220"/>
      <c r="CC166" s="220"/>
      <c r="CD166" s="220"/>
      <c r="CE166" s="220"/>
      <c r="CF166" s="220"/>
      <c r="CG166" s="220"/>
      <c r="CH166" s="220"/>
      <c r="CI166" s="220"/>
      <c r="CJ166" s="220"/>
      <c r="CK166" s="220"/>
      <c r="CL166" s="220"/>
      <c r="CM166" s="220"/>
      <c r="CN166" s="220"/>
      <c r="CO166" s="220"/>
      <c r="CP166" s="220"/>
      <c r="CQ166" s="220"/>
      <c r="CR166" s="220"/>
      <c r="CS166" s="220"/>
      <c r="CT166" s="220"/>
      <c r="CU166" s="220"/>
      <c r="CV166" s="220"/>
      <c r="CW166" s="220"/>
      <c r="CX166" s="220"/>
      <c r="CY166" s="220"/>
      <c r="CZ166" s="220"/>
      <c r="DA166" s="220"/>
      <c r="DB166" s="220"/>
      <c r="DC166" s="220"/>
      <c r="DD166" s="220"/>
    </row>
    <row r="167" spans="1:108" outlineLevel="1" x14ac:dyDescent="0.2">
      <c r="A167" s="220"/>
      <c r="B167" s="220"/>
      <c r="C167" s="220"/>
      <c r="D167" s="6"/>
      <c r="E167" s="155">
        <f>IF(E166="",0,E166)</f>
        <v>0</v>
      </c>
      <c r="F167" s="155">
        <f>IF(F166="",100,F166)</f>
        <v>100</v>
      </c>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row>
    <row r="168" spans="1:108" outlineLevel="1" x14ac:dyDescent="0.2">
      <c r="A168" s="220"/>
      <c r="B168" s="220"/>
      <c r="C168" s="220"/>
      <c r="D168" s="220"/>
      <c r="E168" s="428" t="s">
        <v>512</v>
      </c>
      <c r="F168" s="428" t="s">
        <v>513</v>
      </c>
      <c r="G168" s="220"/>
      <c r="H168" s="220"/>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c r="BT168" s="220"/>
      <c r="BU168" s="220"/>
      <c r="BV168" s="220"/>
      <c r="BW168" s="220"/>
      <c r="BX168" s="220"/>
      <c r="BY168" s="220"/>
      <c r="BZ168" s="220"/>
      <c r="CA168" s="220"/>
      <c r="CB168" s="220"/>
      <c r="CC168" s="220"/>
      <c r="CD168" s="220"/>
      <c r="CE168" s="220"/>
      <c r="CF168" s="220"/>
      <c r="CG168" s="220"/>
      <c r="CH168" s="220"/>
      <c r="CI168" s="220"/>
      <c r="CJ168" s="220"/>
      <c r="CK168" s="220"/>
      <c r="CL168" s="220"/>
      <c r="CM168" s="220"/>
      <c r="CN168" s="220"/>
      <c r="CO168" s="220"/>
      <c r="CP168" s="220"/>
      <c r="CQ168" s="220"/>
      <c r="CR168" s="220"/>
      <c r="CS168" s="220"/>
      <c r="CT168" s="220"/>
      <c r="CU168" s="220"/>
      <c r="CV168" s="220"/>
      <c r="CW168" s="220"/>
      <c r="CX168" s="220"/>
      <c r="CY168" s="220"/>
      <c r="CZ168" s="220"/>
      <c r="DA168" s="220"/>
      <c r="DB168" s="220"/>
      <c r="DC168" s="220"/>
      <c r="DD168" s="220"/>
    </row>
    <row r="169" spans="1:108" outlineLevel="1" x14ac:dyDescent="0.2">
      <c r="A169" s="220"/>
      <c r="B169" s="220"/>
      <c r="C169" s="220"/>
      <c r="D169" s="58" t="s">
        <v>511</v>
      </c>
      <c r="E169" s="65"/>
      <c r="F169" s="65"/>
      <c r="G169" s="440">
        <f>IF(AND(E169&lt;&gt;"",F169&lt;&gt;""),E169/F169,1)</f>
        <v>1</v>
      </c>
      <c r="H169" s="220"/>
      <c r="I169" s="220"/>
      <c r="J169" s="220"/>
      <c r="K169" s="220"/>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c r="BT169" s="220"/>
      <c r="BU169" s="220"/>
      <c r="BV169" s="220"/>
      <c r="BW169" s="220"/>
      <c r="BX169" s="220"/>
      <c r="BY169" s="220"/>
      <c r="BZ169" s="220"/>
      <c r="CA169" s="220"/>
      <c r="CB169" s="220"/>
      <c r="CC169" s="220"/>
      <c r="CD169" s="220"/>
      <c r="CE169" s="220"/>
      <c r="CF169" s="220"/>
      <c r="CG169" s="220"/>
      <c r="CH169" s="220"/>
      <c r="CI169" s="220"/>
      <c r="CJ169" s="220"/>
      <c r="CK169" s="220"/>
      <c r="CL169" s="220"/>
      <c r="CM169" s="220"/>
      <c r="CN169" s="220"/>
      <c r="CO169" s="220"/>
      <c r="CP169" s="220"/>
      <c r="CQ169" s="220"/>
      <c r="CR169" s="220"/>
      <c r="CS169" s="220"/>
      <c r="CT169" s="220"/>
      <c r="CU169" s="220"/>
      <c r="CV169" s="220"/>
      <c r="CW169" s="220"/>
      <c r="CX169" s="220"/>
      <c r="CY169" s="220"/>
      <c r="CZ169" s="220"/>
      <c r="DA169" s="220"/>
      <c r="DB169" s="220"/>
      <c r="DC169" s="220"/>
      <c r="DD169" s="220"/>
    </row>
    <row r="170" spans="1:108" outlineLevel="1" x14ac:dyDescent="0.2">
      <c r="A170" s="220"/>
      <c r="B170" s="220"/>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20"/>
      <c r="BL170" s="220"/>
      <c r="BM170" s="220"/>
      <c r="BN170" s="220"/>
      <c r="BO170" s="220"/>
      <c r="BP170" s="220"/>
      <c r="BQ170" s="220"/>
      <c r="BR170" s="220"/>
      <c r="BS170" s="220"/>
      <c r="BT170" s="220"/>
      <c r="BU170" s="220"/>
      <c r="BV170" s="220"/>
      <c r="BW170" s="220"/>
      <c r="BX170" s="220"/>
      <c r="BY170" s="220"/>
      <c r="BZ170" s="220"/>
      <c r="CA170" s="220"/>
      <c r="CB170" s="220"/>
      <c r="CC170" s="220"/>
      <c r="CD170" s="220"/>
      <c r="CE170" s="220"/>
      <c r="CF170" s="220"/>
      <c r="CG170" s="220"/>
      <c r="CH170" s="220"/>
      <c r="CI170" s="220"/>
      <c r="CJ170" s="220"/>
      <c r="CK170" s="220"/>
      <c r="CL170" s="220"/>
      <c r="CM170" s="220"/>
      <c r="CN170" s="220"/>
      <c r="CO170" s="220"/>
      <c r="CP170" s="220"/>
      <c r="CQ170" s="220"/>
      <c r="CR170" s="220"/>
      <c r="CS170" s="220"/>
      <c r="CT170" s="220"/>
      <c r="CU170" s="220"/>
      <c r="CV170" s="220"/>
      <c r="CW170" s="220"/>
      <c r="CX170" s="220"/>
      <c r="CY170" s="220"/>
      <c r="CZ170" s="220"/>
      <c r="DA170" s="220"/>
      <c r="DB170" s="220"/>
      <c r="DC170" s="220"/>
      <c r="DD170" s="220"/>
    </row>
    <row r="171" spans="1:108" outlineLevel="1" x14ac:dyDescent="0.2">
      <c r="A171" s="220"/>
      <c r="B171" s="220"/>
      <c r="C171" s="220"/>
      <c r="D171" s="220"/>
      <c r="E171" s="195" t="s">
        <v>289</v>
      </c>
      <c r="F171" s="220"/>
      <c r="G171" s="220"/>
      <c r="H171" s="220"/>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20"/>
      <c r="BL171" s="220"/>
      <c r="BM171" s="220"/>
      <c r="BN171" s="220"/>
      <c r="BO171" s="220"/>
      <c r="BP171" s="220"/>
      <c r="BQ171" s="220"/>
      <c r="BR171" s="220"/>
      <c r="BS171" s="220"/>
      <c r="BT171" s="220"/>
      <c r="BU171" s="220"/>
      <c r="BV171" s="220"/>
      <c r="BW171" s="220"/>
      <c r="BX171" s="220"/>
      <c r="BY171" s="220"/>
      <c r="BZ171" s="220"/>
      <c r="CA171" s="220"/>
      <c r="CB171" s="220"/>
      <c r="CC171" s="220"/>
      <c r="CD171" s="220"/>
      <c r="CE171" s="220"/>
      <c r="CF171" s="220"/>
      <c r="CG171" s="220"/>
      <c r="CH171" s="220"/>
      <c r="CI171" s="220"/>
      <c r="CJ171" s="220"/>
      <c r="CK171" s="220"/>
      <c r="CL171" s="220"/>
      <c r="CM171" s="220"/>
      <c r="CN171" s="220"/>
      <c r="CO171" s="220"/>
      <c r="CP171" s="220"/>
      <c r="CQ171" s="220"/>
      <c r="CR171" s="220"/>
      <c r="CS171" s="220"/>
      <c r="CT171" s="220"/>
      <c r="CU171" s="220"/>
      <c r="CV171" s="220"/>
      <c r="CW171" s="220"/>
      <c r="CX171" s="220"/>
      <c r="CY171" s="220"/>
      <c r="CZ171" s="220"/>
      <c r="DA171" s="220"/>
      <c r="DB171" s="220"/>
      <c r="DC171" s="220"/>
      <c r="DD171" s="220"/>
    </row>
    <row r="172" spans="1:108" outlineLevel="1" x14ac:dyDescent="0.2">
      <c r="A172" s="220"/>
      <c r="B172" s="220"/>
      <c r="C172" s="220"/>
      <c r="D172" s="6"/>
      <c r="E172" s="108">
        <f>IF(J163&lt;&gt;"",J163,FirstYear)</f>
        <v>0</v>
      </c>
      <c r="F172" s="112">
        <f>E172+1</f>
        <v>1</v>
      </c>
      <c r="G172" s="112">
        <f>F172+1</f>
        <v>2</v>
      </c>
      <c r="H172" s="112">
        <f>G172+1</f>
        <v>3</v>
      </c>
      <c r="I172" s="112">
        <f>H172+1</f>
        <v>4</v>
      </c>
      <c r="J172" s="112">
        <f>I172+1</f>
        <v>5</v>
      </c>
      <c r="K172" s="220"/>
      <c r="L172" s="220"/>
      <c r="M172" s="220"/>
      <c r="N172" s="220"/>
      <c r="O172" s="220"/>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20"/>
      <c r="BL172" s="220"/>
      <c r="BM172" s="220"/>
      <c r="BN172" s="220"/>
      <c r="BO172" s="220"/>
      <c r="BP172" s="220"/>
      <c r="BQ172" s="220"/>
      <c r="BR172" s="220"/>
      <c r="BS172" s="220"/>
      <c r="BT172" s="220"/>
      <c r="BU172" s="220"/>
      <c r="BV172" s="220"/>
      <c r="BW172" s="220"/>
      <c r="BX172" s="220"/>
      <c r="BY172" s="220"/>
      <c r="BZ172" s="220"/>
      <c r="CA172" s="220"/>
      <c r="CB172" s="220"/>
      <c r="CC172" s="220"/>
      <c r="CD172" s="220"/>
      <c r="CE172" s="220"/>
      <c r="CF172" s="220"/>
      <c r="CG172" s="220"/>
      <c r="CH172" s="220"/>
      <c r="CI172" s="220"/>
      <c r="CJ172" s="220"/>
      <c r="CK172" s="220"/>
      <c r="CL172" s="220"/>
      <c r="CM172" s="220"/>
      <c r="CN172" s="220"/>
      <c r="CO172" s="220"/>
      <c r="CP172" s="220"/>
      <c r="CQ172" s="220"/>
      <c r="CR172" s="220"/>
      <c r="CS172" s="220"/>
      <c r="CT172" s="220"/>
      <c r="CU172" s="220"/>
      <c r="CV172" s="220"/>
      <c r="CW172" s="220"/>
      <c r="CX172" s="220"/>
      <c r="CY172" s="220"/>
      <c r="CZ172" s="220"/>
      <c r="DA172" s="220"/>
      <c r="DB172" s="220"/>
      <c r="DC172" s="220"/>
      <c r="DD172" s="220"/>
    </row>
    <row r="173" spans="1:108" outlineLevel="1" x14ac:dyDescent="0.2">
      <c r="A173" s="220"/>
      <c r="B173" s="220"/>
      <c r="C173" s="220"/>
      <c r="D173" s="220"/>
      <c r="E173" s="86">
        <f>IF($B$163&lt;&gt;0,VLOOKUP($B$163,$C$176:$J$178,E174)*$G169,0)</f>
        <v>0</v>
      </c>
      <c r="F173" s="86">
        <f t="shared" ref="F173:J173" si="50">IF($B$163&lt;&gt;0,VLOOKUP($B$163,$C$176:$J$178,F174)*$G169,0)</f>
        <v>0</v>
      </c>
      <c r="G173" s="86">
        <f t="shared" si="50"/>
        <v>0</v>
      </c>
      <c r="H173" s="86">
        <f t="shared" si="50"/>
        <v>0</v>
      </c>
      <c r="I173" s="86">
        <f t="shared" si="50"/>
        <v>0</v>
      </c>
      <c r="J173" s="86">
        <f t="shared" si="50"/>
        <v>0</v>
      </c>
      <c r="K173" s="220"/>
      <c r="L173" s="220"/>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20"/>
      <c r="BL173" s="220"/>
      <c r="BM173" s="220"/>
      <c r="BN173" s="220"/>
      <c r="BO173" s="220"/>
      <c r="BP173" s="220"/>
      <c r="BQ173" s="220"/>
      <c r="BR173" s="220"/>
      <c r="BS173" s="220"/>
      <c r="BT173" s="220"/>
      <c r="BU173" s="220"/>
      <c r="BV173" s="220"/>
      <c r="BW173" s="220"/>
      <c r="BX173" s="220"/>
      <c r="BY173" s="220"/>
      <c r="BZ173" s="220"/>
      <c r="CA173" s="220"/>
      <c r="CB173" s="220"/>
      <c r="CC173" s="220"/>
      <c r="CD173" s="220"/>
      <c r="CE173" s="220"/>
      <c r="CF173" s="220"/>
      <c r="CG173" s="220"/>
      <c r="CH173" s="220"/>
      <c r="CI173" s="220"/>
      <c r="CJ173" s="220"/>
      <c r="CK173" s="220"/>
      <c r="CL173" s="220"/>
      <c r="CM173" s="220"/>
      <c r="CN173" s="220"/>
      <c r="CO173" s="220"/>
      <c r="CP173" s="220"/>
      <c r="CQ173" s="220"/>
      <c r="CR173" s="220"/>
      <c r="CS173" s="220"/>
      <c r="CT173" s="220"/>
      <c r="CU173" s="220"/>
      <c r="CV173" s="220"/>
      <c r="CW173" s="220"/>
      <c r="CX173" s="220"/>
      <c r="CY173" s="220"/>
      <c r="CZ173" s="220"/>
      <c r="DA173" s="220"/>
      <c r="DB173" s="220"/>
      <c r="DC173" s="220"/>
      <c r="DD173" s="220"/>
    </row>
    <row r="174" spans="1:108" outlineLevel="1" x14ac:dyDescent="0.2">
      <c r="A174" s="220"/>
      <c r="B174" s="220"/>
      <c r="C174" s="220"/>
      <c r="D174" s="220"/>
      <c r="E174" s="269">
        <v>3</v>
      </c>
      <c r="F174" s="269">
        <v>4</v>
      </c>
      <c r="G174" s="269">
        <v>5</v>
      </c>
      <c r="H174" s="269">
        <v>6</v>
      </c>
      <c r="I174" s="269">
        <v>7</v>
      </c>
      <c r="J174" s="269">
        <v>8</v>
      </c>
      <c r="K174" s="22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20"/>
      <c r="BL174" s="220"/>
      <c r="BM174" s="220"/>
      <c r="BN174" s="220"/>
      <c r="BO174" s="220"/>
      <c r="BP174" s="220"/>
      <c r="BQ174" s="220"/>
      <c r="BR174" s="220"/>
      <c r="BS174" s="220"/>
      <c r="BT174" s="220"/>
      <c r="BU174" s="220"/>
      <c r="BV174" s="220"/>
      <c r="BW174" s="220"/>
      <c r="BX174" s="220"/>
      <c r="BY174" s="220"/>
      <c r="BZ174" s="220"/>
      <c r="CA174" s="220"/>
      <c r="CB174" s="220"/>
      <c r="CC174" s="220"/>
      <c r="CD174" s="220"/>
      <c r="CE174" s="220"/>
      <c r="CF174" s="220"/>
      <c r="CG174" s="220"/>
      <c r="CH174" s="220"/>
      <c r="CI174" s="220"/>
      <c r="CJ174" s="220"/>
      <c r="CK174" s="220"/>
      <c r="CL174" s="220"/>
      <c r="CM174" s="220"/>
      <c r="CN174" s="220"/>
      <c r="CO174" s="220"/>
      <c r="CP174" s="220"/>
      <c r="CQ174" s="220"/>
      <c r="CR174" s="220"/>
      <c r="CS174" s="220"/>
      <c r="CT174" s="220"/>
      <c r="CU174" s="220"/>
      <c r="CV174" s="220"/>
      <c r="CW174" s="220"/>
      <c r="CX174" s="220"/>
      <c r="CY174" s="220"/>
      <c r="CZ174" s="220"/>
      <c r="DA174" s="220"/>
      <c r="DB174" s="220"/>
      <c r="DC174" s="220"/>
      <c r="DD174" s="220"/>
    </row>
    <row r="175" spans="1:108" outlineLevel="1" x14ac:dyDescent="0.2">
      <c r="A175" s="220"/>
      <c r="B175" s="220"/>
      <c r="C175" s="220"/>
      <c r="D175" s="46" t="s">
        <v>362</v>
      </c>
      <c r="E175" s="108">
        <f t="shared" ref="E175:J175" si="51">E172</f>
        <v>0</v>
      </c>
      <c r="F175" s="108">
        <f t="shared" si="51"/>
        <v>1</v>
      </c>
      <c r="G175" s="108">
        <f t="shared" si="51"/>
        <v>2</v>
      </c>
      <c r="H175" s="108">
        <f t="shared" si="51"/>
        <v>3</v>
      </c>
      <c r="I175" s="108">
        <f t="shared" si="51"/>
        <v>4</v>
      </c>
      <c r="J175" s="108">
        <f t="shared" si="51"/>
        <v>5</v>
      </c>
      <c r="K175" s="220"/>
      <c r="L175" s="220"/>
      <c r="M175" s="220"/>
      <c r="N175" s="220"/>
      <c r="O175" s="220"/>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20"/>
      <c r="BL175" s="220"/>
      <c r="BM175" s="220"/>
      <c r="BN175" s="220"/>
      <c r="BO175" s="220"/>
      <c r="BP175" s="220"/>
      <c r="BQ175" s="220"/>
      <c r="BR175" s="220"/>
      <c r="BS175" s="220"/>
      <c r="BT175" s="220"/>
      <c r="BU175" s="220"/>
      <c r="BV175" s="220"/>
      <c r="BW175" s="220"/>
      <c r="BX175" s="220"/>
      <c r="BY175" s="220"/>
      <c r="BZ175" s="220"/>
      <c r="CA175" s="220"/>
      <c r="CB175" s="220"/>
      <c r="CC175" s="220"/>
      <c r="CD175" s="220"/>
      <c r="CE175" s="220"/>
      <c r="CF175" s="220"/>
      <c r="CG175" s="220"/>
      <c r="CH175" s="220"/>
      <c r="CI175" s="220"/>
      <c r="CJ175" s="220"/>
      <c r="CK175" s="220"/>
      <c r="CL175" s="220"/>
      <c r="CM175" s="220"/>
      <c r="CN175" s="220"/>
      <c r="CO175" s="220"/>
      <c r="CP175" s="220"/>
      <c r="CQ175" s="220"/>
      <c r="CR175" s="220"/>
      <c r="CS175" s="220"/>
      <c r="CT175" s="220"/>
      <c r="CU175" s="220"/>
      <c r="CV175" s="220"/>
      <c r="CW175" s="220"/>
      <c r="CX175" s="220"/>
      <c r="CY175" s="220"/>
      <c r="CZ175" s="220"/>
      <c r="DA175" s="220"/>
      <c r="DB175" s="220"/>
      <c r="DC175" s="220"/>
      <c r="DD175" s="220"/>
    </row>
    <row r="176" spans="1:108" outlineLevel="1" x14ac:dyDescent="0.2">
      <c r="A176" s="220"/>
      <c r="B176" s="220"/>
      <c r="C176" s="212">
        <v>1</v>
      </c>
      <c r="D176" s="270" t="s">
        <v>274</v>
      </c>
      <c r="E176" s="86">
        <f>SUMPRODUCT(($D$203:$D$221=E175)*($E$202:$DA$202&gt;=$E$167)*($E$202:$DA$202&lt;=$F$167)*($E$203:$DA$221))</f>
        <v>0</v>
      </c>
      <c r="F176" s="86">
        <f t="shared" ref="F176:J176" si="52">SUMPRODUCT(($D$203:$D$221=F175)*($E$202:$DA$202&gt;=$E$167)*($E$202:$DA$202&lt;=$F$167)*($E$203:$DA$221))</f>
        <v>0</v>
      </c>
      <c r="G176" s="86">
        <f t="shared" si="52"/>
        <v>0</v>
      </c>
      <c r="H176" s="86">
        <f t="shared" si="52"/>
        <v>0</v>
      </c>
      <c r="I176" s="86">
        <f t="shared" si="52"/>
        <v>0</v>
      </c>
      <c r="J176" s="86">
        <f t="shared" si="52"/>
        <v>0</v>
      </c>
      <c r="K176" s="220"/>
      <c r="L176" s="220"/>
      <c r="M176" s="220"/>
      <c r="N176" s="220"/>
      <c r="O176" s="220"/>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20"/>
      <c r="BL176" s="220"/>
      <c r="BM176" s="220"/>
      <c r="BN176" s="220"/>
      <c r="BO176" s="220"/>
      <c r="BP176" s="220"/>
      <c r="BQ176" s="220"/>
      <c r="BR176" s="220"/>
      <c r="BS176" s="220"/>
      <c r="BT176" s="220"/>
      <c r="BU176" s="220"/>
      <c r="BV176" s="220"/>
      <c r="BW176" s="220"/>
      <c r="BX176" s="220"/>
      <c r="BY176" s="220"/>
      <c r="BZ176" s="220"/>
      <c r="CA176" s="220"/>
      <c r="CB176" s="220"/>
      <c r="CC176" s="220"/>
      <c r="CD176" s="220"/>
      <c r="CE176" s="220"/>
      <c r="CF176" s="220"/>
      <c r="CG176" s="220"/>
      <c r="CH176" s="220"/>
      <c r="CI176" s="220"/>
      <c r="CJ176" s="220"/>
      <c r="CK176" s="220"/>
      <c r="CL176" s="220"/>
      <c r="CM176" s="220"/>
      <c r="CN176" s="220"/>
      <c r="CO176" s="220"/>
      <c r="CP176" s="220"/>
      <c r="CQ176" s="220"/>
      <c r="CR176" s="220"/>
      <c r="CS176" s="220"/>
      <c r="CT176" s="220"/>
      <c r="CU176" s="220"/>
      <c r="CV176" s="220"/>
      <c r="CW176" s="220"/>
      <c r="CX176" s="220"/>
      <c r="CY176" s="220"/>
      <c r="CZ176" s="220"/>
      <c r="DA176" s="220"/>
      <c r="DB176" s="220"/>
      <c r="DC176" s="220"/>
      <c r="DD176" s="220"/>
    </row>
    <row r="177" spans="1:108" outlineLevel="1" x14ac:dyDescent="0.2">
      <c r="A177" s="220"/>
      <c r="B177" s="220"/>
      <c r="C177" s="212">
        <v>2</v>
      </c>
      <c r="D177" s="270" t="s">
        <v>277</v>
      </c>
      <c r="E177" s="86">
        <f>SUMPRODUCT(($D$228:$D$246=E175)*($E$227:$DA$227&gt;=$E$167)*($E$227:$DA$227&lt;=$F$167)*($E$228:$DA$246))</f>
        <v>0</v>
      </c>
      <c r="F177" s="86">
        <f t="shared" ref="F177:J177" si="53">SUMPRODUCT(($D$228:$D$246=F175)*($E$227:$DA$227&gt;=$E$167)*($E$227:$DA$227&lt;=$F$167)*($E$228:$DA$246))</f>
        <v>0</v>
      </c>
      <c r="G177" s="86">
        <f t="shared" si="53"/>
        <v>0</v>
      </c>
      <c r="H177" s="86">
        <f t="shared" si="53"/>
        <v>0</v>
      </c>
      <c r="I177" s="86">
        <f t="shared" si="53"/>
        <v>0</v>
      </c>
      <c r="J177" s="86">
        <f t="shared" si="53"/>
        <v>0</v>
      </c>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c r="BT177" s="220"/>
      <c r="BU177" s="220"/>
      <c r="BV177" s="220"/>
      <c r="BW177" s="220"/>
      <c r="BX177" s="220"/>
      <c r="BY177" s="220"/>
      <c r="BZ177" s="220"/>
      <c r="CA177" s="220"/>
      <c r="CB177" s="220"/>
      <c r="CC177" s="220"/>
      <c r="CD177" s="220"/>
      <c r="CE177" s="220"/>
      <c r="CF177" s="220"/>
      <c r="CG177" s="220"/>
      <c r="CH177" s="220"/>
      <c r="CI177" s="220"/>
      <c r="CJ177" s="220"/>
      <c r="CK177" s="220"/>
      <c r="CL177" s="220"/>
      <c r="CM177" s="220"/>
      <c r="CN177" s="220"/>
      <c r="CO177" s="220"/>
      <c r="CP177" s="220"/>
      <c r="CQ177" s="220"/>
      <c r="CR177" s="220"/>
      <c r="CS177" s="220"/>
      <c r="CT177" s="220"/>
      <c r="CU177" s="220"/>
      <c r="CV177" s="220"/>
      <c r="CW177" s="220"/>
      <c r="CX177" s="220"/>
      <c r="CY177" s="220"/>
      <c r="CZ177" s="220"/>
      <c r="DA177" s="220"/>
      <c r="DB177" s="220"/>
      <c r="DC177" s="220"/>
      <c r="DD177" s="220"/>
    </row>
    <row r="178" spans="1:108" outlineLevel="1" x14ac:dyDescent="0.2">
      <c r="A178" s="220"/>
      <c r="B178" s="220"/>
      <c r="C178" s="212">
        <v>3</v>
      </c>
      <c r="D178" s="270" t="s">
        <v>278</v>
      </c>
      <c r="E178" s="86">
        <f>SUMPRODUCT(($D$253:$D$271=E175)*($E$252:$DA$252&gt;=$E$167)*($E$252:$DA$252&lt;=$F$167)*($E$253:$DA$271))</f>
        <v>0</v>
      </c>
      <c r="F178" s="86">
        <f t="shared" ref="F178:J178" si="54">SUMPRODUCT(($D$253:$D$271=F175)*($E$252:$DA$252&gt;=$E$167)*($E$252:$DA$252&lt;=$F$167)*($E$253:$DA$271))</f>
        <v>0</v>
      </c>
      <c r="G178" s="86">
        <f t="shared" si="54"/>
        <v>0</v>
      </c>
      <c r="H178" s="86">
        <f t="shared" si="54"/>
        <v>0</v>
      </c>
      <c r="I178" s="86">
        <f t="shared" si="54"/>
        <v>0</v>
      </c>
      <c r="J178" s="86">
        <f t="shared" si="54"/>
        <v>0</v>
      </c>
      <c r="K178" s="220"/>
      <c r="L178" s="220"/>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c r="BT178" s="220"/>
      <c r="BU178" s="220"/>
      <c r="BV178" s="220"/>
      <c r="BW178" s="220"/>
      <c r="BX178" s="220"/>
      <c r="BY178" s="220"/>
      <c r="BZ178" s="220"/>
      <c r="CA178" s="220"/>
      <c r="CB178" s="220"/>
      <c r="CC178" s="220"/>
      <c r="CD178" s="220"/>
      <c r="CE178" s="220"/>
      <c r="CF178" s="220"/>
      <c r="CG178" s="220"/>
      <c r="CH178" s="220"/>
      <c r="CI178" s="220"/>
      <c r="CJ178" s="220"/>
      <c r="CK178" s="220"/>
      <c r="CL178" s="220"/>
      <c r="CM178" s="220"/>
      <c r="CN178" s="220"/>
      <c r="CO178" s="220"/>
      <c r="CP178" s="220"/>
      <c r="CQ178" s="220"/>
      <c r="CR178" s="220"/>
      <c r="CS178" s="220"/>
      <c r="CT178" s="220"/>
      <c r="CU178" s="220"/>
      <c r="CV178" s="220"/>
      <c r="CW178" s="220"/>
      <c r="CX178" s="220"/>
      <c r="CY178" s="220"/>
      <c r="CZ178" s="220"/>
      <c r="DA178" s="220"/>
      <c r="DB178" s="220"/>
      <c r="DC178" s="220"/>
      <c r="DD178" s="220"/>
    </row>
    <row r="179" spans="1:108" outlineLevel="1" x14ac:dyDescent="0.2">
      <c r="A179" s="220"/>
      <c r="B179" s="220"/>
      <c r="C179" s="220"/>
      <c r="D179" s="6"/>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c r="BT179" s="220"/>
      <c r="BU179" s="220"/>
      <c r="BV179" s="220"/>
      <c r="BW179" s="220"/>
      <c r="BX179" s="220"/>
      <c r="BY179" s="220"/>
      <c r="BZ179" s="220"/>
      <c r="CA179" s="220"/>
      <c r="CB179" s="220"/>
      <c r="CC179" s="220"/>
      <c r="CD179" s="220"/>
      <c r="CE179" s="220"/>
      <c r="CF179" s="220"/>
      <c r="CG179" s="220"/>
      <c r="CH179" s="220"/>
      <c r="CI179" s="220"/>
      <c r="CJ179" s="220"/>
      <c r="CK179" s="220"/>
      <c r="CL179" s="220"/>
      <c r="CM179" s="220"/>
      <c r="CN179" s="220"/>
      <c r="CO179" s="220"/>
      <c r="CP179" s="220"/>
      <c r="CQ179" s="220"/>
      <c r="CR179" s="220"/>
      <c r="CS179" s="220"/>
      <c r="CT179" s="220"/>
      <c r="CU179" s="220"/>
      <c r="CV179" s="220"/>
      <c r="CW179" s="220"/>
      <c r="CX179" s="220"/>
      <c r="CY179" s="220"/>
      <c r="CZ179" s="220"/>
      <c r="DA179" s="220"/>
      <c r="DB179" s="220"/>
      <c r="DC179" s="220"/>
      <c r="DD179" s="220"/>
    </row>
    <row r="180" spans="1:108" x14ac:dyDescent="0.2">
      <c r="A180" s="220"/>
      <c r="B180" s="220"/>
      <c r="C180" s="220"/>
      <c r="D180" s="6"/>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c r="BT180" s="220"/>
      <c r="BU180" s="220"/>
      <c r="BV180" s="220"/>
      <c r="BW180" s="220"/>
      <c r="BX180" s="220"/>
      <c r="BY180" s="220"/>
      <c r="BZ180" s="220"/>
      <c r="CA180" s="220"/>
      <c r="CB180" s="220"/>
      <c r="CC180" s="220"/>
      <c r="CD180" s="220"/>
      <c r="CE180" s="220"/>
      <c r="CF180" s="220"/>
      <c r="CG180" s="220"/>
      <c r="CH180" s="220"/>
      <c r="CI180" s="220"/>
      <c r="CJ180" s="220"/>
      <c r="CK180" s="220"/>
      <c r="CL180" s="220"/>
      <c r="CM180" s="220"/>
      <c r="CN180" s="220"/>
      <c r="CO180" s="220"/>
      <c r="CP180" s="220"/>
      <c r="CQ180" s="220"/>
      <c r="CR180" s="220"/>
      <c r="CS180" s="220"/>
      <c r="CT180" s="220"/>
      <c r="CU180" s="220"/>
      <c r="CV180" s="220"/>
      <c r="CW180" s="220"/>
      <c r="CX180" s="220"/>
      <c r="CY180" s="220"/>
      <c r="CZ180" s="220"/>
      <c r="DA180" s="220"/>
      <c r="DB180" s="220"/>
      <c r="DC180" s="220"/>
      <c r="DD180" s="220"/>
    </row>
    <row r="181" spans="1:108" ht="15.75" x14ac:dyDescent="0.2">
      <c r="A181" s="220"/>
      <c r="B181" s="83">
        <f>IF(H184&lt;&gt;"",VLOOKUP(H184,GenderCode,2,FALSE),0)</f>
        <v>0</v>
      </c>
      <c r="C181" s="212">
        <v>10</v>
      </c>
      <c r="D181" s="110" t="str">
        <f>IF(B181=0,MsgNotUsed, CONCATENATE("Australian population ", C181, ": ", H184, " ", E185, " - ", F185, " yrs inclusive (", E190, "-", J190, ")"))</f>
        <v>** NOT USED **</v>
      </c>
      <c r="E181" s="178"/>
      <c r="F181" s="178"/>
      <c r="G181" s="178"/>
      <c r="H181" s="178"/>
      <c r="I181" s="268"/>
      <c r="J181" s="178"/>
      <c r="K181" s="178"/>
      <c r="L181" s="220"/>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c r="BT181" s="220"/>
      <c r="BU181" s="220"/>
      <c r="BV181" s="220"/>
      <c r="BW181" s="220"/>
      <c r="BX181" s="220"/>
      <c r="BY181" s="220"/>
      <c r="BZ181" s="220"/>
      <c r="CA181" s="220"/>
      <c r="CB181" s="220"/>
      <c r="CC181" s="220"/>
      <c r="CD181" s="220"/>
      <c r="CE181" s="220"/>
      <c r="CF181" s="220"/>
      <c r="CG181" s="220"/>
      <c r="CH181" s="220"/>
      <c r="CI181" s="220"/>
      <c r="CJ181" s="220"/>
      <c r="CK181" s="220"/>
      <c r="CL181" s="220"/>
      <c r="CM181" s="220"/>
      <c r="CN181" s="220"/>
      <c r="CO181" s="220"/>
      <c r="CP181" s="220"/>
      <c r="CQ181" s="220"/>
      <c r="CR181" s="220"/>
      <c r="CS181" s="220"/>
      <c r="CT181" s="220"/>
      <c r="CU181" s="220"/>
      <c r="CV181" s="220"/>
      <c r="CW181" s="220"/>
      <c r="CX181" s="220"/>
      <c r="CY181" s="220"/>
      <c r="CZ181" s="220"/>
      <c r="DA181" s="220"/>
      <c r="DB181" s="220"/>
      <c r="DC181" s="220"/>
      <c r="DD181" s="220"/>
    </row>
    <row r="182" spans="1:108" ht="14.25" outlineLevel="1" x14ac:dyDescent="0.2">
      <c r="A182" s="220"/>
      <c r="B182" s="220"/>
      <c r="C182" s="220"/>
      <c r="D182" s="209"/>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20"/>
      <c r="BK182" s="220"/>
      <c r="BL182" s="220"/>
      <c r="BM182" s="220"/>
      <c r="BN182" s="220"/>
      <c r="BO182" s="220"/>
      <c r="BP182" s="220"/>
      <c r="BQ182" s="220"/>
      <c r="BR182" s="220"/>
      <c r="BS182" s="220"/>
      <c r="BT182" s="220"/>
      <c r="BU182" s="220"/>
      <c r="BV182" s="220"/>
      <c r="BW182" s="220"/>
      <c r="BX182" s="220"/>
      <c r="BY182" s="220"/>
      <c r="BZ182" s="220"/>
      <c r="CA182" s="220"/>
      <c r="CB182" s="220"/>
      <c r="CC182" s="220"/>
      <c r="CD182" s="220"/>
      <c r="CE182" s="220"/>
      <c r="CF182" s="220"/>
      <c r="CG182" s="220"/>
      <c r="CH182" s="220"/>
      <c r="CI182" s="220"/>
      <c r="CJ182" s="220"/>
      <c r="CK182" s="220"/>
      <c r="CL182" s="220"/>
      <c r="CM182" s="220"/>
      <c r="CN182" s="220"/>
      <c r="CO182" s="220"/>
      <c r="CP182" s="220"/>
      <c r="CQ182" s="220"/>
      <c r="CR182" s="220"/>
      <c r="CS182" s="220"/>
      <c r="CT182" s="220"/>
      <c r="CU182" s="220"/>
      <c r="CV182" s="220"/>
      <c r="CW182" s="220"/>
      <c r="CX182" s="220"/>
      <c r="CY182" s="220"/>
      <c r="CZ182" s="220"/>
      <c r="DA182" s="220"/>
      <c r="DB182" s="220"/>
      <c r="DC182" s="220"/>
      <c r="DD182" s="220"/>
    </row>
    <row r="183" spans="1:108" outlineLevel="1" x14ac:dyDescent="0.2">
      <c r="A183" s="220"/>
      <c r="B183" s="220"/>
      <c r="C183" s="220"/>
      <c r="D183" s="6"/>
      <c r="E183" s="114" t="s">
        <v>279</v>
      </c>
      <c r="F183" s="114" t="s">
        <v>280</v>
      </c>
      <c r="G183" s="220"/>
      <c r="H183" s="114" t="s">
        <v>52</v>
      </c>
      <c r="I183" s="220"/>
      <c r="J183" s="114" t="s">
        <v>405</v>
      </c>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20"/>
      <c r="BK183" s="220"/>
      <c r="BL183" s="220"/>
      <c r="BM183" s="220"/>
      <c r="BN183" s="220"/>
      <c r="BO183" s="220"/>
      <c r="BP183" s="220"/>
      <c r="BQ183" s="220"/>
      <c r="BR183" s="220"/>
      <c r="BS183" s="220"/>
      <c r="BT183" s="220"/>
      <c r="BU183" s="220"/>
      <c r="BV183" s="220"/>
      <c r="BW183" s="220"/>
      <c r="BX183" s="220"/>
      <c r="BY183" s="220"/>
      <c r="BZ183" s="220"/>
      <c r="CA183" s="220"/>
      <c r="CB183" s="220"/>
      <c r="CC183" s="220"/>
      <c r="CD183" s="220"/>
      <c r="CE183" s="220"/>
      <c r="CF183" s="220"/>
      <c r="CG183" s="220"/>
      <c r="CH183" s="220"/>
      <c r="CI183" s="220"/>
      <c r="CJ183" s="220"/>
      <c r="CK183" s="220"/>
      <c r="CL183" s="220"/>
      <c r="CM183" s="220"/>
      <c r="CN183" s="220"/>
      <c r="CO183" s="220"/>
      <c r="CP183" s="220"/>
      <c r="CQ183" s="220"/>
      <c r="CR183" s="220"/>
      <c r="CS183" s="220"/>
      <c r="CT183" s="220"/>
      <c r="CU183" s="220"/>
      <c r="CV183" s="220"/>
      <c r="CW183" s="220"/>
      <c r="CX183" s="220"/>
      <c r="CY183" s="220"/>
      <c r="CZ183" s="220"/>
      <c r="DA183" s="220"/>
      <c r="DB183" s="220"/>
      <c r="DC183" s="220"/>
      <c r="DD183" s="220"/>
    </row>
    <row r="184" spans="1:108" outlineLevel="1" x14ac:dyDescent="0.2">
      <c r="A184" s="220"/>
      <c r="B184" s="220"/>
      <c r="C184" s="220"/>
      <c r="D184" s="58" t="s">
        <v>276</v>
      </c>
      <c r="E184" s="65"/>
      <c r="F184" s="65"/>
      <c r="G184" s="220"/>
      <c r="H184" s="107"/>
      <c r="I184" s="220"/>
      <c r="J184" s="107"/>
      <c r="K184" s="220"/>
      <c r="L184" s="220"/>
      <c r="M184" s="220"/>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20"/>
      <c r="BK184" s="220"/>
      <c r="BL184" s="220"/>
      <c r="BM184" s="220"/>
      <c r="BN184" s="220"/>
      <c r="BO184" s="220"/>
      <c r="BP184" s="220"/>
      <c r="BQ184" s="220"/>
      <c r="BR184" s="220"/>
      <c r="BS184" s="220"/>
      <c r="BT184" s="220"/>
      <c r="BU184" s="220"/>
      <c r="BV184" s="220"/>
      <c r="BW184" s="220"/>
      <c r="BX184" s="220"/>
      <c r="BY184" s="220"/>
      <c r="BZ184" s="220"/>
      <c r="CA184" s="220"/>
      <c r="CB184" s="220"/>
      <c r="CC184" s="220"/>
      <c r="CD184" s="220"/>
      <c r="CE184" s="220"/>
      <c r="CF184" s="220"/>
      <c r="CG184" s="220"/>
      <c r="CH184" s="220"/>
      <c r="CI184" s="220"/>
      <c r="CJ184" s="220"/>
      <c r="CK184" s="220"/>
      <c r="CL184" s="220"/>
      <c r="CM184" s="220"/>
      <c r="CN184" s="220"/>
      <c r="CO184" s="220"/>
      <c r="CP184" s="220"/>
      <c r="CQ184" s="220"/>
      <c r="CR184" s="220"/>
      <c r="CS184" s="220"/>
      <c r="CT184" s="220"/>
      <c r="CU184" s="220"/>
      <c r="CV184" s="220"/>
      <c r="CW184" s="220"/>
      <c r="CX184" s="220"/>
      <c r="CY184" s="220"/>
      <c r="CZ184" s="220"/>
      <c r="DA184" s="220"/>
      <c r="DB184" s="220"/>
      <c r="DC184" s="220"/>
      <c r="DD184" s="220"/>
    </row>
    <row r="185" spans="1:108" outlineLevel="1" x14ac:dyDescent="0.2">
      <c r="A185" s="220"/>
      <c r="B185" s="220"/>
      <c r="C185" s="220"/>
      <c r="D185" s="6"/>
      <c r="E185" s="155">
        <f>IF(E184="",0,E184)</f>
        <v>0</v>
      </c>
      <c r="F185" s="155">
        <f>IF(F184="",100,F184)</f>
        <v>100</v>
      </c>
      <c r="G185" s="220"/>
      <c r="H185" s="220"/>
      <c r="I185" s="220"/>
      <c r="J185" s="220"/>
      <c r="K185" s="220"/>
      <c r="L185" s="220"/>
      <c r="M185" s="220"/>
      <c r="N185" s="220"/>
      <c r="O185" s="220"/>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20"/>
      <c r="BK185" s="220"/>
      <c r="BL185" s="220"/>
      <c r="BM185" s="220"/>
      <c r="BN185" s="220"/>
      <c r="BO185" s="220"/>
      <c r="BP185" s="220"/>
      <c r="BQ185" s="220"/>
      <c r="BR185" s="220"/>
      <c r="BS185" s="220"/>
      <c r="BT185" s="220"/>
      <c r="BU185" s="220"/>
      <c r="BV185" s="220"/>
      <c r="BW185" s="220"/>
      <c r="BX185" s="220"/>
      <c r="BY185" s="220"/>
      <c r="BZ185" s="220"/>
      <c r="CA185" s="220"/>
      <c r="CB185" s="220"/>
      <c r="CC185" s="220"/>
      <c r="CD185" s="220"/>
      <c r="CE185" s="220"/>
      <c r="CF185" s="220"/>
      <c r="CG185" s="220"/>
      <c r="CH185" s="220"/>
      <c r="CI185" s="220"/>
      <c r="CJ185" s="220"/>
      <c r="CK185" s="220"/>
      <c r="CL185" s="220"/>
      <c r="CM185" s="220"/>
      <c r="CN185" s="220"/>
      <c r="CO185" s="220"/>
      <c r="CP185" s="220"/>
      <c r="CQ185" s="220"/>
      <c r="CR185" s="220"/>
      <c r="CS185" s="220"/>
      <c r="CT185" s="220"/>
      <c r="CU185" s="220"/>
      <c r="CV185" s="220"/>
      <c r="CW185" s="220"/>
      <c r="CX185" s="220"/>
      <c r="CY185" s="220"/>
      <c r="CZ185" s="220"/>
      <c r="DA185" s="220"/>
      <c r="DB185" s="220"/>
      <c r="DC185" s="220"/>
      <c r="DD185" s="220"/>
    </row>
    <row r="186" spans="1:108" outlineLevel="1" x14ac:dyDescent="0.2">
      <c r="A186" s="220"/>
      <c r="B186" s="220"/>
      <c r="C186" s="220"/>
      <c r="D186" s="220"/>
      <c r="E186" s="428" t="s">
        <v>512</v>
      </c>
      <c r="F186" s="428" t="s">
        <v>513</v>
      </c>
      <c r="G186" s="220"/>
      <c r="H186" s="220"/>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20"/>
      <c r="BL186" s="220"/>
      <c r="BM186" s="220"/>
      <c r="BN186" s="220"/>
      <c r="BO186" s="220"/>
      <c r="BP186" s="220"/>
      <c r="BQ186" s="220"/>
      <c r="BR186" s="220"/>
      <c r="BS186" s="220"/>
      <c r="BT186" s="220"/>
      <c r="BU186" s="220"/>
      <c r="BV186" s="220"/>
      <c r="BW186" s="220"/>
      <c r="BX186" s="220"/>
      <c r="BY186" s="220"/>
      <c r="BZ186" s="220"/>
      <c r="CA186" s="220"/>
      <c r="CB186" s="220"/>
      <c r="CC186" s="220"/>
      <c r="CD186" s="220"/>
      <c r="CE186" s="220"/>
      <c r="CF186" s="220"/>
      <c r="CG186" s="220"/>
      <c r="CH186" s="220"/>
      <c r="CI186" s="220"/>
      <c r="CJ186" s="220"/>
      <c r="CK186" s="220"/>
      <c r="CL186" s="220"/>
      <c r="CM186" s="220"/>
      <c r="CN186" s="220"/>
      <c r="CO186" s="220"/>
      <c r="CP186" s="220"/>
      <c r="CQ186" s="220"/>
      <c r="CR186" s="220"/>
      <c r="CS186" s="220"/>
      <c r="CT186" s="220"/>
      <c r="CU186" s="220"/>
      <c r="CV186" s="220"/>
      <c r="CW186" s="220"/>
      <c r="CX186" s="220"/>
      <c r="CY186" s="220"/>
      <c r="CZ186" s="220"/>
      <c r="DA186" s="220"/>
      <c r="DB186" s="220"/>
      <c r="DC186" s="220"/>
      <c r="DD186" s="220"/>
    </row>
    <row r="187" spans="1:108" outlineLevel="1" x14ac:dyDescent="0.2">
      <c r="A187" s="220"/>
      <c r="B187" s="220"/>
      <c r="C187" s="220"/>
      <c r="D187" s="58" t="s">
        <v>511</v>
      </c>
      <c r="E187" s="65"/>
      <c r="F187" s="65"/>
      <c r="G187" s="440">
        <f>IF(AND(E187&lt;&gt;"",F187&lt;&gt;""),E187/F187,1)</f>
        <v>1</v>
      </c>
      <c r="H187" s="220"/>
      <c r="I187" s="220"/>
      <c r="J187" s="220"/>
      <c r="K187" s="220"/>
      <c r="L187" s="220"/>
      <c r="M187" s="220"/>
      <c r="N187" s="220"/>
      <c r="O187" s="220"/>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20"/>
      <c r="BK187" s="220"/>
      <c r="BL187" s="220"/>
      <c r="BM187" s="220"/>
      <c r="BN187" s="220"/>
      <c r="BO187" s="220"/>
      <c r="BP187" s="220"/>
      <c r="BQ187" s="220"/>
      <c r="BR187" s="220"/>
      <c r="BS187" s="220"/>
      <c r="BT187" s="220"/>
      <c r="BU187" s="220"/>
      <c r="BV187" s="220"/>
      <c r="BW187" s="220"/>
      <c r="BX187" s="220"/>
      <c r="BY187" s="220"/>
      <c r="BZ187" s="220"/>
      <c r="CA187" s="220"/>
      <c r="CB187" s="220"/>
      <c r="CC187" s="220"/>
      <c r="CD187" s="220"/>
      <c r="CE187" s="220"/>
      <c r="CF187" s="220"/>
      <c r="CG187" s="220"/>
      <c r="CH187" s="220"/>
      <c r="CI187" s="220"/>
      <c r="CJ187" s="220"/>
      <c r="CK187" s="220"/>
      <c r="CL187" s="220"/>
      <c r="CM187" s="220"/>
      <c r="CN187" s="220"/>
      <c r="CO187" s="220"/>
      <c r="CP187" s="220"/>
      <c r="CQ187" s="220"/>
      <c r="CR187" s="220"/>
      <c r="CS187" s="220"/>
      <c r="CT187" s="220"/>
      <c r="CU187" s="220"/>
      <c r="CV187" s="220"/>
      <c r="CW187" s="220"/>
      <c r="CX187" s="220"/>
      <c r="CY187" s="220"/>
      <c r="CZ187" s="220"/>
      <c r="DA187" s="220"/>
      <c r="DB187" s="220"/>
      <c r="DC187" s="220"/>
      <c r="DD187" s="220"/>
    </row>
    <row r="188" spans="1:108" outlineLevel="1" x14ac:dyDescent="0.2">
      <c r="A188" s="220"/>
      <c r="B188" s="220"/>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20"/>
      <c r="BL188" s="220"/>
      <c r="BM188" s="220"/>
      <c r="BN188" s="220"/>
      <c r="BO188" s="220"/>
      <c r="BP188" s="220"/>
      <c r="BQ188" s="220"/>
      <c r="BR188" s="220"/>
      <c r="BS188" s="220"/>
      <c r="BT188" s="220"/>
      <c r="BU188" s="220"/>
      <c r="BV188" s="220"/>
      <c r="BW188" s="220"/>
      <c r="BX188" s="220"/>
      <c r="BY188" s="220"/>
      <c r="BZ188" s="220"/>
      <c r="CA188" s="220"/>
      <c r="CB188" s="220"/>
      <c r="CC188" s="220"/>
      <c r="CD188" s="220"/>
      <c r="CE188" s="220"/>
      <c r="CF188" s="220"/>
      <c r="CG188" s="220"/>
      <c r="CH188" s="220"/>
      <c r="CI188" s="220"/>
      <c r="CJ188" s="220"/>
      <c r="CK188" s="220"/>
      <c r="CL188" s="220"/>
      <c r="CM188" s="220"/>
      <c r="CN188" s="220"/>
      <c r="CO188" s="220"/>
      <c r="CP188" s="220"/>
      <c r="CQ188" s="220"/>
      <c r="CR188" s="220"/>
      <c r="CS188" s="220"/>
      <c r="CT188" s="220"/>
      <c r="CU188" s="220"/>
      <c r="CV188" s="220"/>
      <c r="CW188" s="220"/>
      <c r="CX188" s="220"/>
      <c r="CY188" s="220"/>
      <c r="CZ188" s="220"/>
      <c r="DA188" s="220"/>
      <c r="DB188" s="220"/>
      <c r="DC188" s="220"/>
      <c r="DD188" s="220"/>
    </row>
    <row r="189" spans="1:108" outlineLevel="1" x14ac:dyDescent="0.2">
      <c r="A189" s="220"/>
      <c r="B189" s="220"/>
      <c r="C189" s="220"/>
      <c r="D189" s="220"/>
      <c r="E189" s="195" t="s">
        <v>289</v>
      </c>
      <c r="F189" s="220"/>
      <c r="G189" s="220"/>
      <c r="H189" s="220"/>
      <c r="I189" s="220"/>
      <c r="J189" s="220"/>
      <c r="K189" s="22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20"/>
      <c r="BK189" s="220"/>
      <c r="BL189" s="220"/>
      <c r="BM189" s="220"/>
      <c r="BN189" s="220"/>
      <c r="BO189" s="220"/>
      <c r="BP189" s="220"/>
      <c r="BQ189" s="220"/>
      <c r="BR189" s="220"/>
      <c r="BS189" s="220"/>
      <c r="BT189" s="220"/>
      <c r="BU189" s="220"/>
      <c r="BV189" s="220"/>
      <c r="BW189" s="220"/>
      <c r="BX189" s="220"/>
      <c r="BY189" s="220"/>
      <c r="BZ189" s="220"/>
      <c r="CA189" s="220"/>
      <c r="CB189" s="220"/>
      <c r="CC189" s="220"/>
      <c r="CD189" s="220"/>
      <c r="CE189" s="220"/>
      <c r="CF189" s="220"/>
      <c r="CG189" s="220"/>
      <c r="CH189" s="220"/>
      <c r="CI189" s="220"/>
      <c r="CJ189" s="220"/>
      <c r="CK189" s="220"/>
      <c r="CL189" s="220"/>
      <c r="CM189" s="220"/>
      <c r="CN189" s="220"/>
      <c r="CO189" s="220"/>
      <c r="CP189" s="220"/>
      <c r="CQ189" s="220"/>
      <c r="CR189" s="220"/>
      <c r="CS189" s="220"/>
      <c r="CT189" s="220"/>
      <c r="CU189" s="220"/>
      <c r="CV189" s="220"/>
      <c r="CW189" s="220"/>
      <c r="CX189" s="220"/>
      <c r="CY189" s="220"/>
      <c r="CZ189" s="220"/>
      <c r="DA189" s="220"/>
      <c r="DB189" s="220"/>
      <c r="DC189" s="220"/>
      <c r="DD189" s="220"/>
    </row>
    <row r="190" spans="1:108" outlineLevel="1" x14ac:dyDescent="0.2">
      <c r="A190" s="220"/>
      <c r="B190" s="220"/>
      <c r="C190" s="220"/>
      <c r="D190" s="6"/>
      <c r="E190" s="108">
        <f>IF(J181&lt;&gt;"",J181,FirstYear)</f>
        <v>0</v>
      </c>
      <c r="F190" s="112">
        <f>E190+1</f>
        <v>1</v>
      </c>
      <c r="G190" s="112">
        <f>F190+1</f>
        <v>2</v>
      </c>
      <c r="H190" s="112">
        <f>G190+1</f>
        <v>3</v>
      </c>
      <c r="I190" s="112">
        <f>H190+1</f>
        <v>4</v>
      </c>
      <c r="J190" s="112">
        <f>I190+1</f>
        <v>5</v>
      </c>
      <c r="K190" s="220"/>
      <c r="L190" s="220"/>
      <c r="M190" s="220"/>
      <c r="N190" s="220"/>
      <c r="O190" s="220"/>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0"/>
      <c r="BK190" s="220"/>
      <c r="BL190" s="220"/>
      <c r="BM190" s="220"/>
      <c r="BN190" s="220"/>
      <c r="BO190" s="220"/>
      <c r="BP190" s="220"/>
      <c r="BQ190" s="220"/>
      <c r="BR190" s="220"/>
      <c r="BS190" s="220"/>
      <c r="BT190" s="220"/>
      <c r="BU190" s="220"/>
      <c r="BV190" s="220"/>
      <c r="BW190" s="220"/>
      <c r="BX190" s="220"/>
      <c r="BY190" s="220"/>
      <c r="BZ190" s="220"/>
      <c r="CA190" s="220"/>
      <c r="CB190" s="220"/>
      <c r="CC190" s="220"/>
      <c r="CD190" s="220"/>
      <c r="CE190" s="220"/>
      <c r="CF190" s="220"/>
      <c r="CG190" s="220"/>
      <c r="CH190" s="220"/>
      <c r="CI190" s="220"/>
      <c r="CJ190" s="220"/>
      <c r="CK190" s="220"/>
      <c r="CL190" s="220"/>
      <c r="CM190" s="220"/>
      <c r="CN190" s="220"/>
      <c r="CO190" s="220"/>
      <c r="CP190" s="220"/>
      <c r="CQ190" s="220"/>
      <c r="CR190" s="220"/>
      <c r="CS190" s="220"/>
      <c r="CT190" s="220"/>
      <c r="CU190" s="220"/>
      <c r="CV190" s="220"/>
      <c r="CW190" s="220"/>
      <c r="CX190" s="220"/>
      <c r="CY190" s="220"/>
      <c r="CZ190" s="220"/>
      <c r="DA190" s="220"/>
      <c r="DB190" s="220"/>
      <c r="DC190" s="220"/>
      <c r="DD190" s="220"/>
    </row>
    <row r="191" spans="1:108" outlineLevel="1" x14ac:dyDescent="0.2">
      <c r="A191" s="220"/>
      <c r="B191" s="220"/>
      <c r="C191" s="220"/>
      <c r="D191" s="220"/>
      <c r="E191" s="86">
        <f>IF($B$181&lt;&gt;0,VLOOKUP($B$181,$C$194:$J$196,E192)*$G187,0)</f>
        <v>0</v>
      </c>
      <c r="F191" s="86">
        <f t="shared" ref="F191:J191" si="55">IF($B$181&lt;&gt;0,VLOOKUP($B$181,$C$194:$J$196,F192)*$G187,0)</f>
        <v>0</v>
      </c>
      <c r="G191" s="86">
        <f t="shared" si="55"/>
        <v>0</v>
      </c>
      <c r="H191" s="86">
        <f t="shared" si="55"/>
        <v>0</v>
      </c>
      <c r="I191" s="86">
        <f t="shared" si="55"/>
        <v>0</v>
      </c>
      <c r="J191" s="86">
        <f t="shared" si="55"/>
        <v>0</v>
      </c>
      <c r="K191" s="220"/>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20"/>
      <c r="BK191" s="220"/>
      <c r="BL191" s="220"/>
      <c r="BM191" s="220"/>
      <c r="BN191" s="220"/>
      <c r="BO191" s="220"/>
      <c r="BP191" s="220"/>
      <c r="BQ191" s="220"/>
      <c r="BR191" s="220"/>
      <c r="BS191" s="220"/>
      <c r="BT191" s="220"/>
      <c r="BU191" s="220"/>
      <c r="BV191" s="220"/>
      <c r="BW191" s="220"/>
      <c r="BX191" s="220"/>
      <c r="BY191" s="220"/>
      <c r="BZ191" s="220"/>
      <c r="CA191" s="220"/>
      <c r="CB191" s="220"/>
      <c r="CC191" s="220"/>
      <c r="CD191" s="220"/>
      <c r="CE191" s="220"/>
      <c r="CF191" s="220"/>
      <c r="CG191" s="220"/>
      <c r="CH191" s="220"/>
      <c r="CI191" s="220"/>
      <c r="CJ191" s="220"/>
      <c r="CK191" s="220"/>
      <c r="CL191" s="220"/>
      <c r="CM191" s="220"/>
      <c r="CN191" s="220"/>
      <c r="CO191" s="220"/>
      <c r="CP191" s="220"/>
      <c r="CQ191" s="220"/>
      <c r="CR191" s="220"/>
      <c r="CS191" s="220"/>
      <c r="CT191" s="220"/>
      <c r="CU191" s="220"/>
      <c r="CV191" s="220"/>
      <c r="CW191" s="220"/>
      <c r="CX191" s="220"/>
      <c r="CY191" s="220"/>
      <c r="CZ191" s="220"/>
      <c r="DA191" s="220"/>
      <c r="DB191" s="220"/>
      <c r="DC191" s="220"/>
      <c r="DD191" s="220"/>
    </row>
    <row r="192" spans="1:108" outlineLevel="1" x14ac:dyDescent="0.2">
      <c r="A192" s="220"/>
      <c r="B192" s="220"/>
      <c r="C192" s="220"/>
      <c r="D192" s="220"/>
      <c r="E192" s="269">
        <v>3</v>
      </c>
      <c r="F192" s="269">
        <v>4</v>
      </c>
      <c r="G192" s="269">
        <v>5</v>
      </c>
      <c r="H192" s="269">
        <v>6</v>
      </c>
      <c r="I192" s="269">
        <v>7</v>
      </c>
      <c r="J192" s="269">
        <v>8</v>
      </c>
      <c r="K192" s="22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20"/>
      <c r="BK192" s="220"/>
      <c r="BL192" s="220"/>
      <c r="BM192" s="220"/>
      <c r="BN192" s="220"/>
      <c r="BO192" s="220"/>
      <c r="BP192" s="220"/>
      <c r="BQ192" s="220"/>
      <c r="BR192" s="220"/>
      <c r="BS192" s="220"/>
      <c r="BT192" s="220"/>
      <c r="BU192" s="220"/>
      <c r="BV192" s="220"/>
      <c r="BW192" s="220"/>
      <c r="BX192" s="220"/>
      <c r="BY192" s="220"/>
      <c r="BZ192" s="220"/>
      <c r="CA192" s="220"/>
      <c r="CB192" s="220"/>
      <c r="CC192" s="220"/>
      <c r="CD192" s="220"/>
      <c r="CE192" s="220"/>
      <c r="CF192" s="220"/>
      <c r="CG192" s="220"/>
      <c r="CH192" s="220"/>
      <c r="CI192" s="220"/>
      <c r="CJ192" s="220"/>
      <c r="CK192" s="220"/>
      <c r="CL192" s="220"/>
      <c r="CM192" s="220"/>
      <c r="CN192" s="220"/>
      <c r="CO192" s="220"/>
      <c r="CP192" s="220"/>
      <c r="CQ192" s="220"/>
      <c r="CR192" s="220"/>
      <c r="CS192" s="220"/>
      <c r="CT192" s="220"/>
      <c r="CU192" s="220"/>
      <c r="CV192" s="220"/>
      <c r="CW192" s="220"/>
      <c r="CX192" s="220"/>
      <c r="CY192" s="220"/>
      <c r="CZ192" s="220"/>
      <c r="DA192" s="220"/>
      <c r="DB192" s="220"/>
      <c r="DC192" s="220"/>
      <c r="DD192" s="220"/>
    </row>
    <row r="193" spans="1:108" outlineLevel="1" x14ac:dyDescent="0.2">
      <c r="A193" s="220"/>
      <c r="B193" s="220"/>
      <c r="C193" s="220"/>
      <c r="D193" s="46" t="s">
        <v>362</v>
      </c>
      <c r="E193" s="108">
        <f t="shared" ref="E193:J193" si="56">E190</f>
        <v>0</v>
      </c>
      <c r="F193" s="108">
        <f t="shared" si="56"/>
        <v>1</v>
      </c>
      <c r="G193" s="108">
        <f t="shared" si="56"/>
        <v>2</v>
      </c>
      <c r="H193" s="108">
        <f t="shared" si="56"/>
        <v>3</v>
      </c>
      <c r="I193" s="108">
        <f t="shared" si="56"/>
        <v>4</v>
      </c>
      <c r="J193" s="108">
        <f t="shared" si="56"/>
        <v>5</v>
      </c>
      <c r="K193" s="220"/>
      <c r="L193" s="220"/>
      <c r="M193" s="220"/>
      <c r="N193" s="220"/>
      <c r="O193" s="220"/>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20"/>
      <c r="BK193" s="220"/>
      <c r="BL193" s="220"/>
      <c r="BM193" s="220"/>
      <c r="BN193" s="220"/>
      <c r="BO193" s="220"/>
      <c r="BP193" s="220"/>
      <c r="BQ193" s="220"/>
      <c r="BR193" s="220"/>
      <c r="BS193" s="220"/>
      <c r="BT193" s="220"/>
      <c r="BU193" s="220"/>
      <c r="BV193" s="220"/>
      <c r="BW193" s="220"/>
      <c r="BX193" s="220"/>
      <c r="BY193" s="220"/>
      <c r="BZ193" s="220"/>
      <c r="CA193" s="220"/>
      <c r="CB193" s="220"/>
      <c r="CC193" s="220"/>
      <c r="CD193" s="220"/>
      <c r="CE193" s="220"/>
      <c r="CF193" s="220"/>
      <c r="CG193" s="220"/>
      <c r="CH193" s="220"/>
      <c r="CI193" s="220"/>
      <c r="CJ193" s="220"/>
      <c r="CK193" s="220"/>
      <c r="CL193" s="220"/>
      <c r="CM193" s="220"/>
      <c r="CN193" s="220"/>
      <c r="CO193" s="220"/>
      <c r="CP193" s="220"/>
      <c r="CQ193" s="220"/>
      <c r="CR193" s="220"/>
      <c r="CS193" s="220"/>
      <c r="CT193" s="220"/>
      <c r="CU193" s="220"/>
      <c r="CV193" s="220"/>
      <c r="CW193" s="220"/>
      <c r="CX193" s="220"/>
      <c r="CY193" s="220"/>
      <c r="CZ193" s="220"/>
      <c r="DA193" s="220"/>
      <c r="DB193" s="220"/>
      <c r="DC193" s="220"/>
      <c r="DD193" s="220"/>
    </row>
    <row r="194" spans="1:108" outlineLevel="1" x14ac:dyDescent="0.2">
      <c r="A194" s="220"/>
      <c r="B194" s="220"/>
      <c r="C194" s="212">
        <v>1</v>
      </c>
      <c r="D194" s="270" t="s">
        <v>274</v>
      </c>
      <c r="E194" s="86">
        <f>SUMPRODUCT(($D$203:$D$221=E193)*($E$202:$DA$202&gt;=$E$185)*($E$202:$DA$202&lt;=$F$185)*($E$203:$DA$221))</f>
        <v>0</v>
      </c>
      <c r="F194" s="86">
        <f t="shared" ref="F194:J194" si="57">SUMPRODUCT(($D$203:$D$221=F193)*($E$202:$DA$202&gt;=$E$185)*($E$202:$DA$202&lt;=$F$185)*($E$203:$DA$221))</f>
        <v>0</v>
      </c>
      <c r="G194" s="86">
        <f t="shared" si="57"/>
        <v>0</v>
      </c>
      <c r="H194" s="86">
        <f t="shared" si="57"/>
        <v>0</v>
      </c>
      <c r="I194" s="86">
        <f t="shared" si="57"/>
        <v>0</v>
      </c>
      <c r="J194" s="86">
        <f t="shared" si="57"/>
        <v>0</v>
      </c>
      <c r="K194" s="220"/>
      <c r="L194" s="220"/>
      <c r="M194" s="220"/>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20"/>
      <c r="BL194" s="220"/>
      <c r="BM194" s="220"/>
      <c r="BN194" s="220"/>
      <c r="BO194" s="220"/>
      <c r="BP194" s="220"/>
      <c r="BQ194" s="220"/>
      <c r="BR194" s="220"/>
      <c r="BS194" s="220"/>
      <c r="BT194" s="220"/>
      <c r="BU194" s="220"/>
      <c r="BV194" s="220"/>
      <c r="BW194" s="220"/>
      <c r="BX194" s="220"/>
      <c r="BY194" s="220"/>
      <c r="BZ194" s="220"/>
      <c r="CA194" s="220"/>
      <c r="CB194" s="220"/>
      <c r="CC194" s="220"/>
      <c r="CD194" s="220"/>
      <c r="CE194" s="220"/>
      <c r="CF194" s="220"/>
      <c r="CG194" s="220"/>
      <c r="CH194" s="220"/>
      <c r="CI194" s="220"/>
      <c r="CJ194" s="220"/>
      <c r="CK194" s="220"/>
      <c r="CL194" s="220"/>
      <c r="CM194" s="220"/>
      <c r="CN194" s="220"/>
      <c r="CO194" s="220"/>
      <c r="CP194" s="220"/>
      <c r="CQ194" s="220"/>
      <c r="CR194" s="220"/>
      <c r="CS194" s="220"/>
      <c r="CT194" s="220"/>
      <c r="CU194" s="220"/>
      <c r="CV194" s="220"/>
      <c r="CW194" s="220"/>
      <c r="CX194" s="220"/>
      <c r="CY194" s="220"/>
      <c r="CZ194" s="220"/>
      <c r="DA194" s="220"/>
      <c r="DB194" s="220"/>
      <c r="DC194" s="220"/>
      <c r="DD194" s="220"/>
    </row>
    <row r="195" spans="1:108" outlineLevel="1" x14ac:dyDescent="0.2">
      <c r="A195" s="220"/>
      <c r="B195" s="220"/>
      <c r="C195" s="212">
        <v>2</v>
      </c>
      <c r="D195" s="270" t="s">
        <v>277</v>
      </c>
      <c r="E195" s="86">
        <f>SUMPRODUCT(($D$228:$D$246=E193)*($E$227:$DA$227&gt;=$E$185)*($E$227:$DA$227&lt;=$F$185)*($E$228:$DA$246))</f>
        <v>0</v>
      </c>
      <c r="F195" s="86">
        <f t="shared" ref="F195:J195" si="58">SUMPRODUCT(($D$228:$D$246=F193)*($E$227:$DA$227&gt;=$E$185)*($E$227:$DA$227&lt;=$F$185)*($E$228:$DA$246))</f>
        <v>0</v>
      </c>
      <c r="G195" s="86">
        <f t="shared" si="58"/>
        <v>0</v>
      </c>
      <c r="H195" s="86">
        <f t="shared" si="58"/>
        <v>0</v>
      </c>
      <c r="I195" s="86">
        <f t="shared" si="58"/>
        <v>0</v>
      </c>
      <c r="J195" s="86">
        <f t="shared" si="58"/>
        <v>0</v>
      </c>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20"/>
      <c r="BL195" s="220"/>
      <c r="BM195" s="220"/>
      <c r="BN195" s="220"/>
      <c r="BO195" s="220"/>
      <c r="BP195" s="220"/>
      <c r="BQ195" s="220"/>
      <c r="BR195" s="220"/>
      <c r="BS195" s="220"/>
      <c r="BT195" s="220"/>
      <c r="BU195" s="220"/>
      <c r="BV195" s="220"/>
      <c r="BW195" s="220"/>
      <c r="BX195" s="220"/>
      <c r="BY195" s="220"/>
      <c r="BZ195" s="220"/>
      <c r="CA195" s="220"/>
      <c r="CB195" s="220"/>
      <c r="CC195" s="220"/>
      <c r="CD195" s="220"/>
      <c r="CE195" s="220"/>
      <c r="CF195" s="220"/>
      <c r="CG195" s="220"/>
      <c r="CH195" s="220"/>
      <c r="CI195" s="220"/>
      <c r="CJ195" s="220"/>
      <c r="CK195" s="220"/>
      <c r="CL195" s="220"/>
      <c r="CM195" s="220"/>
      <c r="CN195" s="220"/>
      <c r="CO195" s="220"/>
      <c r="CP195" s="220"/>
      <c r="CQ195" s="220"/>
      <c r="CR195" s="220"/>
      <c r="CS195" s="220"/>
      <c r="CT195" s="220"/>
      <c r="CU195" s="220"/>
      <c r="CV195" s="220"/>
      <c r="CW195" s="220"/>
      <c r="CX195" s="220"/>
      <c r="CY195" s="220"/>
      <c r="CZ195" s="220"/>
      <c r="DA195" s="220"/>
      <c r="DB195" s="220"/>
      <c r="DC195" s="220"/>
      <c r="DD195" s="220"/>
    </row>
    <row r="196" spans="1:108" outlineLevel="1" x14ac:dyDescent="0.2">
      <c r="A196" s="220"/>
      <c r="B196" s="220"/>
      <c r="C196" s="212">
        <v>3</v>
      </c>
      <c r="D196" s="270" t="s">
        <v>278</v>
      </c>
      <c r="E196" s="86">
        <f>SUMPRODUCT(($D$253:$D$271=E193)*($E$252:$DA$252&gt;=$E$185)*($E$252:$DA$252&lt;=$F$185)*($E$253:$DA$271))</f>
        <v>0</v>
      </c>
      <c r="F196" s="86">
        <f t="shared" ref="F196:J196" si="59">SUMPRODUCT(($D$253:$D$271=F193)*($E$252:$DA$252&gt;=$E$185)*($E$252:$DA$252&lt;=$F$185)*($E$253:$DA$271))</f>
        <v>0</v>
      </c>
      <c r="G196" s="86">
        <f t="shared" si="59"/>
        <v>0</v>
      </c>
      <c r="H196" s="86">
        <f t="shared" si="59"/>
        <v>0</v>
      </c>
      <c r="I196" s="86">
        <f t="shared" si="59"/>
        <v>0</v>
      </c>
      <c r="J196" s="86">
        <f t="shared" si="59"/>
        <v>0</v>
      </c>
      <c r="K196" s="220"/>
      <c r="L196" s="220"/>
      <c r="M196" s="220"/>
      <c r="N196" s="220"/>
      <c r="O196" s="220"/>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20"/>
      <c r="BK196" s="220"/>
      <c r="BL196" s="220"/>
      <c r="BM196" s="220"/>
      <c r="BN196" s="220"/>
      <c r="BO196" s="220"/>
      <c r="BP196" s="220"/>
      <c r="BQ196" s="220"/>
      <c r="BR196" s="220"/>
      <c r="BS196" s="220"/>
      <c r="BT196" s="220"/>
      <c r="BU196" s="220"/>
      <c r="BV196" s="220"/>
      <c r="BW196" s="220"/>
      <c r="BX196" s="220"/>
      <c r="BY196" s="220"/>
      <c r="BZ196" s="220"/>
      <c r="CA196" s="220"/>
      <c r="CB196" s="220"/>
      <c r="CC196" s="220"/>
      <c r="CD196" s="220"/>
      <c r="CE196" s="220"/>
      <c r="CF196" s="220"/>
      <c r="CG196" s="220"/>
      <c r="CH196" s="220"/>
      <c r="CI196" s="220"/>
      <c r="CJ196" s="220"/>
      <c r="CK196" s="220"/>
      <c r="CL196" s="220"/>
      <c r="CM196" s="220"/>
      <c r="CN196" s="220"/>
      <c r="CO196" s="220"/>
      <c r="CP196" s="220"/>
      <c r="CQ196" s="220"/>
      <c r="CR196" s="220"/>
      <c r="CS196" s="220"/>
      <c r="CT196" s="220"/>
      <c r="CU196" s="220"/>
      <c r="CV196" s="220"/>
      <c r="CW196" s="220"/>
      <c r="CX196" s="220"/>
      <c r="CY196" s="220"/>
      <c r="CZ196" s="220"/>
      <c r="DA196" s="220"/>
      <c r="DB196" s="220"/>
      <c r="DC196" s="220"/>
      <c r="DD196" s="220"/>
    </row>
    <row r="197" spans="1:108" outlineLevel="1" x14ac:dyDescent="0.2">
      <c r="A197" s="220"/>
      <c r="B197" s="220"/>
      <c r="C197" s="220"/>
      <c r="D197" s="6"/>
      <c r="E197" s="220"/>
      <c r="F197" s="220"/>
      <c r="G197" s="220"/>
      <c r="H197" s="220"/>
      <c r="I197" s="220"/>
      <c r="J197" s="220"/>
      <c r="K197" s="220"/>
      <c r="L197" s="220"/>
      <c r="M197" s="220"/>
      <c r="N197" s="220"/>
      <c r="O197" s="220"/>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20"/>
      <c r="BK197" s="220"/>
      <c r="BL197" s="220"/>
      <c r="BM197" s="220"/>
      <c r="BN197" s="220"/>
      <c r="BO197" s="220"/>
      <c r="BP197" s="220"/>
      <c r="BQ197" s="220"/>
      <c r="BR197" s="220"/>
      <c r="BS197" s="220"/>
      <c r="BT197" s="220"/>
      <c r="BU197" s="220"/>
      <c r="BV197" s="220"/>
      <c r="BW197" s="220"/>
      <c r="BX197" s="220"/>
      <c r="BY197" s="220"/>
      <c r="BZ197" s="220"/>
      <c r="CA197" s="220"/>
      <c r="CB197" s="220"/>
      <c r="CC197" s="220"/>
      <c r="CD197" s="220"/>
      <c r="CE197" s="220"/>
      <c r="CF197" s="220"/>
      <c r="CG197" s="220"/>
      <c r="CH197" s="220"/>
      <c r="CI197" s="220"/>
      <c r="CJ197" s="220"/>
      <c r="CK197" s="220"/>
      <c r="CL197" s="220"/>
      <c r="CM197" s="220"/>
      <c r="CN197" s="220"/>
      <c r="CO197" s="220"/>
      <c r="CP197" s="220"/>
      <c r="CQ197" s="220"/>
      <c r="CR197" s="220"/>
      <c r="CS197" s="220"/>
      <c r="CT197" s="220"/>
      <c r="CU197" s="220"/>
      <c r="CV197" s="220"/>
      <c r="CW197" s="220"/>
      <c r="CX197" s="220"/>
      <c r="CY197" s="220"/>
      <c r="CZ197" s="220"/>
      <c r="DA197" s="220"/>
      <c r="DB197" s="220"/>
      <c r="DC197" s="220"/>
      <c r="DD197" s="220"/>
    </row>
    <row r="198" spans="1:108" x14ac:dyDescent="0.2">
      <c r="A198" s="220"/>
      <c r="B198" s="220"/>
      <c r="C198" s="220"/>
      <c r="D198" s="6"/>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20"/>
      <c r="BL198" s="220"/>
      <c r="BM198" s="220"/>
      <c r="BN198" s="220"/>
      <c r="BO198" s="220"/>
      <c r="BP198" s="220"/>
      <c r="BQ198" s="220"/>
      <c r="BR198" s="220"/>
      <c r="BS198" s="220"/>
      <c r="BT198" s="220"/>
      <c r="BU198" s="220"/>
      <c r="BV198" s="220"/>
      <c r="BW198" s="220"/>
      <c r="BX198" s="220"/>
      <c r="BY198" s="220"/>
      <c r="BZ198" s="220"/>
      <c r="CA198" s="220"/>
      <c r="CB198" s="220"/>
      <c r="CC198" s="220"/>
      <c r="CD198" s="220"/>
      <c r="CE198" s="220"/>
      <c r="CF198" s="220"/>
      <c r="CG198" s="220"/>
      <c r="CH198" s="220"/>
      <c r="CI198" s="220"/>
      <c r="CJ198" s="220"/>
      <c r="CK198" s="220"/>
      <c r="CL198" s="220"/>
      <c r="CM198" s="220"/>
      <c r="CN198" s="220"/>
      <c r="CO198" s="220"/>
      <c r="CP198" s="220"/>
      <c r="CQ198" s="220"/>
      <c r="CR198" s="220"/>
      <c r="CS198" s="220"/>
      <c r="CT198" s="220"/>
      <c r="CU198" s="220"/>
      <c r="CV198" s="220"/>
      <c r="CW198" s="220"/>
      <c r="CX198" s="220"/>
      <c r="CY198" s="220"/>
      <c r="CZ198" s="220"/>
      <c r="DA198" s="220"/>
      <c r="DB198" s="220"/>
      <c r="DC198" s="220"/>
      <c r="DD198" s="220"/>
    </row>
    <row r="199" spans="1:108" ht="15.75" x14ac:dyDescent="0.2">
      <c r="A199" s="247"/>
      <c r="B199" s="247"/>
      <c r="C199" s="247"/>
      <c r="D199" s="174" t="s">
        <v>957</v>
      </c>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row>
    <row r="200" spans="1:108" x14ac:dyDescent="0.2">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2"/>
      <c r="CY200" s="172"/>
      <c r="CZ200" s="172"/>
      <c r="DA200" s="172"/>
      <c r="DB200" s="172"/>
      <c r="DC200" s="172"/>
      <c r="DD200" s="172"/>
    </row>
    <row r="201" spans="1:108" x14ac:dyDescent="0.2">
      <c r="A201" s="172"/>
      <c r="B201" s="172"/>
      <c r="C201" s="172"/>
      <c r="D201" s="172"/>
      <c r="E201" s="271" t="s">
        <v>275</v>
      </c>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2"/>
      <c r="CY201" s="172"/>
      <c r="CZ201" s="172"/>
      <c r="DA201" s="172"/>
      <c r="DB201" s="172"/>
      <c r="DC201" s="172"/>
      <c r="DD201" s="172"/>
    </row>
    <row r="202" spans="1:108" x14ac:dyDescent="0.2">
      <c r="A202" s="272"/>
      <c r="B202" s="272"/>
      <c r="C202" s="272"/>
      <c r="D202" s="272"/>
      <c r="E202" s="52">
        <v>0</v>
      </c>
      <c r="F202" s="52">
        <v>1</v>
      </c>
      <c r="G202" s="52">
        <v>2</v>
      </c>
      <c r="H202" s="52">
        <v>3</v>
      </c>
      <c r="I202" s="52">
        <v>4</v>
      </c>
      <c r="J202" s="52">
        <v>5</v>
      </c>
      <c r="K202" s="52">
        <v>6</v>
      </c>
      <c r="L202" s="52">
        <v>7</v>
      </c>
      <c r="M202" s="52">
        <v>8</v>
      </c>
      <c r="N202" s="52">
        <v>9</v>
      </c>
      <c r="O202" s="52">
        <v>10</v>
      </c>
      <c r="P202" s="52">
        <v>11</v>
      </c>
      <c r="Q202" s="52">
        <v>12</v>
      </c>
      <c r="R202" s="52">
        <v>13</v>
      </c>
      <c r="S202" s="52">
        <v>14</v>
      </c>
      <c r="T202" s="52">
        <v>15</v>
      </c>
      <c r="U202" s="52">
        <v>16</v>
      </c>
      <c r="V202" s="52">
        <v>17</v>
      </c>
      <c r="W202" s="52">
        <v>18</v>
      </c>
      <c r="X202" s="52">
        <v>19</v>
      </c>
      <c r="Y202" s="52">
        <v>20</v>
      </c>
      <c r="Z202" s="52">
        <v>21</v>
      </c>
      <c r="AA202" s="52">
        <v>22</v>
      </c>
      <c r="AB202" s="52">
        <v>23</v>
      </c>
      <c r="AC202" s="52">
        <v>24</v>
      </c>
      <c r="AD202" s="52">
        <v>25</v>
      </c>
      <c r="AE202" s="52">
        <v>26</v>
      </c>
      <c r="AF202" s="52">
        <v>27</v>
      </c>
      <c r="AG202" s="52">
        <v>28</v>
      </c>
      <c r="AH202" s="52">
        <v>29</v>
      </c>
      <c r="AI202" s="52">
        <v>30</v>
      </c>
      <c r="AJ202" s="52">
        <v>31</v>
      </c>
      <c r="AK202" s="52">
        <v>32</v>
      </c>
      <c r="AL202" s="52">
        <v>33</v>
      </c>
      <c r="AM202" s="52">
        <v>34</v>
      </c>
      <c r="AN202" s="52">
        <v>35</v>
      </c>
      <c r="AO202" s="52">
        <v>36</v>
      </c>
      <c r="AP202" s="52">
        <v>37</v>
      </c>
      <c r="AQ202" s="52">
        <v>38</v>
      </c>
      <c r="AR202" s="52">
        <v>39</v>
      </c>
      <c r="AS202" s="52">
        <v>40</v>
      </c>
      <c r="AT202" s="52">
        <v>41</v>
      </c>
      <c r="AU202" s="52">
        <v>42</v>
      </c>
      <c r="AV202" s="52">
        <v>43</v>
      </c>
      <c r="AW202" s="52">
        <v>44</v>
      </c>
      <c r="AX202" s="52">
        <v>45</v>
      </c>
      <c r="AY202" s="52">
        <v>46</v>
      </c>
      <c r="AZ202" s="52">
        <v>47</v>
      </c>
      <c r="BA202" s="52">
        <v>48</v>
      </c>
      <c r="BB202" s="52">
        <v>49</v>
      </c>
      <c r="BC202" s="52">
        <v>50</v>
      </c>
      <c r="BD202" s="52">
        <v>51</v>
      </c>
      <c r="BE202" s="52">
        <v>52</v>
      </c>
      <c r="BF202" s="52">
        <v>53</v>
      </c>
      <c r="BG202" s="52">
        <v>54</v>
      </c>
      <c r="BH202" s="52">
        <v>55</v>
      </c>
      <c r="BI202" s="52">
        <v>56</v>
      </c>
      <c r="BJ202" s="52">
        <v>57</v>
      </c>
      <c r="BK202" s="52">
        <v>58</v>
      </c>
      <c r="BL202" s="52">
        <v>59</v>
      </c>
      <c r="BM202" s="52">
        <v>60</v>
      </c>
      <c r="BN202" s="52">
        <v>61</v>
      </c>
      <c r="BO202" s="52">
        <v>62</v>
      </c>
      <c r="BP202" s="52">
        <v>63</v>
      </c>
      <c r="BQ202" s="52">
        <v>64</v>
      </c>
      <c r="BR202" s="52">
        <v>65</v>
      </c>
      <c r="BS202" s="52">
        <v>66</v>
      </c>
      <c r="BT202" s="52">
        <v>67</v>
      </c>
      <c r="BU202" s="52">
        <v>68</v>
      </c>
      <c r="BV202" s="52">
        <v>69</v>
      </c>
      <c r="BW202" s="52">
        <v>70</v>
      </c>
      <c r="BX202" s="52">
        <v>71</v>
      </c>
      <c r="BY202" s="52">
        <v>72</v>
      </c>
      <c r="BZ202" s="52">
        <v>73</v>
      </c>
      <c r="CA202" s="52">
        <v>74</v>
      </c>
      <c r="CB202" s="52">
        <v>75</v>
      </c>
      <c r="CC202" s="52">
        <v>76</v>
      </c>
      <c r="CD202" s="52">
        <v>77</v>
      </c>
      <c r="CE202" s="52">
        <v>78</v>
      </c>
      <c r="CF202" s="52">
        <v>79</v>
      </c>
      <c r="CG202" s="52">
        <v>80</v>
      </c>
      <c r="CH202" s="52">
        <v>81</v>
      </c>
      <c r="CI202" s="52">
        <v>82</v>
      </c>
      <c r="CJ202" s="52">
        <v>83</v>
      </c>
      <c r="CK202" s="52">
        <v>84</v>
      </c>
      <c r="CL202" s="52">
        <v>85</v>
      </c>
      <c r="CM202" s="52">
        <v>86</v>
      </c>
      <c r="CN202" s="52">
        <v>87</v>
      </c>
      <c r="CO202" s="52">
        <v>88</v>
      </c>
      <c r="CP202" s="52">
        <v>89</v>
      </c>
      <c r="CQ202" s="52">
        <v>90</v>
      </c>
      <c r="CR202" s="52">
        <v>91</v>
      </c>
      <c r="CS202" s="52">
        <v>92</v>
      </c>
      <c r="CT202" s="52">
        <v>93</v>
      </c>
      <c r="CU202" s="52">
        <v>94</v>
      </c>
      <c r="CV202" s="52">
        <v>95</v>
      </c>
      <c r="CW202" s="52">
        <v>96</v>
      </c>
      <c r="CX202" s="52">
        <v>97</v>
      </c>
      <c r="CY202" s="52">
        <v>98</v>
      </c>
      <c r="CZ202" s="52">
        <v>99</v>
      </c>
      <c r="DA202" s="52">
        <v>100</v>
      </c>
      <c r="DB202" s="70" t="s">
        <v>76</v>
      </c>
      <c r="DC202" s="70" t="s">
        <v>335</v>
      </c>
      <c r="DD202" s="70" t="s">
        <v>336</v>
      </c>
    </row>
    <row r="203" spans="1:108" x14ac:dyDescent="0.2">
      <c r="A203" s="273"/>
      <c r="B203" s="273"/>
      <c r="C203" s="273"/>
      <c r="D203" s="274">
        <v>2012</v>
      </c>
      <c r="E203" s="275">
        <v>305419</v>
      </c>
      <c r="F203" s="275">
        <v>293012</v>
      </c>
      <c r="G203" s="275">
        <v>298350</v>
      </c>
      <c r="H203" s="275">
        <v>296633</v>
      </c>
      <c r="I203" s="275">
        <v>295674</v>
      </c>
      <c r="J203" s="275">
        <v>291774</v>
      </c>
      <c r="K203" s="275">
        <v>291906</v>
      </c>
      <c r="L203" s="275">
        <v>282712</v>
      </c>
      <c r="M203" s="275">
        <v>277950</v>
      </c>
      <c r="N203" s="275">
        <v>274995</v>
      </c>
      <c r="O203" s="275">
        <v>274415</v>
      </c>
      <c r="P203" s="275">
        <v>278213</v>
      </c>
      <c r="Q203" s="275">
        <v>279033</v>
      </c>
      <c r="R203" s="275">
        <v>279919</v>
      </c>
      <c r="S203" s="275">
        <v>279873</v>
      </c>
      <c r="T203" s="275">
        <v>283704</v>
      </c>
      <c r="U203" s="275">
        <v>286174</v>
      </c>
      <c r="V203" s="275">
        <v>293708</v>
      </c>
      <c r="W203" s="275">
        <v>294816</v>
      </c>
      <c r="X203" s="275">
        <v>300581</v>
      </c>
      <c r="Y203" s="275">
        <v>307540</v>
      </c>
      <c r="Z203" s="275">
        <v>319846</v>
      </c>
      <c r="AA203" s="275">
        <v>331610</v>
      </c>
      <c r="AB203" s="275">
        <v>332289</v>
      </c>
      <c r="AC203" s="275">
        <v>332887</v>
      </c>
      <c r="AD203" s="275">
        <v>334337</v>
      </c>
      <c r="AE203" s="275">
        <v>338460</v>
      </c>
      <c r="AF203" s="275">
        <v>341201</v>
      </c>
      <c r="AG203" s="275">
        <v>339468</v>
      </c>
      <c r="AH203" s="275">
        <v>341199</v>
      </c>
      <c r="AI203" s="275">
        <v>332970</v>
      </c>
      <c r="AJ203" s="275">
        <v>327577</v>
      </c>
      <c r="AK203" s="275">
        <v>315489</v>
      </c>
      <c r="AL203" s="275">
        <v>309609</v>
      </c>
      <c r="AM203" s="275">
        <v>303783</v>
      </c>
      <c r="AN203" s="275">
        <v>303002</v>
      </c>
      <c r="AO203" s="275">
        <v>303767</v>
      </c>
      <c r="AP203" s="275">
        <v>308597</v>
      </c>
      <c r="AQ203" s="275">
        <v>315638</v>
      </c>
      <c r="AR203" s="275">
        <v>324178</v>
      </c>
      <c r="AS203" s="275">
        <v>338075</v>
      </c>
      <c r="AT203" s="275">
        <v>343473</v>
      </c>
      <c r="AU203" s="275">
        <v>324892</v>
      </c>
      <c r="AV203" s="275">
        <v>320794</v>
      </c>
      <c r="AW203" s="275">
        <v>308368</v>
      </c>
      <c r="AX203" s="275">
        <v>301124</v>
      </c>
      <c r="AY203" s="275">
        <v>300441</v>
      </c>
      <c r="AZ203" s="275">
        <v>303461</v>
      </c>
      <c r="BA203" s="275">
        <v>311707</v>
      </c>
      <c r="BB203" s="275">
        <v>315159</v>
      </c>
      <c r="BC203" s="275">
        <v>315159</v>
      </c>
      <c r="BD203" s="275">
        <v>314217</v>
      </c>
      <c r="BE203" s="275">
        <v>303588</v>
      </c>
      <c r="BF203" s="275">
        <v>299199</v>
      </c>
      <c r="BG203" s="275">
        <v>292153</v>
      </c>
      <c r="BH203" s="275">
        <v>285316</v>
      </c>
      <c r="BI203" s="275">
        <v>281275</v>
      </c>
      <c r="BJ203" s="275">
        <v>272997</v>
      </c>
      <c r="BK203" s="275">
        <v>264621</v>
      </c>
      <c r="BL203" s="275">
        <v>261689</v>
      </c>
      <c r="BM203" s="275">
        <v>252665</v>
      </c>
      <c r="BN203" s="275">
        <v>249344</v>
      </c>
      <c r="BO203" s="275">
        <v>244606</v>
      </c>
      <c r="BP203" s="275">
        <v>237749</v>
      </c>
      <c r="BQ203" s="275">
        <v>239560</v>
      </c>
      <c r="BR203" s="275">
        <v>248184</v>
      </c>
      <c r="BS203" s="275">
        <v>209791</v>
      </c>
      <c r="BT203" s="275">
        <v>201288</v>
      </c>
      <c r="BU203" s="275">
        <v>191623</v>
      </c>
      <c r="BV203" s="275">
        <v>172787</v>
      </c>
      <c r="BW203" s="275">
        <v>169124</v>
      </c>
      <c r="BX203" s="275">
        <v>157069</v>
      </c>
      <c r="BY203" s="275">
        <v>150815</v>
      </c>
      <c r="BZ203" s="275">
        <v>143364</v>
      </c>
      <c r="CA203" s="275">
        <v>135026</v>
      </c>
      <c r="CB203" s="275">
        <v>128641</v>
      </c>
      <c r="CC203" s="275">
        <v>122160</v>
      </c>
      <c r="CD203" s="275">
        <v>113266</v>
      </c>
      <c r="CE203" s="275">
        <v>106721</v>
      </c>
      <c r="CF203" s="275">
        <v>102079</v>
      </c>
      <c r="CG203" s="275">
        <v>97028</v>
      </c>
      <c r="CH203" s="275">
        <v>96127</v>
      </c>
      <c r="CI203" s="275">
        <v>90971</v>
      </c>
      <c r="CJ203" s="275">
        <v>83913</v>
      </c>
      <c r="CK203" s="275">
        <v>77770</v>
      </c>
      <c r="CL203" s="275">
        <v>70439</v>
      </c>
      <c r="CM203" s="275">
        <v>63618</v>
      </c>
      <c r="CN203" s="275">
        <v>56086</v>
      </c>
      <c r="CO203" s="275">
        <v>48483</v>
      </c>
      <c r="CP203" s="275">
        <v>41058</v>
      </c>
      <c r="CQ203" s="275">
        <v>35106</v>
      </c>
      <c r="CR203" s="275">
        <v>28350</v>
      </c>
      <c r="CS203" s="275">
        <v>21733</v>
      </c>
      <c r="CT203" s="275">
        <v>14774</v>
      </c>
      <c r="CU203" s="275">
        <v>11610</v>
      </c>
      <c r="CV203" s="275">
        <v>8940</v>
      </c>
      <c r="CW203" s="275">
        <v>6646</v>
      </c>
      <c r="CX203" s="275">
        <v>4865</v>
      </c>
      <c r="CY203" s="275">
        <v>3186</v>
      </c>
      <c r="CZ203" s="275">
        <v>2115</v>
      </c>
      <c r="DA203" s="275">
        <v>3299</v>
      </c>
      <c r="DB203" s="276">
        <f>SUM(E203:DA203)</f>
        <v>22721995</v>
      </c>
      <c r="DC203" s="277">
        <f>DB203/1000000</f>
        <v>22.721995</v>
      </c>
      <c r="DD203" s="278"/>
    </row>
    <row r="204" spans="1:108" x14ac:dyDescent="0.2">
      <c r="A204" s="273"/>
      <c r="B204" s="273"/>
      <c r="C204" s="273"/>
      <c r="D204" s="274">
        <v>2013</v>
      </c>
      <c r="E204" s="275">
        <v>309401</v>
      </c>
      <c r="F204" s="275">
        <v>307378</v>
      </c>
      <c r="G204" s="275">
        <v>296715</v>
      </c>
      <c r="H204" s="275">
        <v>302260</v>
      </c>
      <c r="I204" s="275">
        <v>300487</v>
      </c>
      <c r="J204" s="275">
        <v>299386</v>
      </c>
      <c r="K204" s="275">
        <v>295201</v>
      </c>
      <c r="L204" s="275">
        <v>295003</v>
      </c>
      <c r="M204" s="275">
        <v>285667</v>
      </c>
      <c r="N204" s="275">
        <v>280846</v>
      </c>
      <c r="O204" s="275">
        <v>277789</v>
      </c>
      <c r="P204" s="275">
        <v>277113</v>
      </c>
      <c r="Q204" s="275">
        <v>280886</v>
      </c>
      <c r="R204" s="275">
        <v>281670</v>
      </c>
      <c r="S204" s="275">
        <v>282592</v>
      </c>
      <c r="T204" s="275">
        <v>283048</v>
      </c>
      <c r="U204" s="275">
        <v>287739</v>
      </c>
      <c r="V204" s="275">
        <v>291177</v>
      </c>
      <c r="W204" s="275">
        <v>300464</v>
      </c>
      <c r="X204" s="275">
        <v>303735</v>
      </c>
      <c r="Y204" s="275">
        <v>310229</v>
      </c>
      <c r="Z204" s="275">
        <v>316495</v>
      </c>
      <c r="AA204" s="275">
        <v>328739</v>
      </c>
      <c r="AB204" s="275">
        <v>340933</v>
      </c>
      <c r="AC204" s="275">
        <v>340606</v>
      </c>
      <c r="AD204" s="275">
        <v>339795</v>
      </c>
      <c r="AE204" s="275">
        <v>340836</v>
      </c>
      <c r="AF204" s="275">
        <v>345080</v>
      </c>
      <c r="AG204" s="275">
        <v>348092</v>
      </c>
      <c r="AH204" s="275">
        <v>346595</v>
      </c>
      <c r="AI204" s="275">
        <v>348207</v>
      </c>
      <c r="AJ204" s="275">
        <v>339202</v>
      </c>
      <c r="AK204" s="275">
        <v>332903</v>
      </c>
      <c r="AL204" s="275">
        <v>320346</v>
      </c>
      <c r="AM204" s="275">
        <v>314125</v>
      </c>
      <c r="AN204" s="275">
        <v>307996</v>
      </c>
      <c r="AO204" s="275">
        <v>306938</v>
      </c>
      <c r="AP204" s="275">
        <v>307376</v>
      </c>
      <c r="AQ204" s="275">
        <v>312009</v>
      </c>
      <c r="AR204" s="275">
        <v>318933</v>
      </c>
      <c r="AS204" s="275">
        <v>327268</v>
      </c>
      <c r="AT204" s="275">
        <v>340909</v>
      </c>
      <c r="AU204" s="275">
        <v>346082</v>
      </c>
      <c r="AV204" s="275">
        <v>327261</v>
      </c>
      <c r="AW204" s="275">
        <v>322728</v>
      </c>
      <c r="AX204" s="275">
        <v>309860</v>
      </c>
      <c r="AY204" s="275">
        <v>302369</v>
      </c>
      <c r="AZ204" s="275">
        <v>301513</v>
      </c>
      <c r="BA204" s="275">
        <v>304359</v>
      </c>
      <c r="BB204" s="275">
        <v>312380</v>
      </c>
      <c r="BC204" s="275">
        <v>315642</v>
      </c>
      <c r="BD204" s="275">
        <v>315491</v>
      </c>
      <c r="BE204" s="275">
        <v>314404</v>
      </c>
      <c r="BF204" s="275">
        <v>303715</v>
      </c>
      <c r="BG204" s="275">
        <v>299213</v>
      </c>
      <c r="BH204" s="275">
        <v>291941</v>
      </c>
      <c r="BI204" s="275">
        <v>284918</v>
      </c>
      <c r="BJ204" s="275">
        <v>280800</v>
      </c>
      <c r="BK204" s="275">
        <v>272464</v>
      </c>
      <c r="BL204" s="275">
        <v>264013</v>
      </c>
      <c r="BM204" s="275">
        <v>260962</v>
      </c>
      <c r="BN204" s="275">
        <v>251807</v>
      </c>
      <c r="BO204" s="275">
        <v>248316</v>
      </c>
      <c r="BP204" s="275">
        <v>243439</v>
      </c>
      <c r="BQ204" s="275">
        <v>236405</v>
      </c>
      <c r="BR204" s="275">
        <v>237919</v>
      </c>
      <c r="BS204" s="275">
        <v>246222</v>
      </c>
      <c r="BT204" s="275">
        <v>207980</v>
      </c>
      <c r="BU204" s="275">
        <v>199349</v>
      </c>
      <c r="BV204" s="275">
        <v>189540</v>
      </c>
      <c r="BW204" s="275">
        <v>170672</v>
      </c>
      <c r="BX204" s="275">
        <v>166813</v>
      </c>
      <c r="BY204" s="275">
        <v>154681</v>
      </c>
      <c r="BZ204" s="275">
        <v>148246</v>
      </c>
      <c r="CA204" s="275">
        <v>140639</v>
      </c>
      <c r="CB204" s="275">
        <v>132153</v>
      </c>
      <c r="CC204" s="275">
        <v>125568</v>
      </c>
      <c r="CD204" s="275">
        <v>118897</v>
      </c>
      <c r="CE204" s="275">
        <v>109874</v>
      </c>
      <c r="CF204" s="275">
        <v>103095</v>
      </c>
      <c r="CG204" s="275">
        <v>98153</v>
      </c>
      <c r="CH204" s="275">
        <v>92794</v>
      </c>
      <c r="CI204" s="275">
        <v>91367</v>
      </c>
      <c r="CJ204" s="275">
        <v>85852</v>
      </c>
      <c r="CK204" s="275">
        <v>78565</v>
      </c>
      <c r="CL204" s="275">
        <v>72169</v>
      </c>
      <c r="CM204" s="275">
        <v>64693</v>
      </c>
      <c r="CN204" s="275">
        <v>57758</v>
      </c>
      <c r="CO204" s="275">
        <v>50300</v>
      </c>
      <c r="CP204" s="275">
        <v>42893</v>
      </c>
      <c r="CQ204" s="275">
        <v>35795</v>
      </c>
      <c r="CR204" s="275">
        <v>30122</v>
      </c>
      <c r="CS204" s="275">
        <v>23929</v>
      </c>
      <c r="CT204" s="275">
        <v>17994</v>
      </c>
      <c r="CU204" s="275">
        <v>11960</v>
      </c>
      <c r="CV204" s="275">
        <v>9180</v>
      </c>
      <c r="CW204" s="275">
        <v>6913</v>
      </c>
      <c r="CX204" s="275">
        <v>5037</v>
      </c>
      <c r="CY204" s="275">
        <v>3620</v>
      </c>
      <c r="CZ204" s="275">
        <v>2326</v>
      </c>
      <c r="DA204" s="275">
        <v>3938</v>
      </c>
      <c r="DB204" s="276">
        <f t="shared" ref="DB204:DB219" si="60">SUM(E204:DA204)</f>
        <v>23119257</v>
      </c>
      <c r="DC204" s="277">
        <f t="shared" ref="DC204:DC219" si="61">DB204/1000000</f>
        <v>23.119257000000001</v>
      </c>
      <c r="DD204" s="279">
        <f>(DC204-DC203)/DC203</f>
        <v>1.7483588038814432E-2</v>
      </c>
    </row>
    <row r="205" spans="1:108" x14ac:dyDescent="0.2">
      <c r="A205" s="273"/>
      <c r="B205" s="273"/>
      <c r="C205" s="273"/>
      <c r="D205" s="274">
        <v>2014</v>
      </c>
      <c r="E205" s="275">
        <v>314086</v>
      </c>
      <c r="F205" s="275">
        <v>311408</v>
      </c>
      <c r="G205" s="275">
        <v>311163</v>
      </c>
      <c r="H205" s="275">
        <v>300709</v>
      </c>
      <c r="I205" s="275">
        <v>306194</v>
      </c>
      <c r="J205" s="275">
        <v>304277</v>
      </c>
      <c r="K205" s="275">
        <v>302887</v>
      </c>
      <c r="L205" s="275">
        <v>298363</v>
      </c>
      <c r="M205" s="275">
        <v>298021</v>
      </c>
      <c r="N205" s="275">
        <v>288626</v>
      </c>
      <c r="O205" s="275">
        <v>283699</v>
      </c>
      <c r="P205" s="275">
        <v>280545</v>
      </c>
      <c r="Q205" s="275">
        <v>279846</v>
      </c>
      <c r="R205" s="275">
        <v>283577</v>
      </c>
      <c r="S205" s="275">
        <v>284402</v>
      </c>
      <c r="T205" s="275">
        <v>285836</v>
      </c>
      <c r="U205" s="275">
        <v>287173</v>
      </c>
      <c r="V205" s="275">
        <v>292851</v>
      </c>
      <c r="W205" s="275">
        <v>298083</v>
      </c>
      <c r="X205" s="275">
        <v>309575</v>
      </c>
      <c r="Y205" s="275">
        <v>313593</v>
      </c>
      <c r="Z205" s="275">
        <v>319380</v>
      </c>
      <c r="AA205" s="275">
        <v>325584</v>
      </c>
      <c r="AB205" s="275">
        <v>338271</v>
      </c>
      <c r="AC205" s="275">
        <v>349429</v>
      </c>
      <c r="AD205" s="275">
        <v>347666</v>
      </c>
      <c r="AE205" s="275">
        <v>346437</v>
      </c>
      <c r="AF205" s="275">
        <v>347601</v>
      </c>
      <c r="AG205" s="275">
        <v>352122</v>
      </c>
      <c r="AH205" s="275">
        <v>355373</v>
      </c>
      <c r="AI205" s="275">
        <v>353760</v>
      </c>
      <c r="AJ205" s="275">
        <v>354569</v>
      </c>
      <c r="AK205" s="275">
        <v>344643</v>
      </c>
      <c r="AL205" s="275">
        <v>337862</v>
      </c>
      <c r="AM205" s="275">
        <v>324957</v>
      </c>
      <c r="AN205" s="275">
        <v>318429</v>
      </c>
      <c r="AO205" s="275">
        <v>312018</v>
      </c>
      <c r="AP205" s="275">
        <v>310630</v>
      </c>
      <c r="AQ205" s="275">
        <v>310870</v>
      </c>
      <c r="AR205" s="275">
        <v>315390</v>
      </c>
      <c r="AS205" s="275">
        <v>322104</v>
      </c>
      <c r="AT205" s="275">
        <v>330187</v>
      </c>
      <c r="AU205" s="275">
        <v>343590</v>
      </c>
      <c r="AV205" s="275">
        <v>348492</v>
      </c>
      <c r="AW205" s="275">
        <v>329240</v>
      </c>
      <c r="AX205" s="275">
        <v>324245</v>
      </c>
      <c r="AY205" s="275">
        <v>311132</v>
      </c>
      <c r="AZ205" s="275">
        <v>303477</v>
      </c>
      <c r="BA205" s="275">
        <v>302451</v>
      </c>
      <c r="BB205" s="275">
        <v>305085</v>
      </c>
      <c r="BC205" s="275">
        <v>312902</v>
      </c>
      <c r="BD205" s="275">
        <v>316010</v>
      </c>
      <c r="BE205" s="275">
        <v>315709</v>
      </c>
      <c r="BF205" s="275">
        <v>314537</v>
      </c>
      <c r="BG205" s="275">
        <v>303755</v>
      </c>
      <c r="BH205" s="275">
        <v>299013</v>
      </c>
      <c r="BI205" s="275">
        <v>291555</v>
      </c>
      <c r="BJ205" s="275">
        <v>284468</v>
      </c>
      <c r="BK205" s="275">
        <v>280272</v>
      </c>
      <c r="BL205" s="275">
        <v>271864</v>
      </c>
      <c r="BM205" s="275">
        <v>263324</v>
      </c>
      <c r="BN205" s="275">
        <v>260109</v>
      </c>
      <c r="BO205" s="275">
        <v>250820</v>
      </c>
      <c r="BP205" s="275">
        <v>247179</v>
      </c>
      <c r="BQ205" s="275">
        <v>242115</v>
      </c>
      <c r="BR205" s="275">
        <v>234853</v>
      </c>
      <c r="BS205" s="275">
        <v>236112</v>
      </c>
      <c r="BT205" s="275">
        <v>244142</v>
      </c>
      <c r="BU205" s="275">
        <v>206042</v>
      </c>
      <c r="BV205" s="275">
        <v>197253</v>
      </c>
      <c r="BW205" s="275">
        <v>187289</v>
      </c>
      <c r="BX205" s="275">
        <v>168422</v>
      </c>
      <c r="BY205" s="275">
        <v>164353</v>
      </c>
      <c r="BZ205" s="275">
        <v>152129</v>
      </c>
      <c r="CA205" s="275">
        <v>145508</v>
      </c>
      <c r="CB205" s="275">
        <v>137732</v>
      </c>
      <c r="CC205" s="275">
        <v>129082</v>
      </c>
      <c r="CD205" s="275">
        <v>122288</v>
      </c>
      <c r="CE205" s="275">
        <v>115416</v>
      </c>
      <c r="CF205" s="275">
        <v>106237</v>
      </c>
      <c r="CG205" s="275">
        <v>99216</v>
      </c>
      <c r="CH205" s="275">
        <v>93967</v>
      </c>
      <c r="CI205" s="275">
        <v>88291</v>
      </c>
      <c r="CJ205" s="275">
        <v>86324</v>
      </c>
      <c r="CK205" s="275">
        <v>80473</v>
      </c>
      <c r="CL205" s="275">
        <v>72991</v>
      </c>
      <c r="CM205" s="275">
        <v>66363</v>
      </c>
      <c r="CN205" s="275">
        <v>58808</v>
      </c>
      <c r="CO205" s="275">
        <v>51857</v>
      </c>
      <c r="CP205" s="275">
        <v>44560</v>
      </c>
      <c r="CQ205" s="275">
        <v>37438</v>
      </c>
      <c r="CR205" s="275">
        <v>30755</v>
      </c>
      <c r="CS205" s="275">
        <v>25451</v>
      </c>
      <c r="CT205" s="275">
        <v>19836</v>
      </c>
      <c r="CU205" s="275">
        <v>14574</v>
      </c>
      <c r="CV205" s="275">
        <v>9459</v>
      </c>
      <c r="CW205" s="275">
        <v>7099</v>
      </c>
      <c r="CX205" s="275">
        <v>5240</v>
      </c>
      <c r="CY205" s="275">
        <v>3748</v>
      </c>
      <c r="CZ205" s="275">
        <v>2643</v>
      </c>
      <c r="DA205" s="275">
        <v>4564</v>
      </c>
      <c r="DB205" s="276">
        <f t="shared" si="60"/>
        <v>23524055</v>
      </c>
      <c r="DC205" s="277">
        <f t="shared" si="61"/>
        <v>23.524055000000001</v>
      </c>
      <c r="DD205" s="279">
        <f t="shared" ref="DD205:DD219" si="62">(DC205-DC204)/DC204</f>
        <v>1.7509126699011113E-2</v>
      </c>
    </row>
    <row r="206" spans="1:108" x14ac:dyDescent="0.2">
      <c r="A206" s="273"/>
      <c r="B206" s="273"/>
      <c r="C206" s="273"/>
      <c r="D206" s="274">
        <v>2015</v>
      </c>
      <c r="E206" s="275">
        <v>318901</v>
      </c>
      <c r="F206" s="275">
        <v>316178</v>
      </c>
      <c r="G206" s="275">
        <v>315335</v>
      </c>
      <c r="H206" s="275">
        <v>315310</v>
      </c>
      <c r="I206" s="275">
        <v>304793</v>
      </c>
      <c r="J206" s="275">
        <v>310125</v>
      </c>
      <c r="K206" s="275">
        <v>307907</v>
      </c>
      <c r="L206" s="275">
        <v>306166</v>
      </c>
      <c r="M206" s="275">
        <v>301495</v>
      </c>
      <c r="N206" s="275">
        <v>301090</v>
      </c>
      <c r="O206" s="275">
        <v>291587</v>
      </c>
      <c r="P206" s="275">
        <v>286557</v>
      </c>
      <c r="Q206" s="275">
        <v>283380</v>
      </c>
      <c r="R206" s="275">
        <v>282639</v>
      </c>
      <c r="S206" s="275">
        <v>286414</v>
      </c>
      <c r="T206" s="275">
        <v>287772</v>
      </c>
      <c r="U206" s="275">
        <v>290116</v>
      </c>
      <c r="V206" s="275">
        <v>292484</v>
      </c>
      <c r="W206" s="275">
        <v>300021</v>
      </c>
      <c r="X206" s="275">
        <v>307541</v>
      </c>
      <c r="Y206" s="275">
        <v>319806</v>
      </c>
      <c r="Z206" s="275">
        <v>323092</v>
      </c>
      <c r="AA206" s="275">
        <v>328814</v>
      </c>
      <c r="AB206" s="275">
        <v>335477</v>
      </c>
      <c r="AC206" s="275">
        <v>347094</v>
      </c>
      <c r="AD206" s="275">
        <v>356759</v>
      </c>
      <c r="AE206" s="275">
        <v>354561</v>
      </c>
      <c r="AF206" s="275">
        <v>353461</v>
      </c>
      <c r="AG206" s="275">
        <v>354913</v>
      </c>
      <c r="AH206" s="275">
        <v>359685</v>
      </c>
      <c r="AI206" s="275">
        <v>362809</v>
      </c>
      <c r="AJ206" s="275">
        <v>360367</v>
      </c>
      <c r="AK206" s="275">
        <v>360215</v>
      </c>
      <c r="AL206" s="275">
        <v>349790</v>
      </c>
      <c r="AM206" s="275">
        <v>342644</v>
      </c>
      <c r="AN206" s="275">
        <v>329423</v>
      </c>
      <c r="AO206" s="275">
        <v>322606</v>
      </c>
      <c r="AP206" s="275">
        <v>315857</v>
      </c>
      <c r="AQ206" s="275">
        <v>314267</v>
      </c>
      <c r="AR206" s="275">
        <v>314393</v>
      </c>
      <c r="AS206" s="275">
        <v>318701</v>
      </c>
      <c r="AT206" s="275">
        <v>325155</v>
      </c>
      <c r="AU206" s="275">
        <v>332999</v>
      </c>
      <c r="AV206" s="275">
        <v>346114</v>
      </c>
      <c r="AW206" s="275">
        <v>350538</v>
      </c>
      <c r="AX206" s="275">
        <v>330825</v>
      </c>
      <c r="AY206" s="275">
        <v>325568</v>
      </c>
      <c r="AZ206" s="275">
        <v>312295</v>
      </c>
      <c r="BA206" s="275">
        <v>304477</v>
      </c>
      <c r="BB206" s="275">
        <v>303240</v>
      </c>
      <c r="BC206" s="275">
        <v>305679</v>
      </c>
      <c r="BD206" s="275">
        <v>313328</v>
      </c>
      <c r="BE206" s="275">
        <v>316282</v>
      </c>
      <c r="BF206" s="275">
        <v>315892</v>
      </c>
      <c r="BG206" s="275">
        <v>314597</v>
      </c>
      <c r="BH206" s="275">
        <v>303590</v>
      </c>
      <c r="BI206" s="275">
        <v>298649</v>
      </c>
      <c r="BJ206" s="275">
        <v>291131</v>
      </c>
      <c r="BK206" s="275">
        <v>283977</v>
      </c>
      <c r="BL206" s="275">
        <v>279688</v>
      </c>
      <c r="BM206" s="275">
        <v>271191</v>
      </c>
      <c r="BN206" s="275">
        <v>262518</v>
      </c>
      <c r="BO206" s="275">
        <v>259133</v>
      </c>
      <c r="BP206" s="275">
        <v>249730</v>
      </c>
      <c r="BQ206" s="275">
        <v>245892</v>
      </c>
      <c r="BR206" s="275">
        <v>240585</v>
      </c>
      <c r="BS206" s="275">
        <v>233141</v>
      </c>
      <c r="BT206" s="275">
        <v>234200</v>
      </c>
      <c r="BU206" s="275">
        <v>241920</v>
      </c>
      <c r="BV206" s="275">
        <v>203946</v>
      </c>
      <c r="BW206" s="275">
        <v>194988</v>
      </c>
      <c r="BX206" s="275">
        <v>184893</v>
      </c>
      <c r="BY206" s="275">
        <v>166026</v>
      </c>
      <c r="BZ206" s="275">
        <v>161723</v>
      </c>
      <c r="CA206" s="275">
        <v>149407</v>
      </c>
      <c r="CB206" s="275">
        <v>142586</v>
      </c>
      <c r="CC206" s="275">
        <v>134620</v>
      </c>
      <c r="CD206" s="275">
        <v>125801</v>
      </c>
      <c r="CE206" s="275">
        <v>118783</v>
      </c>
      <c r="CF206" s="275">
        <v>111678</v>
      </c>
      <c r="CG206" s="275">
        <v>102339</v>
      </c>
      <c r="CH206" s="275">
        <v>95071</v>
      </c>
      <c r="CI206" s="275">
        <v>89503</v>
      </c>
      <c r="CJ206" s="275">
        <v>83509</v>
      </c>
      <c r="CK206" s="275">
        <v>81012</v>
      </c>
      <c r="CL206" s="275">
        <v>74854</v>
      </c>
      <c r="CM206" s="275">
        <v>67198</v>
      </c>
      <c r="CN206" s="275">
        <v>60402</v>
      </c>
      <c r="CO206" s="275">
        <v>52865</v>
      </c>
      <c r="CP206" s="275">
        <v>45989</v>
      </c>
      <c r="CQ206" s="275">
        <v>38944</v>
      </c>
      <c r="CR206" s="275">
        <v>32202</v>
      </c>
      <c r="CS206" s="275">
        <v>26018</v>
      </c>
      <c r="CT206" s="275">
        <v>21117</v>
      </c>
      <c r="CU206" s="275">
        <v>16081</v>
      </c>
      <c r="CV206" s="275">
        <v>11528</v>
      </c>
      <c r="CW206" s="275">
        <v>7316</v>
      </c>
      <c r="CX206" s="275">
        <v>5382</v>
      </c>
      <c r="CY206" s="275">
        <v>3899</v>
      </c>
      <c r="CZ206" s="275">
        <v>2736</v>
      </c>
      <c r="DA206" s="275">
        <v>5257</v>
      </c>
      <c r="DB206" s="276">
        <f t="shared" si="60"/>
        <v>23940552</v>
      </c>
      <c r="DC206" s="277">
        <f t="shared" si="61"/>
        <v>23.940552</v>
      </c>
      <c r="DD206" s="279">
        <f t="shared" si="62"/>
        <v>1.7705153299463025E-2</v>
      </c>
    </row>
    <row r="207" spans="1:108" x14ac:dyDescent="0.2">
      <c r="A207" s="273"/>
      <c r="B207" s="273"/>
      <c r="C207" s="273"/>
      <c r="D207" s="274">
        <v>2016</v>
      </c>
      <c r="E207" s="275">
        <v>323664</v>
      </c>
      <c r="F207" s="275">
        <v>320996</v>
      </c>
      <c r="G207" s="275">
        <v>320104</v>
      </c>
      <c r="H207" s="275">
        <v>319483</v>
      </c>
      <c r="I207" s="275">
        <v>319394</v>
      </c>
      <c r="J207" s="275">
        <v>308726</v>
      </c>
      <c r="K207" s="275">
        <v>313757</v>
      </c>
      <c r="L207" s="275">
        <v>311185</v>
      </c>
      <c r="M207" s="275">
        <v>309299</v>
      </c>
      <c r="N207" s="275">
        <v>304567</v>
      </c>
      <c r="O207" s="275">
        <v>304051</v>
      </c>
      <c r="P207" s="275">
        <v>294446</v>
      </c>
      <c r="Q207" s="275">
        <v>289392</v>
      </c>
      <c r="R207" s="275">
        <v>286175</v>
      </c>
      <c r="S207" s="275">
        <v>285476</v>
      </c>
      <c r="T207" s="275">
        <v>289786</v>
      </c>
      <c r="U207" s="275">
        <v>292055</v>
      </c>
      <c r="V207" s="275">
        <v>295428</v>
      </c>
      <c r="W207" s="275">
        <v>299659</v>
      </c>
      <c r="X207" s="275">
        <v>309485</v>
      </c>
      <c r="Y207" s="275">
        <v>317776</v>
      </c>
      <c r="Z207" s="275">
        <v>329306</v>
      </c>
      <c r="AA207" s="275">
        <v>332529</v>
      </c>
      <c r="AB207" s="275">
        <v>338714</v>
      </c>
      <c r="AC207" s="275">
        <v>344307</v>
      </c>
      <c r="AD207" s="275">
        <v>354427</v>
      </c>
      <c r="AE207" s="275">
        <v>363655</v>
      </c>
      <c r="AF207" s="275">
        <v>361590</v>
      </c>
      <c r="AG207" s="275">
        <v>360776</v>
      </c>
      <c r="AH207" s="275">
        <v>362477</v>
      </c>
      <c r="AI207" s="275">
        <v>367126</v>
      </c>
      <c r="AJ207" s="275">
        <v>369417</v>
      </c>
      <c r="AK207" s="275">
        <v>366014</v>
      </c>
      <c r="AL207" s="275">
        <v>365357</v>
      </c>
      <c r="AM207" s="275">
        <v>354569</v>
      </c>
      <c r="AN207" s="275">
        <v>347105</v>
      </c>
      <c r="AO207" s="275">
        <v>333594</v>
      </c>
      <c r="AP207" s="275">
        <v>326439</v>
      </c>
      <c r="AQ207" s="275">
        <v>319492</v>
      </c>
      <c r="AR207" s="275">
        <v>317790</v>
      </c>
      <c r="AS207" s="275">
        <v>317709</v>
      </c>
      <c r="AT207" s="275">
        <v>321760</v>
      </c>
      <c r="AU207" s="275">
        <v>327979</v>
      </c>
      <c r="AV207" s="275">
        <v>335539</v>
      </c>
      <c r="AW207" s="275">
        <v>348168</v>
      </c>
      <c r="AX207" s="275">
        <v>352102</v>
      </c>
      <c r="AY207" s="275">
        <v>332140</v>
      </c>
      <c r="AZ207" s="275">
        <v>326709</v>
      </c>
      <c r="BA207" s="275">
        <v>313286</v>
      </c>
      <c r="BB207" s="275">
        <v>305270</v>
      </c>
      <c r="BC207" s="275">
        <v>303846</v>
      </c>
      <c r="BD207" s="275">
        <v>306131</v>
      </c>
      <c r="BE207" s="275">
        <v>313618</v>
      </c>
      <c r="BF207" s="275">
        <v>316475</v>
      </c>
      <c r="BG207" s="275">
        <v>315962</v>
      </c>
      <c r="BH207" s="275">
        <v>314417</v>
      </c>
      <c r="BI207" s="275">
        <v>303232</v>
      </c>
      <c r="BJ207" s="275">
        <v>298221</v>
      </c>
      <c r="BK207" s="275">
        <v>290640</v>
      </c>
      <c r="BL207" s="275">
        <v>283408</v>
      </c>
      <c r="BM207" s="275">
        <v>279011</v>
      </c>
      <c r="BN207" s="275">
        <v>270382</v>
      </c>
      <c r="BO207" s="275">
        <v>261571</v>
      </c>
      <c r="BP207" s="275">
        <v>258039</v>
      </c>
      <c r="BQ207" s="275">
        <v>248475</v>
      </c>
      <c r="BR207" s="275">
        <v>244389</v>
      </c>
      <c r="BS207" s="275">
        <v>238889</v>
      </c>
      <c r="BT207" s="275">
        <v>231324</v>
      </c>
      <c r="BU207" s="275">
        <v>232151</v>
      </c>
      <c r="BV207" s="275">
        <v>239514</v>
      </c>
      <c r="BW207" s="275">
        <v>201674</v>
      </c>
      <c r="BX207" s="275">
        <v>192570</v>
      </c>
      <c r="BY207" s="275">
        <v>182335</v>
      </c>
      <c r="BZ207" s="275">
        <v>163455</v>
      </c>
      <c r="CA207" s="275">
        <v>158911</v>
      </c>
      <c r="CB207" s="275">
        <v>146493</v>
      </c>
      <c r="CC207" s="275">
        <v>139451</v>
      </c>
      <c r="CD207" s="275">
        <v>131289</v>
      </c>
      <c r="CE207" s="275">
        <v>122288</v>
      </c>
      <c r="CF207" s="275">
        <v>115012</v>
      </c>
      <c r="CG207" s="275">
        <v>107666</v>
      </c>
      <c r="CH207" s="275">
        <v>98164</v>
      </c>
      <c r="CI207" s="275">
        <v>90642</v>
      </c>
      <c r="CJ207" s="275">
        <v>84751</v>
      </c>
      <c r="CK207" s="275">
        <v>78459</v>
      </c>
      <c r="CL207" s="275">
        <v>75447</v>
      </c>
      <c r="CM207" s="275">
        <v>68998</v>
      </c>
      <c r="CN207" s="275">
        <v>61234</v>
      </c>
      <c r="CO207" s="275">
        <v>54368</v>
      </c>
      <c r="CP207" s="275">
        <v>46941</v>
      </c>
      <c r="CQ207" s="275">
        <v>40237</v>
      </c>
      <c r="CR207" s="275">
        <v>33539</v>
      </c>
      <c r="CS207" s="275">
        <v>27269</v>
      </c>
      <c r="CT207" s="275">
        <v>21610</v>
      </c>
      <c r="CU207" s="275">
        <v>17129</v>
      </c>
      <c r="CV207" s="275">
        <v>12729</v>
      </c>
      <c r="CW207" s="275">
        <v>8917</v>
      </c>
      <c r="CX207" s="275">
        <v>5547</v>
      </c>
      <c r="CY207" s="275">
        <v>4006</v>
      </c>
      <c r="CZ207" s="275">
        <v>2847</v>
      </c>
      <c r="DA207" s="275">
        <v>5838</v>
      </c>
      <c r="DB207" s="276">
        <f t="shared" si="60"/>
        <v>24359761</v>
      </c>
      <c r="DC207" s="277">
        <f t="shared" si="61"/>
        <v>24.359760999999999</v>
      </c>
      <c r="DD207" s="279">
        <f t="shared" si="62"/>
        <v>1.751041496453376E-2</v>
      </c>
    </row>
    <row r="208" spans="1:108" x14ac:dyDescent="0.2">
      <c r="A208" s="273"/>
      <c r="B208" s="273"/>
      <c r="C208" s="273"/>
      <c r="D208" s="274">
        <v>2017</v>
      </c>
      <c r="E208" s="280">
        <v>306666</v>
      </c>
      <c r="F208" s="280">
        <v>321089</v>
      </c>
      <c r="G208" s="280">
        <v>315381</v>
      </c>
      <c r="H208" s="280">
        <v>315227</v>
      </c>
      <c r="I208" s="280">
        <v>320504</v>
      </c>
      <c r="J208" s="280">
        <v>318311</v>
      </c>
      <c r="K208" s="280">
        <v>317914</v>
      </c>
      <c r="L208" s="280">
        <v>319663</v>
      </c>
      <c r="M208" s="280">
        <v>315323</v>
      </c>
      <c r="N208" s="280">
        <v>315665</v>
      </c>
      <c r="O208" s="280">
        <v>312536</v>
      </c>
      <c r="P208" s="280">
        <v>301561</v>
      </c>
      <c r="Q208" s="280">
        <v>290013</v>
      </c>
      <c r="R208" s="280">
        <v>286187</v>
      </c>
      <c r="S208" s="280">
        <v>282927</v>
      </c>
      <c r="T208" s="280">
        <v>283302</v>
      </c>
      <c r="U208" s="280">
        <v>290449</v>
      </c>
      <c r="V208" s="280">
        <v>294371</v>
      </c>
      <c r="W208" s="280">
        <v>301495</v>
      </c>
      <c r="X208" s="280">
        <v>312974</v>
      </c>
      <c r="Y208" s="280">
        <v>322801</v>
      </c>
      <c r="Z208" s="280">
        <v>331820</v>
      </c>
      <c r="AA208" s="280">
        <v>347461</v>
      </c>
      <c r="AB208" s="280">
        <v>356928</v>
      </c>
      <c r="AC208" s="280">
        <v>360233</v>
      </c>
      <c r="AD208" s="280">
        <v>363155</v>
      </c>
      <c r="AE208" s="280">
        <v>370273</v>
      </c>
      <c r="AF208" s="280">
        <v>375949</v>
      </c>
      <c r="AG208" s="280">
        <v>369792</v>
      </c>
      <c r="AH208" s="280">
        <v>369824</v>
      </c>
      <c r="AI208" s="280">
        <v>367179</v>
      </c>
      <c r="AJ208" s="280">
        <v>370856</v>
      </c>
      <c r="AK208" s="280">
        <v>366573</v>
      </c>
      <c r="AL208" s="280">
        <v>365502</v>
      </c>
      <c r="AM208" s="280">
        <v>362773</v>
      </c>
      <c r="AN208" s="280">
        <v>352053</v>
      </c>
      <c r="AO208" s="280">
        <v>343366</v>
      </c>
      <c r="AP208" s="280">
        <v>330208</v>
      </c>
      <c r="AQ208" s="280">
        <v>320473</v>
      </c>
      <c r="AR208" s="280">
        <v>314819</v>
      </c>
      <c r="AS208" s="280">
        <v>313137</v>
      </c>
      <c r="AT208" s="280">
        <v>315790</v>
      </c>
      <c r="AU208" s="280">
        <v>316971</v>
      </c>
      <c r="AV208" s="280">
        <v>326099</v>
      </c>
      <c r="AW208" s="280">
        <v>331912</v>
      </c>
      <c r="AX208" s="280">
        <v>343574</v>
      </c>
      <c r="AY208" s="280">
        <v>347310</v>
      </c>
      <c r="AZ208" s="280">
        <v>326097</v>
      </c>
      <c r="BA208" s="280">
        <v>320679</v>
      </c>
      <c r="BB208" s="280">
        <v>310463</v>
      </c>
      <c r="BC208" s="280">
        <v>302050</v>
      </c>
      <c r="BD208" s="280">
        <v>302792</v>
      </c>
      <c r="BE208" s="280">
        <v>301922</v>
      </c>
      <c r="BF208" s="280">
        <v>313412</v>
      </c>
      <c r="BG208" s="280">
        <v>315496</v>
      </c>
      <c r="BH208" s="280">
        <v>313559</v>
      </c>
      <c r="BI208" s="280">
        <v>311430</v>
      </c>
      <c r="BJ208" s="280">
        <v>300798</v>
      </c>
      <c r="BK208" s="280">
        <v>293044</v>
      </c>
      <c r="BL208" s="280">
        <v>287765</v>
      </c>
      <c r="BM208" s="280">
        <v>279709</v>
      </c>
      <c r="BN208" s="280">
        <v>275412</v>
      </c>
      <c r="BO208" s="280">
        <v>264501</v>
      </c>
      <c r="BP208" s="280">
        <v>257776</v>
      </c>
      <c r="BQ208" s="280">
        <v>254818</v>
      </c>
      <c r="BR208" s="280">
        <v>247422</v>
      </c>
      <c r="BS208" s="280">
        <v>244857</v>
      </c>
      <c r="BT208" s="280">
        <v>238711</v>
      </c>
      <c r="BU208" s="280">
        <v>230951</v>
      </c>
      <c r="BV208" s="280">
        <v>231541</v>
      </c>
      <c r="BW208" s="280">
        <v>236723</v>
      </c>
      <c r="BX208" s="280">
        <v>198438</v>
      </c>
      <c r="BY208" s="280">
        <v>187271</v>
      </c>
      <c r="BZ208" s="280">
        <v>177265</v>
      </c>
      <c r="CA208" s="280">
        <v>158290</v>
      </c>
      <c r="CB208" s="280">
        <v>154963</v>
      </c>
      <c r="CC208" s="280">
        <v>142735</v>
      </c>
      <c r="CD208" s="280">
        <v>135074</v>
      </c>
      <c r="CE208" s="280">
        <v>126480</v>
      </c>
      <c r="CF208" s="280">
        <v>117813</v>
      </c>
      <c r="CG208" s="280">
        <v>110612</v>
      </c>
      <c r="CH208" s="280">
        <v>102396</v>
      </c>
      <c r="CI208" s="280">
        <v>92152</v>
      </c>
      <c r="CJ208" s="280">
        <v>85186</v>
      </c>
      <c r="CK208" s="280">
        <v>78830</v>
      </c>
      <c r="CL208" s="280">
        <v>73105</v>
      </c>
      <c r="CM208" s="280">
        <v>69123</v>
      </c>
      <c r="CN208" s="280">
        <v>62983</v>
      </c>
      <c r="CO208" s="280">
        <v>54342</v>
      </c>
      <c r="CP208" s="280">
        <v>48202</v>
      </c>
      <c r="CQ208" s="280">
        <v>41172</v>
      </c>
      <c r="CR208" s="280">
        <v>35047</v>
      </c>
      <c r="CS208" s="280">
        <v>28269</v>
      </c>
      <c r="CT208" s="280">
        <v>22612</v>
      </c>
      <c r="CU208" s="280">
        <v>17457</v>
      </c>
      <c r="CV208" s="280">
        <v>13452</v>
      </c>
      <c r="CW208" s="280">
        <v>9918</v>
      </c>
      <c r="CX208" s="280">
        <v>6642</v>
      </c>
      <c r="CY208" s="280">
        <v>3863</v>
      </c>
      <c r="CZ208" s="280">
        <v>2911</v>
      </c>
      <c r="DA208" s="280">
        <v>3857</v>
      </c>
      <c r="DB208" s="276">
        <f t="shared" si="60"/>
        <v>24600777</v>
      </c>
      <c r="DC208" s="277">
        <f t="shared" si="61"/>
        <v>24.600777000000001</v>
      </c>
      <c r="DD208" s="279">
        <f t="shared" si="62"/>
        <v>9.8940215382245303E-3</v>
      </c>
    </row>
    <row r="209" spans="1:108" x14ac:dyDescent="0.2">
      <c r="A209" s="273"/>
      <c r="B209" s="273"/>
      <c r="C209" s="273"/>
      <c r="D209" s="274">
        <v>2018</v>
      </c>
      <c r="E209" s="280">
        <v>322814</v>
      </c>
      <c r="F209" s="280">
        <v>308192</v>
      </c>
      <c r="G209" s="280">
        <v>324293</v>
      </c>
      <c r="H209" s="280">
        <v>319063</v>
      </c>
      <c r="I209" s="280">
        <v>319005</v>
      </c>
      <c r="J209" s="280">
        <v>324161</v>
      </c>
      <c r="K209" s="280">
        <v>321579</v>
      </c>
      <c r="L209" s="280">
        <v>320736</v>
      </c>
      <c r="M209" s="280">
        <v>322245</v>
      </c>
      <c r="N209" s="280">
        <v>317831</v>
      </c>
      <c r="O209" s="280">
        <v>318084</v>
      </c>
      <c r="P209" s="280">
        <v>314852</v>
      </c>
      <c r="Q209" s="280">
        <v>303854</v>
      </c>
      <c r="R209" s="280">
        <v>292311</v>
      </c>
      <c r="S209" s="280">
        <v>288774</v>
      </c>
      <c r="T209" s="280">
        <v>286385</v>
      </c>
      <c r="U209" s="280">
        <v>287599</v>
      </c>
      <c r="V209" s="280">
        <v>296285</v>
      </c>
      <c r="W209" s="280">
        <v>304710</v>
      </c>
      <c r="X209" s="280">
        <v>316000</v>
      </c>
      <c r="Y209" s="280">
        <v>326781</v>
      </c>
      <c r="Z209" s="280">
        <v>334594</v>
      </c>
      <c r="AA209" s="280">
        <v>345681</v>
      </c>
      <c r="AB209" s="280">
        <v>364009</v>
      </c>
      <c r="AC209" s="280">
        <v>371203</v>
      </c>
      <c r="AD209" s="280">
        <v>370772</v>
      </c>
      <c r="AE209" s="280">
        <v>372058</v>
      </c>
      <c r="AF209" s="280">
        <v>378399</v>
      </c>
      <c r="AG209" s="280">
        <v>383367</v>
      </c>
      <c r="AH209" s="280">
        <v>376590</v>
      </c>
      <c r="AI209" s="280">
        <v>376031</v>
      </c>
      <c r="AJ209" s="280">
        <v>372508</v>
      </c>
      <c r="AK209" s="280">
        <v>375533</v>
      </c>
      <c r="AL209" s="280">
        <v>371227</v>
      </c>
      <c r="AM209" s="280">
        <v>369946</v>
      </c>
      <c r="AN209" s="280">
        <v>366596</v>
      </c>
      <c r="AO209" s="280">
        <v>355396</v>
      </c>
      <c r="AP209" s="280">
        <v>346351</v>
      </c>
      <c r="AQ209" s="280">
        <v>332864</v>
      </c>
      <c r="AR209" s="280">
        <v>322901</v>
      </c>
      <c r="AS209" s="280">
        <v>317010</v>
      </c>
      <c r="AT209" s="280">
        <v>315006</v>
      </c>
      <c r="AU209" s="280">
        <v>317329</v>
      </c>
      <c r="AV209" s="280">
        <v>318297</v>
      </c>
      <c r="AW209" s="280">
        <v>327240</v>
      </c>
      <c r="AX209" s="280">
        <v>332782</v>
      </c>
      <c r="AY209" s="280">
        <v>344192</v>
      </c>
      <c r="AZ209" s="280">
        <v>347683</v>
      </c>
      <c r="BA209" s="280">
        <v>326230</v>
      </c>
      <c r="BB209" s="280">
        <v>320630</v>
      </c>
      <c r="BC209" s="280">
        <v>310281</v>
      </c>
      <c r="BD209" s="280">
        <v>301744</v>
      </c>
      <c r="BE209" s="280">
        <v>302422</v>
      </c>
      <c r="BF209" s="280">
        <v>301478</v>
      </c>
      <c r="BG209" s="280">
        <v>312833</v>
      </c>
      <c r="BH209" s="280">
        <v>314766</v>
      </c>
      <c r="BI209" s="280">
        <v>312688</v>
      </c>
      <c r="BJ209" s="280">
        <v>310531</v>
      </c>
      <c r="BK209" s="280">
        <v>299927</v>
      </c>
      <c r="BL209" s="280">
        <v>292168</v>
      </c>
      <c r="BM209" s="280">
        <v>286861</v>
      </c>
      <c r="BN209" s="280">
        <v>278779</v>
      </c>
      <c r="BO209" s="280">
        <v>274368</v>
      </c>
      <c r="BP209" s="280">
        <v>263367</v>
      </c>
      <c r="BQ209" s="280">
        <v>256529</v>
      </c>
      <c r="BR209" s="280">
        <v>253303</v>
      </c>
      <c r="BS209" s="280">
        <v>245699</v>
      </c>
      <c r="BT209" s="280">
        <v>242957</v>
      </c>
      <c r="BU209" s="280">
        <v>236627</v>
      </c>
      <c r="BV209" s="280">
        <v>228661</v>
      </c>
      <c r="BW209" s="280">
        <v>228944</v>
      </c>
      <c r="BX209" s="280">
        <v>233732</v>
      </c>
      <c r="BY209" s="280">
        <v>195634</v>
      </c>
      <c r="BZ209" s="280">
        <v>184304</v>
      </c>
      <c r="CA209" s="280">
        <v>174099</v>
      </c>
      <c r="CB209" s="280">
        <v>155125</v>
      </c>
      <c r="CC209" s="280">
        <v>151487</v>
      </c>
      <c r="CD209" s="280">
        <v>139136</v>
      </c>
      <c r="CE209" s="280">
        <v>131249</v>
      </c>
      <c r="CF209" s="280">
        <v>122445</v>
      </c>
      <c r="CG209" s="280">
        <v>113569</v>
      </c>
      <c r="CH209" s="280">
        <v>106101</v>
      </c>
      <c r="CI209" s="280">
        <v>97648</v>
      </c>
      <c r="CJ209" s="280">
        <v>87298</v>
      </c>
      <c r="CK209" s="280">
        <v>80063</v>
      </c>
      <c r="CL209" s="280">
        <v>73415</v>
      </c>
      <c r="CM209" s="280">
        <v>67400</v>
      </c>
      <c r="CN209" s="280">
        <v>63009</v>
      </c>
      <c r="CO209" s="280">
        <v>56653</v>
      </c>
      <c r="CP209" s="280">
        <v>48199</v>
      </c>
      <c r="CQ209" s="280">
        <v>42088</v>
      </c>
      <c r="CR209" s="280">
        <v>35348</v>
      </c>
      <c r="CS209" s="280">
        <v>29532</v>
      </c>
      <c r="CT209" s="280">
        <v>23322</v>
      </c>
      <c r="CU209" s="280">
        <v>18232</v>
      </c>
      <c r="CV209" s="280">
        <v>13742</v>
      </c>
      <c r="CW209" s="280">
        <v>10319</v>
      </c>
      <c r="CX209" s="280">
        <v>7402</v>
      </c>
      <c r="CY209" s="280">
        <v>4824</v>
      </c>
      <c r="CZ209" s="280">
        <v>2735</v>
      </c>
      <c r="DA209" s="280">
        <v>4803</v>
      </c>
      <c r="DB209" s="276">
        <f t="shared" si="60"/>
        <v>25015825</v>
      </c>
      <c r="DC209" s="277">
        <f t="shared" si="61"/>
        <v>25.015825</v>
      </c>
      <c r="DD209" s="279">
        <f t="shared" si="62"/>
        <v>1.6871337031346561E-2</v>
      </c>
    </row>
    <row r="210" spans="1:108" x14ac:dyDescent="0.2">
      <c r="A210" s="273"/>
      <c r="B210" s="273"/>
      <c r="C210" s="273"/>
      <c r="D210" s="274">
        <v>2019</v>
      </c>
      <c r="E210" s="280">
        <v>329586</v>
      </c>
      <c r="F210" s="280">
        <v>324400</v>
      </c>
      <c r="G210" s="280">
        <v>311523</v>
      </c>
      <c r="H210" s="280">
        <v>328120</v>
      </c>
      <c r="I210" s="280">
        <v>322989</v>
      </c>
      <c r="J210" s="280">
        <v>322804</v>
      </c>
      <c r="K210" s="280">
        <v>327557</v>
      </c>
      <c r="L210" s="280">
        <v>324510</v>
      </c>
      <c r="M210" s="280">
        <v>323419</v>
      </c>
      <c r="N210" s="280">
        <v>324851</v>
      </c>
      <c r="O210" s="280">
        <v>320344</v>
      </c>
      <c r="P210" s="280">
        <v>320490</v>
      </c>
      <c r="Q210" s="280">
        <v>317233</v>
      </c>
      <c r="R210" s="280">
        <v>306240</v>
      </c>
      <c r="S210" s="280">
        <v>295000</v>
      </c>
      <c r="T210" s="280">
        <v>292367</v>
      </c>
      <c r="U210" s="280">
        <v>290850</v>
      </c>
      <c r="V210" s="280">
        <v>293663</v>
      </c>
      <c r="W210" s="280">
        <v>307026</v>
      </c>
      <c r="X210" s="280">
        <v>319778</v>
      </c>
      <c r="Y210" s="280">
        <v>330346</v>
      </c>
      <c r="Z210" s="280">
        <v>339032</v>
      </c>
      <c r="AA210" s="280">
        <v>348994</v>
      </c>
      <c r="AB210" s="280">
        <v>362875</v>
      </c>
      <c r="AC210" s="280">
        <v>378838</v>
      </c>
      <c r="AD210" s="280">
        <v>382152</v>
      </c>
      <c r="AE210" s="280">
        <v>380022</v>
      </c>
      <c r="AF210" s="280">
        <v>380506</v>
      </c>
      <c r="AG210" s="280">
        <v>386108</v>
      </c>
      <c r="AH210" s="280">
        <v>390427</v>
      </c>
      <c r="AI210" s="280">
        <v>383042</v>
      </c>
      <c r="AJ210" s="280">
        <v>381572</v>
      </c>
      <c r="AK210" s="280">
        <v>377375</v>
      </c>
      <c r="AL210" s="280">
        <v>380373</v>
      </c>
      <c r="AM210" s="280">
        <v>375851</v>
      </c>
      <c r="AN210" s="280">
        <v>373928</v>
      </c>
      <c r="AO210" s="280">
        <v>370069</v>
      </c>
      <c r="AP210" s="280">
        <v>358498</v>
      </c>
      <c r="AQ210" s="280">
        <v>349108</v>
      </c>
      <c r="AR210" s="280">
        <v>335383</v>
      </c>
      <c r="AS210" s="280">
        <v>325181</v>
      </c>
      <c r="AT210" s="280">
        <v>318960</v>
      </c>
      <c r="AU210" s="280">
        <v>316619</v>
      </c>
      <c r="AV210" s="280">
        <v>318723</v>
      </c>
      <c r="AW210" s="280">
        <v>319513</v>
      </c>
      <c r="AX210" s="280">
        <v>328175</v>
      </c>
      <c r="AY210" s="280">
        <v>333464</v>
      </c>
      <c r="AZ210" s="280">
        <v>344609</v>
      </c>
      <c r="BA210" s="280">
        <v>347802</v>
      </c>
      <c r="BB210" s="280">
        <v>326192</v>
      </c>
      <c r="BC210" s="280">
        <v>320450</v>
      </c>
      <c r="BD210" s="280">
        <v>309976</v>
      </c>
      <c r="BE210" s="280">
        <v>301394</v>
      </c>
      <c r="BF210" s="280">
        <v>301998</v>
      </c>
      <c r="BG210" s="280">
        <v>300956</v>
      </c>
      <c r="BH210" s="280">
        <v>312128</v>
      </c>
      <c r="BI210" s="280">
        <v>313905</v>
      </c>
      <c r="BJ210" s="280">
        <v>311803</v>
      </c>
      <c r="BK210" s="280">
        <v>309643</v>
      </c>
      <c r="BL210" s="280">
        <v>299045</v>
      </c>
      <c r="BM210" s="280">
        <v>291267</v>
      </c>
      <c r="BN210" s="280">
        <v>285924</v>
      </c>
      <c r="BO210" s="280">
        <v>277753</v>
      </c>
      <c r="BP210" s="280">
        <v>273205</v>
      </c>
      <c r="BQ210" s="280">
        <v>262114</v>
      </c>
      <c r="BR210" s="280">
        <v>255040</v>
      </c>
      <c r="BS210" s="280">
        <v>251569</v>
      </c>
      <c r="BT210" s="280">
        <v>243828</v>
      </c>
      <c r="BU210" s="280">
        <v>240870</v>
      </c>
      <c r="BV210" s="280">
        <v>234318</v>
      </c>
      <c r="BW210" s="280">
        <v>226142</v>
      </c>
      <c r="BX210" s="280">
        <v>226102</v>
      </c>
      <c r="BY210" s="280">
        <v>230456</v>
      </c>
      <c r="BZ210" s="280">
        <v>192571</v>
      </c>
      <c r="CA210" s="280">
        <v>181054</v>
      </c>
      <c r="CB210" s="280">
        <v>170651</v>
      </c>
      <c r="CC210" s="280">
        <v>151692</v>
      </c>
      <c r="CD210" s="280">
        <v>147704</v>
      </c>
      <c r="CE210" s="280">
        <v>135238</v>
      </c>
      <c r="CF210" s="280">
        <v>127102</v>
      </c>
      <c r="CG210" s="280">
        <v>118075</v>
      </c>
      <c r="CH210" s="280">
        <v>108981</v>
      </c>
      <c r="CI210" s="280">
        <v>101218</v>
      </c>
      <c r="CJ210" s="280">
        <v>92539</v>
      </c>
      <c r="CK210" s="280">
        <v>82089</v>
      </c>
      <c r="CL210" s="280">
        <v>74593</v>
      </c>
      <c r="CM210" s="280">
        <v>67725</v>
      </c>
      <c r="CN210" s="280">
        <v>61463</v>
      </c>
      <c r="CO210" s="280">
        <v>56711</v>
      </c>
      <c r="CP210" s="280">
        <v>50279</v>
      </c>
      <c r="CQ210" s="280">
        <v>42114</v>
      </c>
      <c r="CR210" s="280">
        <v>36154</v>
      </c>
      <c r="CS210" s="280">
        <v>29811</v>
      </c>
      <c r="CT210" s="280">
        <v>24376</v>
      </c>
      <c r="CU210" s="280">
        <v>18815</v>
      </c>
      <c r="CV210" s="280">
        <v>14356</v>
      </c>
      <c r="CW210" s="280">
        <v>10545</v>
      </c>
      <c r="CX210" s="280">
        <v>7702</v>
      </c>
      <c r="CY210" s="280">
        <v>5378</v>
      </c>
      <c r="CZ210" s="280">
        <v>3420</v>
      </c>
      <c r="DA210" s="280">
        <v>5375</v>
      </c>
      <c r="DB210" s="276">
        <f t="shared" si="60"/>
        <v>25444104</v>
      </c>
      <c r="DC210" s="277">
        <f t="shared" si="61"/>
        <v>25.444103999999999</v>
      </c>
      <c r="DD210" s="279">
        <f t="shared" si="62"/>
        <v>1.7120322835645033E-2</v>
      </c>
    </row>
    <row r="211" spans="1:108" x14ac:dyDescent="0.2">
      <c r="A211" s="273"/>
      <c r="B211" s="273"/>
      <c r="C211" s="273"/>
      <c r="D211" s="274">
        <v>2020</v>
      </c>
      <c r="E211" s="280">
        <v>336184</v>
      </c>
      <c r="F211" s="280">
        <v>331162</v>
      </c>
      <c r="G211" s="280">
        <v>327705</v>
      </c>
      <c r="H211" s="280">
        <v>315323</v>
      </c>
      <c r="I211" s="280">
        <v>332018</v>
      </c>
      <c r="J211" s="280">
        <v>326760</v>
      </c>
      <c r="K211" s="280">
        <v>326177</v>
      </c>
      <c r="L211" s="280">
        <v>330466</v>
      </c>
      <c r="M211" s="280">
        <v>327174</v>
      </c>
      <c r="N211" s="280">
        <v>326005</v>
      </c>
      <c r="O211" s="280">
        <v>327345</v>
      </c>
      <c r="P211" s="280">
        <v>322732</v>
      </c>
      <c r="Q211" s="280">
        <v>322852</v>
      </c>
      <c r="R211" s="280">
        <v>319601</v>
      </c>
      <c r="S211" s="280">
        <v>308908</v>
      </c>
      <c r="T211" s="280">
        <v>298562</v>
      </c>
      <c r="U211" s="280">
        <v>296798</v>
      </c>
      <c r="V211" s="280">
        <v>296870</v>
      </c>
      <c r="W211" s="280">
        <v>304324</v>
      </c>
      <c r="X211" s="280">
        <v>321985</v>
      </c>
      <c r="Y211" s="280">
        <v>334015</v>
      </c>
      <c r="Z211" s="280">
        <v>342508</v>
      </c>
      <c r="AA211" s="280">
        <v>353325</v>
      </c>
      <c r="AB211" s="280">
        <v>366058</v>
      </c>
      <c r="AC211" s="280">
        <v>377598</v>
      </c>
      <c r="AD211" s="280">
        <v>389703</v>
      </c>
      <c r="AE211" s="280">
        <v>391328</v>
      </c>
      <c r="AF211" s="280">
        <v>388404</v>
      </c>
      <c r="AG211" s="280">
        <v>388157</v>
      </c>
      <c r="AH211" s="280">
        <v>393117</v>
      </c>
      <c r="AI211" s="280">
        <v>396826</v>
      </c>
      <c r="AJ211" s="280">
        <v>388537</v>
      </c>
      <c r="AK211" s="280">
        <v>386396</v>
      </c>
      <c r="AL211" s="280">
        <v>382178</v>
      </c>
      <c r="AM211" s="280">
        <v>384955</v>
      </c>
      <c r="AN211" s="280">
        <v>379798</v>
      </c>
      <c r="AO211" s="280">
        <v>377369</v>
      </c>
      <c r="AP211" s="280">
        <v>373138</v>
      </c>
      <c r="AQ211" s="280">
        <v>361225</v>
      </c>
      <c r="AR211" s="280">
        <v>351592</v>
      </c>
      <c r="AS211" s="280">
        <v>337634</v>
      </c>
      <c r="AT211" s="280">
        <v>327109</v>
      </c>
      <c r="AU211" s="280">
        <v>320554</v>
      </c>
      <c r="AV211" s="280">
        <v>318003</v>
      </c>
      <c r="AW211" s="280">
        <v>319925</v>
      </c>
      <c r="AX211" s="280">
        <v>320448</v>
      </c>
      <c r="AY211" s="280">
        <v>328853</v>
      </c>
      <c r="AZ211" s="280">
        <v>333892</v>
      </c>
      <c r="BA211" s="280">
        <v>344732</v>
      </c>
      <c r="BB211" s="280">
        <v>347717</v>
      </c>
      <c r="BC211" s="280">
        <v>325994</v>
      </c>
      <c r="BD211" s="280">
        <v>320118</v>
      </c>
      <c r="BE211" s="280">
        <v>309606</v>
      </c>
      <c r="BF211" s="280">
        <v>300973</v>
      </c>
      <c r="BG211" s="280">
        <v>301477</v>
      </c>
      <c r="BH211" s="280">
        <v>300294</v>
      </c>
      <c r="BI211" s="280">
        <v>311280</v>
      </c>
      <c r="BJ211" s="280">
        <v>313017</v>
      </c>
      <c r="BK211" s="280">
        <v>310907</v>
      </c>
      <c r="BL211" s="280">
        <v>308721</v>
      </c>
      <c r="BM211" s="280">
        <v>298116</v>
      </c>
      <c r="BN211" s="280">
        <v>290314</v>
      </c>
      <c r="BO211" s="280">
        <v>284866</v>
      </c>
      <c r="BP211" s="280">
        <v>276581</v>
      </c>
      <c r="BQ211" s="280">
        <v>271896</v>
      </c>
      <c r="BR211" s="280">
        <v>260599</v>
      </c>
      <c r="BS211" s="280">
        <v>253312</v>
      </c>
      <c r="BT211" s="280">
        <v>249672</v>
      </c>
      <c r="BU211" s="280">
        <v>241759</v>
      </c>
      <c r="BV211" s="280">
        <v>238543</v>
      </c>
      <c r="BW211" s="280">
        <v>231770</v>
      </c>
      <c r="BX211" s="280">
        <v>223376</v>
      </c>
      <c r="BY211" s="280">
        <v>222978</v>
      </c>
      <c r="BZ211" s="280">
        <v>226877</v>
      </c>
      <c r="CA211" s="280">
        <v>189208</v>
      </c>
      <c r="CB211" s="280">
        <v>177510</v>
      </c>
      <c r="CC211" s="280">
        <v>166910</v>
      </c>
      <c r="CD211" s="280">
        <v>147949</v>
      </c>
      <c r="CE211" s="280">
        <v>143603</v>
      </c>
      <c r="CF211" s="280">
        <v>131008</v>
      </c>
      <c r="CG211" s="280">
        <v>122605</v>
      </c>
      <c r="CH211" s="280">
        <v>113346</v>
      </c>
      <c r="CI211" s="280">
        <v>104011</v>
      </c>
      <c r="CJ211" s="280">
        <v>95961</v>
      </c>
      <c r="CK211" s="280">
        <v>87050</v>
      </c>
      <c r="CL211" s="280">
        <v>76520</v>
      </c>
      <c r="CM211" s="280">
        <v>68839</v>
      </c>
      <c r="CN211" s="280">
        <v>61795</v>
      </c>
      <c r="CO211" s="280">
        <v>55341</v>
      </c>
      <c r="CP211" s="280">
        <v>50366</v>
      </c>
      <c r="CQ211" s="280">
        <v>43961</v>
      </c>
      <c r="CR211" s="280">
        <v>36204</v>
      </c>
      <c r="CS211" s="280">
        <v>30506</v>
      </c>
      <c r="CT211" s="280">
        <v>24626</v>
      </c>
      <c r="CU211" s="280">
        <v>19674</v>
      </c>
      <c r="CV211" s="280">
        <v>14823</v>
      </c>
      <c r="CW211" s="280">
        <v>11017</v>
      </c>
      <c r="CX211" s="280">
        <v>7873</v>
      </c>
      <c r="CY211" s="280">
        <v>5596</v>
      </c>
      <c r="CZ211" s="280">
        <v>3819</v>
      </c>
      <c r="DA211" s="280">
        <v>6268</v>
      </c>
      <c r="DB211" s="276">
        <f t="shared" si="60"/>
        <v>25873480</v>
      </c>
      <c r="DC211" s="277">
        <f t="shared" si="61"/>
        <v>25.873480000000001</v>
      </c>
      <c r="DD211" s="279">
        <f t="shared" si="62"/>
        <v>1.687526509088319E-2</v>
      </c>
    </row>
    <row r="212" spans="1:108" x14ac:dyDescent="0.2">
      <c r="A212" s="273"/>
      <c r="B212" s="273"/>
      <c r="C212" s="273"/>
      <c r="D212" s="274">
        <v>2021</v>
      </c>
      <c r="E212" s="280">
        <v>342397</v>
      </c>
      <c r="F212" s="280">
        <v>337730</v>
      </c>
      <c r="G212" s="280">
        <v>334402</v>
      </c>
      <c r="H212" s="280">
        <v>331432</v>
      </c>
      <c r="I212" s="280">
        <v>319150</v>
      </c>
      <c r="J212" s="280">
        <v>335716</v>
      </c>
      <c r="K212" s="280">
        <v>330069</v>
      </c>
      <c r="L212" s="280">
        <v>329031</v>
      </c>
      <c r="M212" s="280">
        <v>333081</v>
      </c>
      <c r="N212" s="280">
        <v>329713</v>
      </c>
      <c r="O212" s="280">
        <v>328454</v>
      </c>
      <c r="P212" s="280">
        <v>329687</v>
      </c>
      <c r="Q212" s="280">
        <v>325051</v>
      </c>
      <c r="R212" s="280">
        <v>325174</v>
      </c>
      <c r="S212" s="280">
        <v>322217</v>
      </c>
      <c r="T212" s="280">
        <v>312403</v>
      </c>
      <c r="U212" s="280">
        <v>302911</v>
      </c>
      <c r="V212" s="280">
        <v>302703</v>
      </c>
      <c r="W212" s="280">
        <v>307331</v>
      </c>
      <c r="X212" s="280">
        <v>319002</v>
      </c>
      <c r="Y212" s="280">
        <v>335954</v>
      </c>
      <c r="Z212" s="280">
        <v>345950</v>
      </c>
      <c r="AA212" s="280">
        <v>356532</v>
      </c>
      <c r="AB212" s="280">
        <v>370069</v>
      </c>
      <c r="AC212" s="280">
        <v>380503</v>
      </c>
      <c r="AD212" s="280">
        <v>388264</v>
      </c>
      <c r="AE212" s="280">
        <v>398705</v>
      </c>
      <c r="AF212" s="280">
        <v>399552</v>
      </c>
      <c r="AG212" s="280">
        <v>395909</v>
      </c>
      <c r="AH212" s="280">
        <v>395032</v>
      </c>
      <c r="AI212" s="280">
        <v>399391</v>
      </c>
      <c r="AJ212" s="280">
        <v>402207</v>
      </c>
      <c r="AK212" s="280">
        <v>393264</v>
      </c>
      <c r="AL212" s="280">
        <v>391103</v>
      </c>
      <c r="AM212" s="280">
        <v>386673</v>
      </c>
      <c r="AN212" s="280">
        <v>388817</v>
      </c>
      <c r="AO212" s="280">
        <v>383169</v>
      </c>
      <c r="AP212" s="280">
        <v>380368</v>
      </c>
      <c r="AQ212" s="280">
        <v>375797</v>
      </c>
      <c r="AR212" s="280">
        <v>363650</v>
      </c>
      <c r="AS212" s="280">
        <v>353780</v>
      </c>
      <c r="AT212" s="280">
        <v>339508</v>
      </c>
      <c r="AU212" s="280">
        <v>328658</v>
      </c>
      <c r="AV212" s="280">
        <v>321898</v>
      </c>
      <c r="AW212" s="280">
        <v>319178</v>
      </c>
      <c r="AX212" s="280">
        <v>320837</v>
      </c>
      <c r="AY212" s="280">
        <v>321118</v>
      </c>
      <c r="AZ212" s="280">
        <v>329271</v>
      </c>
      <c r="BA212" s="280">
        <v>334022</v>
      </c>
      <c r="BB212" s="280">
        <v>344643</v>
      </c>
      <c r="BC212" s="280">
        <v>347464</v>
      </c>
      <c r="BD212" s="280">
        <v>325641</v>
      </c>
      <c r="BE212" s="280">
        <v>319717</v>
      </c>
      <c r="BF212" s="280">
        <v>309159</v>
      </c>
      <c r="BG212" s="280">
        <v>300454</v>
      </c>
      <c r="BH212" s="280">
        <v>300814</v>
      </c>
      <c r="BI212" s="280">
        <v>299489</v>
      </c>
      <c r="BJ212" s="280">
        <v>310407</v>
      </c>
      <c r="BK212" s="280">
        <v>312122</v>
      </c>
      <c r="BL212" s="280">
        <v>309979</v>
      </c>
      <c r="BM212" s="280">
        <v>307746</v>
      </c>
      <c r="BN212" s="280">
        <v>297131</v>
      </c>
      <c r="BO212" s="280">
        <v>289239</v>
      </c>
      <c r="BP212" s="280">
        <v>283663</v>
      </c>
      <c r="BQ212" s="280">
        <v>275268</v>
      </c>
      <c r="BR212" s="280">
        <v>270329</v>
      </c>
      <c r="BS212" s="280">
        <v>258853</v>
      </c>
      <c r="BT212" s="280">
        <v>251431</v>
      </c>
      <c r="BU212" s="280">
        <v>247586</v>
      </c>
      <c r="BV212" s="280">
        <v>239468</v>
      </c>
      <c r="BW212" s="280">
        <v>235994</v>
      </c>
      <c r="BX212" s="280">
        <v>228988</v>
      </c>
      <c r="BY212" s="280">
        <v>220354</v>
      </c>
      <c r="BZ212" s="280">
        <v>219585</v>
      </c>
      <c r="CA212" s="280">
        <v>222983</v>
      </c>
      <c r="CB212" s="280">
        <v>185569</v>
      </c>
      <c r="CC212" s="280">
        <v>173687</v>
      </c>
      <c r="CD212" s="280">
        <v>162857</v>
      </c>
      <c r="CE212" s="280">
        <v>143913</v>
      </c>
      <c r="CF212" s="280">
        <v>139176</v>
      </c>
      <c r="CG212" s="280">
        <v>126441</v>
      </c>
      <c r="CH212" s="280">
        <v>117758</v>
      </c>
      <c r="CI212" s="280">
        <v>108241</v>
      </c>
      <c r="CJ212" s="280">
        <v>98677</v>
      </c>
      <c r="CK212" s="280">
        <v>90333</v>
      </c>
      <c r="CL212" s="280">
        <v>81202</v>
      </c>
      <c r="CM212" s="280">
        <v>70675</v>
      </c>
      <c r="CN212" s="280">
        <v>62857</v>
      </c>
      <c r="CO212" s="280">
        <v>55695</v>
      </c>
      <c r="CP212" s="280">
        <v>49190</v>
      </c>
      <c r="CQ212" s="280">
        <v>44089</v>
      </c>
      <c r="CR212" s="280">
        <v>37837</v>
      </c>
      <c r="CS212" s="280">
        <v>30588</v>
      </c>
      <c r="CT212" s="280">
        <v>25226</v>
      </c>
      <c r="CU212" s="280">
        <v>19898</v>
      </c>
      <c r="CV212" s="280">
        <v>15508</v>
      </c>
      <c r="CW212" s="280">
        <v>11380</v>
      </c>
      <c r="CX212" s="280">
        <v>8228</v>
      </c>
      <c r="CY212" s="280">
        <v>5723</v>
      </c>
      <c r="CZ212" s="280">
        <v>3981</v>
      </c>
      <c r="DA212" s="280">
        <v>7205</v>
      </c>
      <c r="DB212" s="276">
        <f t="shared" si="60"/>
        <v>26301274</v>
      </c>
      <c r="DC212" s="277">
        <f t="shared" si="61"/>
        <v>26.301273999999999</v>
      </c>
      <c r="DD212" s="279">
        <f t="shared" si="62"/>
        <v>1.6534072726204541E-2</v>
      </c>
    </row>
    <row r="213" spans="1:108" x14ac:dyDescent="0.2">
      <c r="A213" s="273"/>
      <c r="B213" s="273"/>
      <c r="C213" s="273"/>
      <c r="D213" s="274">
        <v>2022</v>
      </c>
      <c r="E213" s="280">
        <v>348159</v>
      </c>
      <c r="F213" s="280">
        <v>343917</v>
      </c>
      <c r="G213" s="280">
        <v>340920</v>
      </c>
      <c r="H213" s="280">
        <v>338072</v>
      </c>
      <c r="I213" s="280">
        <v>335198</v>
      </c>
      <c r="J213" s="280">
        <v>322793</v>
      </c>
      <c r="K213" s="280">
        <v>338975</v>
      </c>
      <c r="L213" s="280">
        <v>332879</v>
      </c>
      <c r="M213" s="280">
        <v>331606</v>
      </c>
      <c r="N213" s="280">
        <v>335581</v>
      </c>
      <c r="O213" s="280">
        <v>332124</v>
      </c>
      <c r="P213" s="280">
        <v>330761</v>
      </c>
      <c r="Q213" s="280">
        <v>331970</v>
      </c>
      <c r="R213" s="280">
        <v>327337</v>
      </c>
      <c r="S213" s="280">
        <v>327747</v>
      </c>
      <c r="T213" s="280">
        <v>325660</v>
      </c>
      <c r="U213" s="280">
        <v>316684</v>
      </c>
      <c r="V213" s="280">
        <v>308725</v>
      </c>
      <c r="W213" s="280">
        <v>313004</v>
      </c>
      <c r="X213" s="280">
        <v>321784</v>
      </c>
      <c r="Y213" s="280">
        <v>332760</v>
      </c>
      <c r="Z213" s="280">
        <v>347704</v>
      </c>
      <c r="AA213" s="280">
        <v>359757</v>
      </c>
      <c r="AB213" s="280">
        <v>373023</v>
      </c>
      <c r="AC213" s="280">
        <v>384295</v>
      </c>
      <c r="AD213" s="280">
        <v>391004</v>
      </c>
      <c r="AE213" s="280">
        <v>397128</v>
      </c>
      <c r="AF213" s="280">
        <v>406797</v>
      </c>
      <c r="AG213" s="280">
        <v>406939</v>
      </c>
      <c r="AH213" s="280">
        <v>402672</v>
      </c>
      <c r="AI213" s="280">
        <v>401211</v>
      </c>
      <c r="AJ213" s="280">
        <v>404691</v>
      </c>
      <c r="AK213" s="280">
        <v>406853</v>
      </c>
      <c r="AL213" s="280">
        <v>397893</v>
      </c>
      <c r="AM213" s="280">
        <v>395519</v>
      </c>
      <c r="AN213" s="280">
        <v>390475</v>
      </c>
      <c r="AO213" s="280">
        <v>392123</v>
      </c>
      <c r="AP213" s="280">
        <v>386114</v>
      </c>
      <c r="AQ213" s="280">
        <v>382978</v>
      </c>
      <c r="AR213" s="280">
        <v>378165</v>
      </c>
      <c r="AS213" s="280">
        <v>365786</v>
      </c>
      <c r="AT213" s="280">
        <v>355599</v>
      </c>
      <c r="AU213" s="280">
        <v>341014</v>
      </c>
      <c r="AV213" s="280">
        <v>329965</v>
      </c>
      <c r="AW213" s="280">
        <v>323044</v>
      </c>
      <c r="AX213" s="280">
        <v>320070</v>
      </c>
      <c r="AY213" s="280">
        <v>321490</v>
      </c>
      <c r="AZ213" s="280">
        <v>321536</v>
      </c>
      <c r="BA213" s="280">
        <v>329399</v>
      </c>
      <c r="BB213" s="280">
        <v>333947</v>
      </c>
      <c r="BC213" s="280">
        <v>344387</v>
      </c>
      <c r="BD213" s="280">
        <v>347056</v>
      </c>
      <c r="BE213" s="280">
        <v>325218</v>
      </c>
      <c r="BF213" s="280">
        <v>319236</v>
      </c>
      <c r="BG213" s="280">
        <v>308610</v>
      </c>
      <c r="BH213" s="280">
        <v>299794</v>
      </c>
      <c r="BI213" s="280">
        <v>300008</v>
      </c>
      <c r="BJ213" s="280">
        <v>298659</v>
      </c>
      <c r="BK213" s="280">
        <v>309519</v>
      </c>
      <c r="BL213" s="280">
        <v>311187</v>
      </c>
      <c r="BM213" s="280">
        <v>308996</v>
      </c>
      <c r="BN213" s="280">
        <v>306708</v>
      </c>
      <c r="BO213" s="280">
        <v>296018</v>
      </c>
      <c r="BP213" s="280">
        <v>288011</v>
      </c>
      <c r="BQ213" s="280">
        <v>282308</v>
      </c>
      <c r="BR213" s="280">
        <v>273687</v>
      </c>
      <c r="BS213" s="280">
        <v>268519</v>
      </c>
      <c r="BT213" s="280">
        <v>256942</v>
      </c>
      <c r="BU213" s="280">
        <v>249350</v>
      </c>
      <c r="BV213" s="280">
        <v>245260</v>
      </c>
      <c r="BW213" s="280">
        <v>236934</v>
      </c>
      <c r="BX213" s="280">
        <v>233189</v>
      </c>
      <c r="BY213" s="280">
        <v>225922</v>
      </c>
      <c r="BZ213" s="280">
        <v>217039</v>
      </c>
      <c r="CA213" s="280">
        <v>215855</v>
      </c>
      <c r="CB213" s="280">
        <v>218728</v>
      </c>
      <c r="CC213" s="280">
        <v>181606</v>
      </c>
      <c r="CD213" s="280">
        <v>169509</v>
      </c>
      <c r="CE213" s="280">
        <v>158451</v>
      </c>
      <c r="CF213" s="280">
        <v>139517</v>
      </c>
      <c r="CG213" s="280">
        <v>134357</v>
      </c>
      <c r="CH213" s="280">
        <v>121479</v>
      </c>
      <c r="CI213" s="280">
        <v>112488</v>
      </c>
      <c r="CJ213" s="280">
        <v>102722</v>
      </c>
      <c r="CK213" s="280">
        <v>92925</v>
      </c>
      <c r="CL213" s="280">
        <v>84294</v>
      </c>
      <c r="CM213" s="280">
        <v>75027</v>
      </c>
      <c r="CN213" s="280">
        <v>64566</v>
      </c>
      <c r="CO213" s="280">
        <v>56672</v>
      </c>
      <c r="CP213" s="280">
        <v>49533</v>
      </c>
      <c r="CQ213" s="280">
        <v>43079</v>
      </c>
      <c r="CR213" s="280">
        <v>37975</v>
      </c>
      <c r="CS213" s="280">
        <v>31985</v>
      </c>
      <c r="CT213" s="280">
        <v>25309</v>
      </c>
      <c r="CU213" s="280">
        <v>20391</v>
      </c>
      <c r="CV213" s="280">
        <v>15691</v>
      </c>
      <c r="CW213" s="280">
        <v>11907</v>
      </c>
      <c r="CX213" s="280">
        <v>8500</v>
      </c>
      <c r="CY213" s="280">
        <v>5981</v>
      </c>
      <c r="CZ213" s="280">
        <v>4072</v>
      </c>
      <c r="DA213" s="280">
        <v>8002</v>
      </c>
      <c r="DB213" s="276">
        <f t="shared" si="60"/>
        <v>26727025</v>
      </c>
      <c r="DC213" s="277">
        <f t="shared" si="61"/>
        <v>26.727025000000001</v>
      </c>
      <c r="DD213" s="279">
        <f t="shared" si="62"/>
        <v>1.618746681244421E-2</v>
      </c>
    </row>
    <row r="214" spans="1:108" x14ac:dyDescent="0.2">
      <c r="A214" s="273"/>
      <c r="B214" s="273"/>
      <c r="C214" s="273"/>
      <c r="D214" s="274">
        <v>2023</v>
      </c>
      <c r="E214" s="280">
        <v>353462</v>
      </c>
      <c r="F214" s="280">
        <v>349634</v>
      </c>
      <c r="G214" s="280">
        <v>347021</v>
      </c>
      <c r="H214" s="280">
        <v>344488</v>
      </c>
      <c r="I214" s="280">
        <v>341737</v>
      </c>
      <c r="J214" s="280">
        <v>338740</v>
      </c>
      <c r="K214" s="280">
        <v>325964</v>
      </c>
      <c r="L214" s="280">
        <v>341707</v>
      </c>
      <c r="M214" s="280">
        <v>335383</v>
      </c>
      <c r="N214" s="280">
        <v>334038</v>
      </c>
      <c r="O214" s="280">
        <v>337926</v>
      </c>
      <c r="P214" s="280">
        <v>334367</v>
      </c>
      <c r="Q214" s="280">
        <v>332981</v>
      </c>
      <c r="R214" s="280">
        <v>334192</v>
      </c>
      <c r="S214" s="280">
        <v>329839</v>
      </c>
      <c r="T214" s="280">
        <v>331094</v>
      </c>
      <c r="U214" s="280">
        <v>329821</v>
      </c>
      <c r="V214" s="280">
        <v>322334</v>
      </c>
      <c r="W214" s="280">
        <v>318743</v>
      </c>
      <c r="X214" s="280">
        <v>327062</v>
      </c>
      <c r="Y214" s="280">
        <v>335167</v>
      </c>
      <c r="Z214" s="280">
        <v>344193</v>
      </c>
      <c r="AA214" s="280">
        <v>361134</v>
      </c>
      <c r="AB214" s="280">
        <v>375797</v>
      </c>
      <c r="AC214" s="280">
        <v>386858</v>
      </c>
      <c r="AD214" s="280">
        <v>394507</v>
      </c>
      <c r="AE214" s="280">
        <v>399626</v>
      </c>
      <c r="AF214" s="280">
        <v>405001</v>
      </c>
      <c r="AG214" s="280">
        <v>413977</v>
      </c>
      <c r="AH214" s="280">
        <v>413511</v>
      </c>
      <c r="AI214" s="280">
        <v>408674</v>
      </c>
      <c r="AJ214" s="280">
        <v>406364</v>
      </c>
      <c r="AK214" s="280">
        <v>409207</v>
      </c>
      <c r="AL214" s="280">
        <v>411342</v>
      </c>
      <c r="AM214" s="280">
        <v>402181</v>
      </c>
      <c r="AN214" s="280">
        <v>399204</v>
      </c>
      <c r="AO214" s="280">
        <v>393685</v>
      </c>
      <c r="AP214" s="280">
        <v>394973</v>
      </c>
      <c r="AQ214" s="280">
        <v>388640</v>
      </c>
      <c r="AR214" s="280">
        <v>385268</v>
      </c>
      <c r="AS214" s="280">
        <v>380219</v>
      </c>
      <c r="AT214" s="280">
        <v>367536</v>
      </c>
      <c r="AU214" s="280">
        <v>357035</v>
      </c>
      <c r="AV214" s="280">
        <v>342257</v>
      </c>
      <c r="AW214" s="280">
        <v>331054</v>
      </c>
      <c r="AX214" s="280">
        <v>323896</v>
      </c>
      <c r="AY214" s="280">
        <v>320693</v>
      </c>
      <c r="AZ214" s="280">
        <v>321881</v>
      </c>
      <c r="BA214" s="280">
        <v>321657</v>
      </c>
      <c r="BB214" s="280">
        <v>329321</v>
      </c>
      <c r="BC214" s="280">
        <v>333704</v>
      </c>
      <c r="BD214" s="280">
        <v>343974</v>
      </c>
      <c r="BE214" s="280">
        <v>346567</v>
      </c>
      <c r="BF214" s="280">
        <v>324713</v>
      </c>
      <c r="BG214" s="280">
        <v>318647</v>
      </c>
      <c r="BH214" s="280">
        <v>307915</v>
      </c>
      <c r="BI214" s="280">
        <v>298986</v>
      </c>
      <c r="BJ214" s="280">
        <v>299172</v>
      </c>
      <c r="BK214" s="280">
        <v>297815</v>
      </c>
      <c r="BL214" s="280">
        <v>308592</v>
      </c>
      <c r="BM214" s="280">
        <v>310192</v>
      </c>
      <c r="BN214" s="280">
        <v>307945</v>
      </c>
      <c r="BO214" s="280">
        <v>305536</v>
      </c>
      <c r="BP214" s="280">
        <v>294745</v>
      </c>
      <c r="BQ214" s="280">
        <v>286628</v>
      </c>
      <c r="BR214" s="280">
        <v>280684</v>
      </c>
      <c r="BS214" s="280">
        <v>271862</v>
      </c>
      <c r="BT214" s="280">
        <v>266534</v>
      </c>
      <c r="BU214" s="280">
        <v>254824</v>
      </c>
      <c r="BV214" s="280">
        <v>247028</v>
      </c>
      <c r="BW214" s="280">
        <v>242686</v>
      </c>
      <c r="BX214" s="280">
        <v>234144</v>
      </c>
      <c r="BY214" s="280">
        <v>230096</v>
      </c>
      <c r="BZ214" s="280">
        <v>222561</v>
      </c>
      <c r="CA214" s="280">
        <v>213396</v>
      </c>
      <c r="CB214" s="280">
        <v>211779</v>
      </c>
      <c r="CC214" s="280">
        <v>214094</v>
      </c>
      <c r="CD214" s="280">
        <v>177276</v>
      </c>
      <c r="CE214" s="280">
        <v>164962</v>
      </c>
      <c r="CF214" s="280">
        <v>153649</v>
      </c>
      <c r="CG214" s="280">
        <v>134729</v>
      </c>
      <c r="CH214" s="280">
        <v>129117</v>
      </c>
      <c r="CI214" s="280">
        <v>116080</v>
      </c>
      <c r="CJ214" s="280">
        <v>106786</v>
      </c>
      <c r="CK214" s="280">
        <v>96767</v>
      </c>
      <c r="CL214" s="280">
        <v>86751</v>
      </c>
      <c r="CM214" s="280">
        <v>77913</v>
      </c>
      <c r="CN214" s="280">
        <v>68570</v>
      </c>
      <c r="CO214" s="280">
        <v>58246</v>
      </c>
      <c r="CP214" s="280">
        <v>50423</v>
      </c>
      <c r="CQ214" s="280">
        <v>43409</v>
      </c>
      <c r="CR214" s="280">
        <v>37124</v>
      </c>
      <c r="CS214" s="280">
        <v>32127</v>
      </c>
      <c r="CT214" s="280">
        <v>26481</v>
      </c>
      <c r="CU214" s="280">
        <v>20467</v>
      </c>
      <c r="CV214" s="280">
        <v>16083</v>
      </c>
      <c r="CW214" s="280">
        <v>12052</v>
      </c>
      <c r="CX214" s="280">
        <v>8894</v>
      </c>
      <c r="CY214" s="280">
        <v>6179</v>
      </c>
      <c r="CZ214" s="280">
        <v>4256</v>
      </c>
      <c r="DA214" s="280">
        <v>8648</v>
      </c>
      <c r="DB214" s="276">
        <f t="shared" si="60"/>
        <v>27147199</v>
      </c>
      <c r="DC214" s="277">
        <f t="shared" si="61"/>
        <v>27.147199000000001</v>
      </c>
      <c r="DD214" s="279">
        <f t="shared" si="62"/>
        <v>1.5720941631176658E-2</v>
      </c>
    </row>
    <row r="215" spans="1:108" x14ac:dyDescent="0.2">
      <c r="A215" s="273"/>
      <c r="B215" s="273"/>
      <c r="C215" s="273"/>
      <c r="D215" s="274">
        <v>2024</v>
      </c>
      <c r="E215" s="280">
        <v>358304</v>
      </c>
      <c r="F215" s="280">
        <v>354897</v>
      </c>
      <c r="G215" s="280">
        <v>352663</v>
      </c>
      <c r="H215" s="280">
        <v>350502</v>
      </c>
      <c r="I215" s="280">
        <v>348064</v>
      </c>
      <c r="J215" s="280">
        <v>345193</v>
      </c>
      <c r="K215" s="280">
        <v>341835</v>
      </c>
      <c r="L215" s="280">
        <v>328632</v>
      </c>
      <c r="M215" s="280">
        <v>344150</v>
      </c>
      <c r="N215" s="280">
        <v>337754</v>
      </c>
      <c r="O215" s="280">
        <v>336326</v>
      </c>
      <c r="P215" s="280">
        <v>340114</v>
      </c>
      <c r="Q215" s="280">
        <v>336533</v>
      </c>
      <c r="R215" s="280">
        <v>335152</v>
      </c>
      <c r="S215" s="280">
        <v>336635</v>
      </c>
      <c r="T215" s="280">
        <v>333103</v>
      </c>
      <c r="U215" s="280">
        <v>335153</v>
      </c>
      <c r="V215" s="280">
        <v>335333</v>
      </c>
      <c r="W215" s="280">
        <v>332107</v>
      </c>
      <c r="X215" s="280">
        <v>332462</v>
      </c>
      <c r="Y215" s="280">
        <v>340122</v>
      </c>
      <c r="Z215" s="280">
        <v>346326</v>
      </c>
      <c r="AA215" s="280">
        <v>357304</v>
      </c>
      <c r="AB215" s="280">
        <v>376789</v>
      </c>
      <c r="AC215" s="280">
        <v>389300</v>
      </c>
      <c r="AD215" s="280">
        <v>396824</v>
      </c>
      <c r="AE215" s="280">
        <v>402922</v>
      </c>
      <c r="AF215" s="280">
        <v>407306</v>
      </c>
      <c r="AG215" s="280">
        <v>412009</v>
      </c>
      <c r="AH215" s="280">
        <v>420387</v>
      </c>
      <c r="AI215" s="280">
        <v>419362</v>
      </c>
      <c r="AJ215" s="280">
        <v>413697</v>
      </c>
      <c r="AK215" s="280">
        <v>410765</v>
      </c>
      <c r="AL215" s="280">
        <v>413585</v>
      </c>
      <c r="AM215" s="280">
        <v>415511</v>
      </c>
      <c r="AN215" s="280">
        <v>405768</v>
      </c>
      <c r="AO215" s="280">
        <v>402327</v>
      </c>
      <c r="AP215" s="280">
        <v>396458</v>
      </c>
      <c r="AQ215" s="280">
        <v>397421</v>
      </c>
      <c r="AR215" s="280">
        <v>390863</v>
      </c>
      <c r="AS215" s="280">
        <v>387257</v>
      </c>
      <c r="AT215" s="280">
        <v>381902</v>
      </c>
      <c r="AU215" s="280">
        <v>368912</v>
      </c>
      <c r="AV215" s="280">
        <v>358222</v>
      </c>
      <c r="AW215" s="280">
        <v>343293</v>
      </c>
      <c r="AX215" s="280">
        <v>331860</v>
      </c>
      <c r="AY215" s="280">
        <v>324486</v>
      </c>
      <c r="AZ215" s="280">
        <v>321064</v>
      </c>
      <c r="BA215" s="280">
        <v>321985</v>
      </c>
      <c r="BB215" s="280">
        <v>321580</v>
      </c>
      <c r="BC215" s="280">
        <v>329075</v>
      </c>
      <c r="BD215" s="280">
        <v>333310</v>
      </c>
      <c r="BE215" s="280">
        <v>343487</v>
      </c>
      <c r="BF215" s="280">
        <v>345992</v>
      </c>
      <c r="BG215" s="280">
        <v>324101</v>
      </c>
      <c r="BH215" s="280">
        <v>317916</v>
      </c>
      <c r="BI215" s="280">
        <v>307076</v>
      </c>
      <c r="BJ215" s="280">
        <v>298152</v>
      </c>
      <c r="BK215" s="280">
        <v>298320</v>
      </c>
      <c r="BL215" s="280">
        <v>296934</v>
      </c>
      <c r="BM215" s="280">
        <v>307605</v>
      </c>
      <c r="BN215" s="280">
        <v>309131</v>
      </c>
      <c r="BO215" s="280">
        <v>306760</v>
      </c>
      <c r="BP215" s="280">
        <v>304205</v>
      </c>
      <c r="BQ215" s="280">
        <v>293319</v>
      </c>
      <c r="BR215" s="280">
        <v>284981</v>
      </c>
      <c r="BS215" s="280">
        <v>278819</v>
      </c>
      <c r="BT215" s="280">
        <v>269866</v>
      </c>
      <c r="BU215" s="280">
        <v>264344</v>
      </c>
      <c r="BV215" s="280">
        <v>252466</v>
      </c>
      <c r="BW215" s="280">
        <v>244463</v>
      </c>
      <c r="BX215" s="280">
        <v>239854</v>
      </c>
      <c r="BY215" s="280">
        <v>231072</v>
      </c>
      <c r="BZ215" s="280">
        <v>226704</v>
      </c>
      <c r="CA215" s="280">
        <v>218867</v>
      </c>
      <c r="CB215" s="280">
        <v>209412</v>
      </c>
      <c r="CC215" s="280">
        <v>207340</v>
      </c>
      <c r="CD215" s="280">
        <v>209033</v>
      </c>
      <c r="CE215" s="280">
        <v>172559</v>
      </c>
      <c r="CF215" s="280">
        <v>160006</v>
      </c>
      <c r="CG215" s="280">
        <v>148417</v>
      </c>
      <c r="CH215" s="280">
        <v>129519</v>
      </c>
      <c r="CI215" s="280">
        <v>123412</v>
      </c>
      <c r="CJ215" s="280">
        <v>110233</v>
      </c>
      <c r="CK215" s="280">
        <v>100630</v>
      </c>
      <c r="CL215" s="280">
        <v>90371</v>
      </c>
      <c r="CM215" s="280">
        <v>80220</v>
      </c>
      <c r="CN215" s="280">
        <v>71235</v>
      </c>
      <c r="CO215" s="280">
        <v>61887</v>
      </c>
      <c r="CP215" s="280">
        <v>51854</v>
      </c>
      <c r="CQ215" s="280">
        <v>44209</v>
      </c>
      <c r="CR215" s="280">
        <v>37436</v>
      </c>
      <c r="CS215" s="280">
        <v>31424</v>
      </c>
      <c r="CT215" s="280">
        <v>26616</v>
      </c>
      <c r="CU215" s="280">
        <v>21427</v>
      </c>
      <c r="CV215" s="280">
        <v>16149</v>
      </c>
      <c r="CW215" s="280">
        <v>12353</v>
      </c>
      <c r="CX215" s="280">
        <v>9004</v>
      </c>
      <c r="CY215" s="280">
        <v>6467</v>
      </c>
      <c r="CZ215" s="280">
        <v>4396</v>
      </c>
      <c r="DA215" s="280">
        <v>9248</v>
      </c>
      <c r="DB215" s="276">
        <f t="shared" si="60"/>
        <v>27562195</v>
      </c>
      <c r="DC215" s="277">
        <f t="shared" si="61"/>
        <v>27.562194999999999</v>
      </c>
      <c r="DD215" s="279">
        <f t="shared" si="62"/>
        <v>1.5286880978033815E-2</v>
      </c>
    </row>
    <row r="216" spans="1:108" x14ac:dyDescent="0.2">
      <c r="A216" s="273"/>
      <c r="B216" s="273"/>
      <c r="C216" s="273"/>
      <c r="D216" s="274">
        <v>2025</v>
      </c>
      <c r="E216" s="280">
        <v>362706</v>
      </c>
      <c r="F216" s="280">
        <v>359694</v>
      </c>
      <c r="G216" s="280">
        <v>357841</v>
      </c>
      <c r="H216" s="280">
        <v>356044</v>
      </c>
      <c r="I216" s="280">
        <v>353975</v>
      </c>
      <c r="J216" s="280">
        <v>351421</v>
      </c>
      <c r="K216" s="280">
        <v>348199</v>
      </c>
      <c r="L216" s="280">
        <v>344425</v>
      </c>
      <c r="M216" s="280">
        <v>331006</v>
      </c>
      <c r="N216" s="280">
        <v>346453</v>
      </c>
      <c r="O216" s="280">
        <v>339976</v>
      </c>
      <c r="P216" s="280">
        <v>338451</v>
      </c>
      <c r="Q216" s="280">
        <v>342218</v>
      </c>
      <c r="R216" s="280">
        <v>338643</v>
      </c>
      <c r="S216" s="280">
        <v>337524</v>
      </c>
      <c r="T216" s="280">
        <v>339805</v>
      </c>
      <c r="U216" s="280">
        <v>337044</v>
      </c>
      <c r="V216" s="280">
        <v>340508</v>
      </c>
      <c r="W216" s="280">
        <v>344823</v>
      </c>
      <c r="X216" s="280">
        <v>345429</v>
      </c>
      <c r="Y216" s="280">
        <v>345150</v>
      </c>
      <c r="Z216" s="280">
        <v>350957</v>
      </c>
      <c r="AA216" s="280">
        <v>359059</v>
      </c>
      <c r="AB216" s="280">
        <v>372514</v>
      </c>
      <c r="AC216" s="280">
        <v>389902</v>
      </c>
      <c r="AD216" s="280">
        <v>398978</v>
      </c>
      <c r="AE216" s="280">
        <v>404996</v>
      </c>
      <c r="AF216" s="280">
        <v>410380</v>
      </c>
      <c r="AG216" s="280">
        <v>414108</v>
      </c>
      <c r="AH216" s="280">
        <v>418233</v>
      </c>
      <c r="AI216" s="280">
        <v>426064</v>
      </c>
      <c r="AJ216" s="280">
        <v>424230</v>
      </c>
      <c r="AK216" s="280">
        <v>417962</v>
      </c>
      <c r="AL216" s="280">
        <v>415012</v>
      </c>
      <c r="AM216" s="280">
        <v>417628</v>
      </c>
      <c r="AN216" s="280">
        <v>418981</v>
      </c>
      <c r="AO216" s="280">
        <v>408783</v>
      </c>
      <c r="AP216" s="280">
        <v>405010</v>
      </c>
      <c r="AQ216" s="280">
        <v>398825</v>
      </c>
      <c r="AR216" s="280">
        <v>399563</v>
      </c>
      <c r="AS216" s="280">
        <v>392780</v>
      </c>
      <c r="AT216" s="280">
        <v>388874</v>
      </c>
      <c r="AU216" s="280">
        <v>383208</v>
      </c>
      <c r="AV216" s="280">
        <v>370034</v>
      </c>
      <c r="AW216" s="280">
        <v>359196</v>
      </c>
      <c r="AX216" s="280">
        <v>344046</v>
      </c>
      <c r="AY216" s="280">
        <v>332408</v>
      </c>
      <c r="AZ216" s="280">
        <v>324825</v>
      </c>
      <c r="BA216" s="280">
        <v>321150</v>
      </c>
      <c r="BB216" s="280">
        <v>321893</v>
      </c>
      <c r="BC216" s="280">
        <v>321340</v>
      </c>
      <c r="BD216" s="280">
        <v>328682</v>
      </c>
      <c r="BE216" s="280">
        <v>332841</v>
      </c>
      <c r="BF216" s="280">
        <v>342908</v>
      </c>
      <c r="BG216" s="280">
        <v>345310</v>
      </c>
      <c r="BH216" s="280">
        <v>323344</v>
      </c>
      <c r="BI216" s="280">
        <v>317038</v>
      </c>
      <c r="BJ216" s="280">
        <v>306204</v>
      </c>
      <c r="BK216" s="280">
        <v>297300</v>
      </c>
      <c r="BL216" s="280">
        <v>297429</v>
      </c>
      <c r="BM216" s="280">
        <v>295997</v>
      </c>
      <c r="BN216" s="280">
        <v>306549</v>
      </c>
      <c r="BO216" s="280">
        <v>307936</v>
      </c>
      <c r="BP216" s="280">
        <v>305421</v>
      </c>
      <c r="BQ216" s="280">
        <v>302719</v>
      </c>
      <c r="BR216" s="280">
        <v>291632</v>
      </c>
      <c r="BS216" s="280">
        <v>283090</v>
      </c>
      <c r="BT216" s="280">
        <v>276780</v>
      </c>
      <c r="BU216" s="280">
        <v>267662</v>
      </c>
      <c r="BV216" s="280">
        <v>261906</v>
      </c>
      <c r="BW216" s="280">
        <v>249861</v>
      </c>
      <c r="BX216" s="280">
        <v>241640</v>
      </c>
      <c r="BY216" s="280">
        <v>236739</v>
      </c>
      <c r="BZ216" s="280">
        <v>227701</v>
      </c>
      <c r="CA216" s="280">
        <v>222975</v>
      </c>
      <c r="CB216" s="280">
        <v>214824</v>
      </c>
      <c r="CC216" s="280">
        <v>205069</v>
      </c>
      <c r="CD216" s="280">
        <v>202489</v>
      </c>
      <c r="CE216" s="280">
        <v>203521</v>
      </c>
      <c r="CF216" s="280">
        <v>167414</v>
      </c>
      <c r="CG216" s="280">
        <v>154603</v>
      </c>
      <c r="CH216" s="280">
        <v>142718</v>
      </c>
      <c r="CI216" s="280">
        <v>123842</v>
      </c>
      <c r="CJ216" s="280">
        <v>117230</v>
      </c>
      <c r="CK216" s="280">
        <v>103915</v>
      </c>
      <c r="CL216" s="280">
        <v>94011</v>
      </c>
      <c r="CM216" s="280">
        <v>83601</v>
      </c>
      <c r="CN216" s="280">
        <v>73379</v>
      </c>
      <c r="CO216" s="280">
        <v>64322</v>
      </c>
      <c r="CP216" s="280">
        <v>55126</v>
      </c>
      <c r="CQ216" s="280">
        <v>45495</v>
      </c>
      <c r="CR216" s="280">
        <v>38146</v>
      </c>
      <c r="CS216" s="280">
        <v>31712</v>
      </c>
      <c r="CT216" s="280">
        <v>26048</v>
      </c>
      <c r="CU216" s="280">
        <v>21549</v>
      </c>
      <c r="CV216" s="280">
        <v>16914</v>
      </c>
      <c r="CW216" s="280">
        <v>12406</v>
      </c>
      <c r="CX216" s="280">
        <v>9229</v>
      </c>
      <c r="CY216" s="280">
        <v>6547</v>
      </c>
      <c r="CZ216" s="280">
        <v>4601</v>
      </c>
      <c r="DA216" s="280">
        <v>9786</v>
      </c>
      <c r="DB216" s="276">
        <f t="shared" si="60"/>
        <v>27970435</v>
      </c>
      <c r="DC216" s="277">
        <f t="shared" si="61"/>
        <v>27.970434999999998</v>
      </c>
      <c r="DD216" s="279">
        <f t="shared" si="62"/>
        <v>1.4811592472950694E-2</v>
      </c>
    </row>
    <row r="217" spans="1:108" x14ac:dyDescent="0.2">
      <c r="A217" s="273"/>
      <c r="B217" s="273"/>
      <c r="C217" s="273"/>
      <c r="D217" s="274">
        <v>2026</v>
      </c>
      <c r="E217" s="280">
        <v>366687</v>
      </c>
      <c r="F217" s="280">
        <v>364057</v>
      </c>
      <c r="G217" s="280">
        <v>362561</v>
      </c>
      <c r="H217" s="280">
        <v>361134</v>
      </c>
      <c r="I217" s="280">
        <v>359428</v>
      </c>
      <c r="J217" s="280">
        <v>357247</v>
      </c>
      <c r="K217" s="280">
        <v>354351</v>
      </c>
      <c r="L217" s="280">
        <v>350723</v>
      </c>
      <c r="M217" s="280">
        <v>346739</v>
      </c>
      <c r="N217" s="280">
        <v>333254</v>
      </c>
      <c r="O217" s="280">
        <v>348618</v>
      </c>
      <c r="P217" s="280">
        <v>342049</v>
      </c>
      <c r="Q217" s="280">
        <v>340501</v>
      </c>
      <c r="R217" s="280">
        <v>344273</v>
      </c>
      <c r="S217" s="280">
        <v>340952</v>
      </c>
      <c r="T217" s="280">
        <v>340614</v>
      </c>
      <c r="U217" s="280">
        <v>343645</v>
      </c>
      <c r="V217" s="280">
        <v>342262</v>
      </c>
      <c r="W217" s="280">
        <v>349755</v>
      </c>
      <c r="X217" s="280">
        <v>357804</v>
      </c>
      <c r="Y217" s="280">
        <v>357791</v>
      </c>
      <c r="Z217" s="280">
        <v>355709</v>
      </c>
      <c r="AA217" s="280">
        <v>363368</v>
      </c>
      <c r="AB217" s="280">
        <v>373882</v>
      </c>
      <c r="AC217" s="280">
        <v>385302</v>
      </c>
      <c r="AD217" s="280">
        <v>399334</v>
      </c>
      <c r="AE217" s="280">
        <v>406944</v>
      </c>
      <c r="AF217" s="280">
        <v>412267</v>
      </c>
      <c r="AG217" s="280">
        <v>417009</v>
      </c>
      <c r="AH217" s="280">
        <v>420174</v>
      </c>
      <c r="AI217" s="280">
        <v>423763</v>
      </c>
      <c r="AJ217" s="280">
        <v>430802</v>
      </c>
      <c r="AK217" s="280">
        <v>428382</v>
      </c>
      <c r="AL217" s="280">
        <v>422089</v>
      </c>
      <c r="AM217" s="280">
        <v>418949</v>
      </c>
      <c r="AN217" s="280">
        <v>421003</v>
      </c>
      <c r="AO217" s="280">
        <v>421906</v>
      </c>
      <c r="AP217" s="280">
        <v>411385</v>
      </c>
      <c r="AQ217" s="280">
        <v>407303</v>
      </c>
      <c r="AR217" s="280">
        <v>400901</v>
      </c>
      <c r="AS217" s="280">
        <v>401415</v>
      </c>
      <c r="AT217" s="280">
        <v>394340</v>
      </c>
      <c r="AU217" s="280">
        <v>390132</v>
      </c>
      <c r="AV217" s="280">
        <v>384275</v>
      </c>
      <c r="AW217" s="280">
        <v>370956</v>
      </c>
      <c r="AX217" s="280">
        <v>359892</v>
      </c>
      <c r="AY217" s="280">
        <v>344546</v>
      </c>
      <c r="AZ217" s="280">
        <v>332709</v>
      </c>
      <c r="BA217" s="280">
        <v>324888</v>
      </c>
      <c r="BB217" s="280">
        <v>321044</v>
      </c>
      <c r="BC217" s="280">
        <v>321641</v>
      </c>
      <c r="BD217" s="280">
        <v>320957</v>
      </c>
      <c r="BE217" s="280">
        <v>328215</v>
      </c>
      <c r="BF217" s="280">
        <v>332290</v>
      </c>
      <c r="BG217" s="280">
        <v>342224</v>
      </c>
      <c r="BH217" s="280">
        <v>344478</v>
      </c>
      <c r="BI217" s="280">
        <v>322441</v>
      </c>
      <c r="BJ217" s="280">
        <v>316124</v>
      </c>
      <c r="BK217" s="280">
        <v>305314</v>
      </c>
      <c r="BL217" s="280">
        <v>296409</v>
      </c>
      <c r="BM217" s="280">
        <v>296484</v>
      </c>
      <c r="BN217" s="280">
        <v>295000</v>
      </c>
      <c r="BO217" s="280">
        <v>305367</v>
      </c>
      <c r="BP217" s="280">
        <v>306588</v>
      </c>
      <c r="BQ217" s="280">
        <v>303928</v>
      </c>
      <c r="BR217" s="280">
        <v>300974</v>
      </c>
      <c r="BS217" s="280">
        <v>289706</v>
      </c>
      <c r="BT217" s="280">
        <v>281028</v>
      </c>
      <c r="BU217" s="280">
        <v>274534</v>
      </c>
      <c r="BV217" s="280">
        <v>265213</v>
      </c>
      <c r="BW217" s="280">
        <v>259217</v>
      </c>
      <c r="BX217" s="280">
        <v>246998</v>
      </c>
      <c r="BY217" s="280">
        <v>238533</v>
      </c>
      <c r="BZ217" s="280">
        <v>233320</v>
      </c>
      <c r="CA217" s="280">
        <v>223997</v>
      </c>
      <c r="CB217" s="280">
        <v>218898</v>
      </c>
      <c r="CC217" s="280">
        <v>210416</v>
      </c>
      <c r="CD217" s="280">
        <v>200321</v>
      </c>
      <c r="CE217" s="280">
        <v>197203</v>
      </c>
      <c r="CF217" s="280">
        <v>197506</v>
      </c>
      <c r="CG217" s="280">
        <v>161799</v>
      </c>
      <c r="CH217" s="280">
        <v>148712</v>
      </c>
      <c r="CI217" s="280">
        <v>136503</v>
      </c>
      <c r="CJ217" s="280">
        <v>117684</v>
      </c>
      <c r="CK217" s="280">
        <v>110546</v>
      </c>
      <c r="CL217" s="280">
        <v>97117</v>
      </c>
      <c r="CM217" s="280">
        <v>86999</v>
      </c>
      <c r="CN217" s="280">
        <v>76505</v>
      </c>
      <c r="CO217" s="280">
        <v>66295</v>
      </c>
      <c r="CP217" s="280">
        <v>57324</v>
      </c>
      <c r="CQ217" s="280">
        <v>48394</v>
      </c>
      <c r="CR217" s="280">
        <v>39284</v>
      </c>
      <c r="CS217" s="280">
        <v>32333</v>
      </c>
      <c r="CT217" s="280">
        <v>26306</v>
      </c>
      <c r="CU217" s="280">
        <v>21099</v>
      </c>
      <c r="CV217" s="280">
        <v>17017</v>
      </c>
      <c r="CW217" s="280">
        <v>12997</v>
      </c>
      <c r="CX217" s="280">
        <v>9271</v>
      </c>
      <c r="CY217" s="280">
        <v>6711</v>
      </c>
      <c r="CZ217" s="280">
        <v>4660</v>
      </c>
      <c r="DA217" s="280">
        <v>10321</v>
      </c>
      <c r="DB217" s="276">
        <f t="shared" si="60"/>
        <v>28372315</v>
      </c>
      <c r="DC217" s="277">
        <f t="shared" si="61"/>
        <v>28.372315</v>
      </c>
      <c r="DD217" s="279">
        <f t="shared" si="62"/>
        <v>1.4368028241248377E-2</v>
      </c>
    </row>
    <row r="218" spans="1:108" x14ac:dyDescent="0.2">
      <c r="A218" s="273"/>
      <c r="B218" s="273"/>
      <c r="C218" s="273"/>
      <c r="D218" s="274">
        <v>2027</v>
      </c>
      <c r="E218" s="280">
        <v>370252</v>
      </c>
      <c r="F218" s="280">
        <v>367997</v>
      </c>
      <c r="G218" s="280">
        <v>366836</v>
      </c>
      <c r="H218" s="280">
        <v>365755</v>
      </c>
      <c r="I218" s="280">
        <v>364415</v>
      </c>
      <c r="J218" s="280">
        <v>362601</v>
      </c>
      <c r="K218" s="280">
        <v>360086</v>
      </c>
      <c r="L218" s="280">
        <v>356798</v>
      </c>
      <c r="M218" s="280">
        <v>352967</v>
      </c>
      <c r="N218" s="280">
        <v>348917</v>
      </c>
      <c r="O218" s="280">
        <v>335355</v>
      </c>
      <c r="P218" s="280">
        <v>350627</v>
      </c>
      <c r="Q218" s="280">
        <v>344037</v>
      </c>
      <c r="R218" s="280">
        <v>342493</v>
      </c>
      <c r="S218" s="280">
        <v>346511</v>
      </c>
      <c r="T218" s="280">
        <v>343946</v>
      </c>
      <c r="U218" s="280">
        <v>344337</v>
      </c>
      <c r="V218" s="280">
        <v>348703</v>
      </c>
      <c r="W218" s="280">
        <v>351227</v>
      </c>
      <c r="X218" s="280">
        <v>362343</v>
      </c>
      <c r="Y218" s="280">
        <v>369787</v>
      </c>
      <c r="Z218" s="280">
        <v>368027</v>
      </c>
      <c r="AA218" s="280">
        <v>367740</v>
      </c>
      <c r="AB218" s="280">
        <v>377741</v>
      </c>
      <c r="AC218" s="280">
        <v>386282</v>
      </c>
      <c r="AD218" s="280">
        <v>394448</v>
      </c>
      <c r="AE218" s="280">
        <v>407056</v>
      </c>
      <c r="AF218" s="280">
        <v>413992</v>
      </c>
      <c r="AG218" s="280">
        <v>418691</v>
      </c>
      <c r="AH218" s="280">
        <v>422888</v>
      </c>
      <c r="AI218" s="280">
        <v>425533</v>
      </c>
      <c r="AJ218" s="280">
        <v>428353</v>
      </c>
      <c r="AK218" s="280">
        <v>434818</v>
      </c>
      <c r="AL218" s="280">
        <v>432373</v>
      </c>
      <c r="AM218" s="280">
        <v>425895</v>
      </c>
      <c r="AN218" s="280">
        <v>422214</v>
      </c>
      <c r="AO218" s="280">
        <v>423830</v>
      </c>
      <c r="AP218" s="280">
        <v>424409</v>
      </c>
      <c r="AQ218" s="280">
        <v>413593</v>
      </c>
      <c r="AR218" s="280">
        <v>409298</v>
      </c>
      <c r="AS218" s="280">
        <v>402684</v>
      </c>
      <c r="AT218" s="280">
        <v>402905</v>
      </c>
      <c r="AU218" s="280">
        <v>395540</v>
      </c>
      <c r="AV218" s="280">
        <v>391145</v>
      </c>
      <c r="AW218" s="280">
        <v>385134</v>
      </c>
      <c r="AX218" s="280">
        <v>371599</v>
      </c>
      <c r="AY218" s="280">
        <v>360332</v>
      </c>
      <c r="AZ218" s="280">
        <v>344805</v>
      </c>
      <c r="BA218" s="280">
        <v>332736</v>
      </c>
      <c r="BB218" s="280">
        <v>324759</v>
      </c>
      <c r="BC218" s="280">
        <v>320780</v>
      </c>
      <c r="BD218" s="280">
        <v>321246</v>
      </c>
      <c r="BE218" s="280">
        <v>320499</v>
      </c>
      <c r="BF218" s="280">
        <v>327662</v>
      </c>
      <c r="BG218" s="280">
        <v>331631</v>
      </c>
      <c r="BH218" s="280">
        <v>341395</v>
      </c>
      <c r="BI218" s="280">
        <v>343496</v>
      </c>
      <c r="BJ218" s="280">
        <v>321497</v>
      </c>
      <c r="BK218" s="280">
        <v>315184</v>
      </c>
      <c r="BL218" s="280">
        <v>304378</v>
      </c>
      <c r="BM218" s="280">
        <v>295461</v>
      </c>
      <c r="BN218" s="280">
        <v>295474</v>
      </c>
      <c r="BO218" s="280">
        <v>293875</v>
      </c>
      <c r="BP218" s="280">
        <v>304031</v>
      </c>
      <c r="BQ218" s="280">
        <v>305084</v>
      </c>
      <c r="BR218" s="280">
        <v>302171</v>
      </c>
      <c r="BS218" s="280">
        <v>298979</v>
      </c>
      <c r="BT218" s="280">
        <v>287597</v>
      </c>
      <c r="BU218" s="280">
        <v>278747</v>
      </c>
      <c r="BV218" s="280">
        <v>272028</v>
      </c>
      <c r="BW218" s="280">
        <v>262503</v>
      </c>
      <c r="BX218" s="280">
        <v>256253</v>
      </c>
      <c r="BY218" s="280">
        <v>243836</v>
      </c>
      <c r="BZ218" s="280">
        <v>235113</v>
      </c>
      <c r="CA218" s="280">
        <v>229547</v>
      </c>
      <c r="CB218" s="280">
        <v>219925</v>
      </c>
      <c r="CC218" s="280">
        <v>214432</v>
      </c>
      <c r="CD218" s="280">
        <v>205574</v>
      </c>
      <c r="CE218" s="280">
        <v>195123</v>
      </c>
      <c r="CF218" s="280">
        <v>191409</v>
      </c>
      <c r="CG218" s="280">
        <v>190914</v>
      </c>
      <c r="CH218" s="280">
        <v>155654</v>
      </c>
      <c r="CI218" s="280">
        <v>142264</v>
      </c>
      <c r="CJ218" s="280">
        <v>129737</v>
      </c>
      <c r="CK218" s="280">
        <v>111000</v>
      </c>
      <c r="CL218" s="280">
        <v>103332</v>
      </c>
      <c r="CM218" s="280">
        <v>89895</v>
      </c>
      <c r="CN218" s="280">
        <v>79632</v>
      </c>
      <c r="CO218" s="280">
        <v>69137</v>
      </c>
      <c r="CP218" s="280">
        <v>59103</v>
      </c>
      <c r="CQ218" s="280">
        <v>50340</v>
      </c>
      <c r="CR218" s="280">
        <v>41802</v>
      </c>
      <c r="CS218" s="280">
        <v>33312</v>
      </c>
      <c r="CT218" s="280">
        <v>26829</v>
      </c>
      <c r="CU218" s="280">
        <v>21316</v>
      </c>
      <c r="CV218" s="280">
        <v>16664</v>
      </c>
      <c r="CW218" s="280">
        <v>13079</v>
      </c>
      <c r="CX218" s="280">
        <v>9713</v>
      </c>
      <c r="CY218" s="280">
        <v>6743</v>
      </c>
      <c r="CZ218" s="280">
        <v>4776</v>
      </c>
      <c r="DA218" s="280">
        <v>10752</v>
      </c>
      <c r="DB218" s="276">
        <f t="shared" si="60"/>
        <v>28765734</v>
      </c>
      <c r="DC218" s="277">
        <f t="shared" si="61"/>
        <v>28.765733999999998</v>
      </c>
      <c r="DD218" s="279">
        <f t="shared" si="62"/>
        <v>1.386629889030902E-2</v>
      </c>
    </row>
    <row r="219" spans="1:108" x14ac:dyDescent="0.2">
      <c r="A219" s="273"/>
      <c r="B219" s="273"/>
      <c r="C219" s="273"/>
      <c r="D219" s="274">
        <v>2028</v>
      </c>
      <c r="E219" s="280">
        <v>373433</v>
      </c>
      <c r="F219" s="280">
        <v>371564</v>
      </c>
      <c r="G219" s="280">
        <v>370776</v>
      </c>
      <c r="H219" s="280">
        <v>370028</v>
      </c>
      <c r="I219" s="280">
        <v>369035</v>
      </c>
      <c r="J219" s="280">
        <v>367588</v>
      </c>
      <c r="K219" s="280">
        <v>365440</v>
      </c>
      <c r="L219" s="280">
        <v>362532</v>
      </c>
      <c r="M219" s="280">
        <v>359042</v>
      </c>
      <c r="N219" s="280">
        <v>355145</v>
      </c>
      <c r="O219" s="280">
        <v>351017</v>
      </c>
      <c r="P219" s="280">
        <v>337367</v>
      </c>
      <c r="Q219" s="280">
        <v>352614</v>
      </c>
      <c r="R219" s="280">
        <v>346029</v>
      </c>
      <c r="S219" s="280">
        <v>344732</v>
      </c>
      <c r="T219" s="280">
        <v>349505</v>
      </c>
      <c r="U219" s="280">
        <v>347668</v>
      </c>
      <c r="V219" s="280">
        <v>349392</v>
      </c>
      <c r="W219" s="280">
        <v>357672</v>
      </c>
      <c r="X219" s="280">
        <v>363815</v>
      </c>
      <c r="Y219" s="280">
        <v>374325</v>
      </c>
      <c r="Z219" s="280">
        <v>380017</v>
      </c>
      <c r="AA219" s="280">
        <v>380058</v>
      </c>
      <c r="AB219" s="280">
        <v>382110</v>
      </c>
      <c r="AC219" s="280">
        <v>390139</v>
      </c>
      <c r="AD219" s="280">
        <v>395430</v>
      </c>
      <c r="AE219" s="280">
        <v>402174</v>
      </c>
      <c r="AF219" s="280">
        <v>414104</v>
      </c>
      <c r="AG219" s="280">
        <v>420417</v>
      </c>
      <c r="AH219" s="280">
        <v>424569</v>
      </c>
      <c r="AI219" s="280">
        <v>428245</v>
      </c>
      <c r="AJ219" s="280">
        <v>430125</v>
      </c>
      <c r="AK219" s="280">
        <v>432370</v>
      </c>
      <c r="AL219" s="280">
        <v>438805</v>
      </c>
      <c r="AM219" s="280">
        <v>436174</v>
      </c>
      <c r="AN219" s="280">
        <v>429154</v>
      </c>
      <c r="AO219" s="280">
        <v>425043</v>
      </c>
      <c r="AP219" s="280">
        <v>426332</v>
      </c>
      <c r="AQ219" s="280">
        <v>426607</v>
      </c>
      <c r="AR219" s="280">
        <v>415583</v>
      </c>
      <c r="AS219" s="280">
        <v>411074</v>
      </c>
      <c r="AT219" s="280">
        <v>404175</v>
      </c>
      <c r="AU219" s="280">
        <v>404095</v>
      </c>
      <c r="AV219" s="280">
        <v>396545</v>
      </c>
      <c r="AW219" s="280">
        <v>391995</v>
      </c>
      <c r="AX219" s="280">
        <v>385756</v>
      </c>
      <c r="AY219" s="280">
        <v>372022</v>
      </c>
      <c r="AZ219" s="280">
        <v>360560</v>
      </c>
      <c r="BA219" s="280">
        <v>344811</v>
      </c>
      <c r="BB219" s="280">
        <v>332591</v>
      </c>
      <c r="BC219" s="280">
        <v>324493</v>
      </c>
      <c r="BD219" s="280">
        <v>320388</v>
      </c>
      <c r="BE219" s="280">
        <v>320789</v>
      </c>
      <c r="BF219" s="280">
        <v>319968</v>
      </c>
      <c r="BG219" s="280">
        <v>327015</v>
      </c>
      <c r="BH219" s="280">
        <v>330836</v>
      </c>
      <c r="BI219" s="280">
        <v>340427</v>
      </c>
      <c r="BJ219" s="280">
        <v>342475</v>
      </c>
      <c r="BK219" s="280">
        <v>320536</v>
      </c>
      <c r="BL219" s="280">
        <v>314208</v>
      </c>
      <c r="BM219" s="280">
        <v>303394</v>
      </c>
      <c r="BN219" s="280">
        <v>294462</v>
      </c>
      <c r="BO219" s="280">
        <v>294351</v>
      </c>
      <c r="BP219" s="280">
        <v>292615</v>
      </c>
      <c r="BQ219" s="280">
        <v>302553</v>
      </c>
      <c r="BR219" s="280">
        <v>303334</v>
      </c>
      <c r="BS219" s="280">
        <v>300180</v>
      </c>
      <c r="BT219" s="280">
        <v>296804</v>
      </c>
      <c r="BU219" s="280">
        <v>285273</v>
      </c>
      <c r="BV219" s="280">
        <v>276212</v>
      </c>
      <c r="BW219" s="280">
        <v>269261</v>
      </c>
      <c r="BX219" s="280">
        <v>259523</v>
      </c>
      <c r="BY219" s="280">
        <v>252983</v>
      </c>
      <c r="BZ219" s="280">
        <v>240359</v>
      </c>
      <c r="CA219" s="280">
        <v>231339</v>
      </c>
      <c r="CB219" s="280">
        <v>225403</v>
      </c>
      <c r="CC219" s="280">
        <v>215465</v>
      </c>
      <c r="CD219" s="280">
        <v>209525</v>
      </c>
      <c r="CE219" s="280">
        <v>200274</v>
      </c>
      <c r="CF219" s="280">
        <v>189424</v>
      </c>
      <c r="CG219" s="280">
        <v>185056</v>
      </c>
      <c r="CH219" s="280">
        <v>183698</v>
      </c>
      <c r="CI219" s="280">
        <v>148928</v>
      </c>
      <c r="CJ219" s="280">
        <v>135241</v>
      </c>
      <c r="CK219" s="280">
        <v>122392</v>
      </c>
      <c r="CL219" s="280">
        <v>103785</v>
      </c>
      <c r="CM219" s="280">
        <v>95665</v>
      </c>
      <c r="CN219" s="280">
        <v>82304</v>
      </c>
      <c r="CO219" s="280">
        <v>71981</v>
      </c>
      <c r="CP219" s="280">
        <v>61655</v>
      </c>
      <c r="CQ219" s="280">
        <v>51923</v>
      </c>
      <c r="CR219" s="280">
        <v>43498</v>
      </c>
      <c r="CS219" s="280">
        <v>35460</v>
      </c>
      <c r="CT219" s="280">
        <v>27653</v>
      </c>
      <c r="CU219" s="280">
        <v>21745</v>
      </c>
      <c r="CV219" s="280">
        <v>16840</v>
      </c>
      <c r="CW219" s="280">
        <v>12807</v>
      </c>
      <c r="CX219" s="280">
        <v>9775</v>
      </c>
      <c r="CY219" s="280">
        <v>7065</v>
      </c>
      <c r="CZ219" s="280">
        <v>4799</v>
      </c>
      <c r="DA219" s="280">
        <v>11147</v>
      </c>
      <c r="DB219" s="276">
        <f t="shared" si="60"/>
        <v>29157085</v>
      </c>
      <c r="DC219" s="277">
        <f t="shared" si="61"/>
        <v>29.157084999999999</v>
      </c>
      <c r="DD219" s="279">
        <f t="shared" si="62"/>
        <v>1.3604763222798357E-2</v>
      </c>
    </row>
    <row r="220" spans="1:108" x14ac:dyDescent="0.2">
      <c r="A220" s="273"/>
      <c r="B220" s="273"/>
      <c r="C220" s="273"/>
      <c r="D220" s="274">
        <v>2029</v>
      </c>
      <c r="E220" s="280">
        <v>376318</v>
      </c>
      <c r="F220" s="280">
        <v>374748</v>
      </c>
      <c r="G220" s="280">
        <v>374343</v>
      </c>
      <c r="H220" s="280">
        <v>373968</v>
      </c>
      <c r="I220" s="280">
        <v>373308</v>
      </c>
      <c r="J220" s="280">
        <v>372208</v>
      </c>
      <c r="K220" s="280">
        <v>370425</v>
      </c>
      <c r="L220" s="280">
        <v>367888</v>
      </c>
      <c r="M220" s="280">
        <v>364775</v>
      </c>
      <c r="N220" s="280">
        <v>361220</v>
      </c>
      <c r="O220" s="280">
        <v>357245</v>
      </c>
      <c r="P220" s="280">
        <v>353027</v>
      </c>
      <c r="Q220" s="280">
        <v>339355</v>
      </c>
      <c r="R220" s="280">
        <v>354606</v>
      </c>
      <c r="S220" s="280">
        <v>348268</v>
      </c>
      <c r="T220" s="280">
        <v>347726</v>
      </c>
      <c r="U220" s="280">
        <v>353227</v>
      </c>
      <c r="V220" s="280">
        <v>352723</v>
      </c>
      <c r="W220" s="280">
        <v>358361</v>
      </c>
      <c r="X220" s="280">
        <v>370259</v>
      </c>
      <c r="Y220" s="280">
        <v>375796</v>
      </c>
      <c r="Z220" s="280">
        <v>384555</v>
      </c>
      <c r="AA220" s="280">
        <v>392043</v>
      </c>
      <c r="AB220" s="280">
        <v>394424</v>
      </c>
      <c r="AC220" s="280">
        <v>394508</v>
      </c>
      <c r="AD220" s="280">
        <v>399286</v>
      </c>
      <c r="AE220" s="280">
        <v>403155</v>
      </c>
      <c r="AF220" s="280">
        <v>409223</v>
      </c>
      <c r="AG220" s="280">
        <v>420531</v>
      </c>
      <c r="AH220" s="280">
        <v>426295</v>
      </c>
      <c r="AI220" s="280">
        <v>429930</v>
      </c>
      <c r="AJ220" s="280">
        <v>432836</v>
      </c>
      <c r="AK220" s="280">
        <v>434144</v>
      </c>
      <c r="AL220" s="280">
        <v>436358</v>
      </c>
      <c r="AM220" s="280">
        <v>442601</v>
      </c>
      <c r="AN220" s="280">
        <v>439426</v>
      </c>
      <c r="AO220" s="280">
        <v>431979</v>
      </c>
      <c r="AP220" s="280">
        <v>427545</v>
      </c>
      <c r="AQ220" s="280">
        <v>428528</v>
      </c>
      <c r="AR220" s="280">
        <v>428584</v>
      </c>
      <c r="AS220" s="280">
        <v>417350</v>
      </c>
      <c r="AT220" s="280">
        <v>412556</v>
      </c>
      <c r="AU220" s="280">
        <v>405367</v>
      </c>
      <c r="AV220" s="280">
        <v>405091</v>
      </c>
      <c r="AW220" s="280">
        <v>397387</v>
      </c>
      <c r="AX220" s="280">
        <v>392607</v>
      </c>
      <c r="AY220" s="280">
        <v>386158</v>
      </c>
      <c r="AZ220" s="280">
        <v>372230</v>
      </c>
      <c r="BA220" s="280">
        <v>360537</v>
      </c>
      <c r="BB220" s="280">
        <v>344642</v>
      </c>
      <c r="BC220" s="280">
        <v>332308</v>
      </c>
      <c r="BD220" s="280">
        <v>324093</v>
      </c>
      <c r="BE220" s="280">
        <v>319935</v>
      </c>
      <c r="BF220" s="280">
        <v>320260</v>
      </c>
      <c r="BG220" s="280">
        <v>319346</v>
      </c>
      <c r="BH220" s="280">
        <v>326235</v>
      </c>
      <c r="BI220" s="280">
        <v>329907</v>
      </c>
      <c r="BJ220" s="280">
        <v>339418</v>
      </c>
      <c r="BK220" s="280">
        <v>341430</v>
      </c>
      <c r="BL220" s="280">
        <v>319541</v>
      </c>
      <c r="BM220" s="280">
        <v>313183</v>
      </c>
      <c r="BN220" s="280">
        <v>302360</v>
      </c>
      <c r="BO220" s="280">
        <v>293352</v>
      </c>
      <c r="BP220" s="280">
        <v>293096</v>
      </c>
      <c r="BQ220" s="280">
        <v>291219</v>
      </c>
      <c r="BR220" s="280">
        <v>300828</v>
      </c>
      <c r="BS220" s="280">
        <v>301348</v>
      </c>
      <c r="BT220" s="280">
        <v>298007</v>
      </c>
      <c r="BU220" s="280">
        <v>294410</v>
      </c>
      <c r="BV220" s="280">
        <v>282694</v>
      </c>
      <c r="BW220" s="280">
        <v>273417</v>
      </c>
      <c r="BX220" s="280">
        <v>266219</v>
      </c>
      <c r="BY220" s="280">
        <v>256234</v>
      </c>
      <c r="BZ220" s="280">
        <v>249391</v>
      </c>
      <c r="CA220" s="280">
        <v>236523</v>
      </c>
      <c r="CB220" s="280">
        <v>227193</v>
      </c>
      <c r="CC220" s="280">
        <v>220861</v>
      </c>
      <c r="CD220" s="280">
        <v>210564</v>
      </c>
      <c r="CE220" s="280">
        <v>204155</v>
      </c>
      <c r="CF220" s="280">
        <v>194459</v>
      </c>
      <c r="CG220" s="280">
        <v>183173</v>
      </c>
      <c r="CH220" s="280">
        <v>178098</v>
      </c>
      <c r="CI220" s="280">
        <v>175796</v>
      </c>
      <c r="CJ220" s="280">
        <v>141597</v>
      </c>
      <c r="CK220" s="280">
        <v>127611</v>
      </c>
      <c r="CL220" s="280">
        <v>114463</v>
      </c>
      <c r="CM220" s="280">
        <v>96110</v>
      </c>
      <c r="CN220" s="280">
        <v>87605</v>
      </c>
      <c r="CO220" s="280">
        <v>74418</v>
      </c>
      <c r="CP220" s="280">
        <v>64210</v>
      </c>
      <c r="CQ220" s="280">
        <v>54184</v>
      </c>
      <c r="CR220" s="280">
        <v>44886</v>
      </c>
      <c r="CS220" s="280">
        <v>36911</v>
      </c>
      <c r="CT220" s="280">
        <v>29447</v>
      </c>
      <c r="CU220" s="280">
        <v>22421</v>
      </c>
      <c r="CV220" s="280">
        <v>17181</v>
      </c>
      <c r="CW220" s="280">
        <v>12946</v>
      </c>
      <c r="CX220" s="280">
        <v>9572</v>
      </c>
      <c r="CY220" s="280">
        <v>7109</v>
      </c>
      <c r="CZ220" s="280">
        <v>5029</v>
      </c>
      <c r="DA220" s="280">
        <v>11454</v>
      </c>
      <c r="DB220" s="276">
        <f t="shared" ref="DB220:DB221" si="63">SUM(E220:DA220)</f>
        <v>29545877</v>
      </c>
      <c r="DC220" s="277">
        <f t="shared" ref="DC220:DC221" si="64">DB220/1000000</f>
        <v>29.545877000000001</v>
      </c>
      <c r="DD220" s="279">
        <f t="shared" ref="DD220:DD221" si="65">(DC220-DC219)/DC219</f>
        <v>1.3334391966823922E-2</v>
      </c>
    </row>
    <row r="221" spans="1:108" x14ac:dyDescent="0.2">
      <c r="A221" s="273"/>
      <c r="B221" s="273"/>
      <c r="C221" s="273"/>
      <c r="D221" s="274">
        <v>2030</v>
      </c>
      <c r="E221" s="280">
        <v>379018</v>
      </c>
      <c r="F221" s="280">
        <v>377631</v>
      </c>
      <c r="G221" s="280">
        <v>377526</v>
      </c>
      <c r="H221" s="280">
        <v>377535</v>
      </c>
      <c r="I221" s="280">
        <v>377248</v>
      </c>
      <c r="J221" s="280">
        <v>376481</v>
      </c>
      <c r="K221" s="280">
        <v>375045</v>
      </c>
      <c r="L221" s="280">
        <v>372872</v>
      </c>
      <c r="M221" s="280">
        <v>370131</v>
      </c>
      <c r="N221" s="280">
        <v>366952</v>
      </c>
      <c r="O221" s="280">
        <v>363320</v>
      </c>
      <c r="P221" s="280">
        <v>359255</v>
      </c>
      <c r="Q221" s="280">
        <v>355013</v>
      </c>
      <c r="R221" s="280">
        <v>341348</v>
      </c>
      <c r="S221" s="280">
        <v>356845</v>
      </c>
      <c r="T221" s="280">
        <v>351262</v>
      </c>
      <c r="U221" s="280">
        <v>351450</v>
      </c>
      <c r="V221" s="280">
        <v>358280</v>
      </c>
      <c r="W221" s="280">
        <v>361691</v>
      </c>
      <c r="X221" s="280">
        <v>370948</v>
      </c>
      <c r="Y221" s="280">
        <v>382238</v>
      </c>
      <c r="Z221" s="280">
        <v>386028</v>
      </c>
      <c r="AA221" s="280">
        <v>396580</v>
      </c>
      <c r="AB221" s="280">
        <v>406407</v>
      </c>
      <c r="AC221" s="280">
        <v>406818</v>
      </c>
      <c r="AD221" s="280">
        <v>403654</v>
      </c>
      <c r="AE221" s="280">
        <v>407010</v>
      </c>
      <c r="AF221" s="280">
        <v>410208</v>
      </c>
      <c r="AG221" s="280">
        <v>415652</v>
      </c>
      <c r="AH221" s="280">
        <v>426409</v>
      </c>
      <c r="AI221" s="280">
        <v>431656</v>
      </c>
      <c r="AJ221" s="280">
        <v>434523</v>
      </c>
      <c r="AK221" s="280">
        <v>436856</v>
      </c>
      <c r="AL221" s="280">
        <v>438131</v>
      </c>
      <c r="AM221" s="280">
        <v>440156</v>
      </c>
      <c r="AN221" s="280">
        <v>445850</v>
      </c>
      <c r="AO221" s="280">
        <v>442245</v>
      </c>
      <c r="AP221" s="280">
        <v>434477</v>
      </c>
      <c r="AQ221" s="280">
        <v>429742</v>
      </c>
      <c r="AR221" s="280">
        <v>430505</v>
      </c>
      <c r="AS221" s="280">
        <v>430338</v>
      </c>
      <c r="AT221" s="280">
        <v>418825</v>
      </c>
      <c r="AU221" s="280">
        <v>413738</v>
      </c>
      <c r="AV221" s="280">
        <v>406362</v>
      </c>
      <c r="AW221" s="280">
        <v>405924</v>
      </c>
      <c r="AX221" s="280">
        <v>397991</v>
      </c>
      <c r="AY221" s="280">
        <v>392999</v>
      </c>
      <c r="AZ221" s="280">
        <v>386342</v>
      </c>
      <c r="BA221" s="280">
        <v>372185</v>
      </c>
      <c r="BB221" s="280">
        <v>360336</v>
      </c>
      <c r="BC221" s="280">
        <v>344331</v>
      </c>
      <c r="BD221" s="280">
        <v>331890</v>
      </c>
      <c r="BE221" s="280">
        <v>323632</v>
      </c>
      <c r="BF221" s="280">
        <v>319410</v>
      </c>
      <c r="BG221" s="280">
        <v>319637</v>
      </c>
      <c r="BH221" s="280">
        <v>318595</v>
      </c>
      <c r="BI221" s="280">
        <v>325322</v>
      </c>
      <c r="BJ221" s="280">
        <v>328943</v>
      </c>
      <c r="BK221" s="280">
        <v>338389</v>
      </c>
      <c r="BL221" s="280">
        <v>340347</v>
      </c>
      <c r="BM221" s="280">
        <v>318494</v>
      </c>
      <c r="BN221" s="280">
        <v>312106</v>
      </c>
      <c r="BO221" s="280">
        <v>301213</v>
      </c>
      <c r="BP221" s="280">
        <v>292111</v>
      </c>
      <c r="BQ221" s="280">
        <v>291706</v>
      </c>
      <c r="BR221" s="280">
        <v>289581</v>
      </c>
      <c r="BS221" s="280">
        <v>298869</v>
      </c>
      <c r="BT221" s="280">
        <v>299180</v>
      </c>
      <c r="BU221" s="280">
        <v>295615</v>
      </c>
      <c r="BV221" s="280">
        <v>291757</v>
      </c>
      <c r="BW221" s="280">
        <v>279850</v>
      </c>
      <c r="BX221" s="280">
        <v>270342</v>
      </c>
      <c r="BY221" s="280">
        <v>262865</v>
      </c>
      <c r="BZ221" s="280">
        <v>252618</v>
      </c>
      <c r="CA221" s="280">
        <v>245425</v>
      </c>
      <c r="CB221" s="280">
        <v>232305</v>
      </c>
      <c r="CC221" s="280">
        <v>222647</v>
      </c>
      <c r="CD221" s="280">
        <v>215871</v>
      </c>
      <c r="CE221" s="280">
        <v>205198</v>
      </c>
      <c r="CF221" s="280">
        <v>198260</v>
      </c>
      <c r="CG221" s="280">
        <v>188081</v>
      </c>
      <c r="CH221" s="280">
        <v>176320</v>
      </c>
      <c r="CI221" s="280">
        <v>170471</v>
      </c>
      <c r="CJ221" s="280">
        <v>167180</v>
      </c>
      <c r="CK221" s="280">
        <v>133634</v>
      </c>
      <c r="CL221" s="280">
        <v>119372</v>
      </c>
      <c r="CM221" s="280">
        <v>106024</v>
      </c>
      <c r="CN221" s="280">
        <v>88037</v>
      </c>
      <c r="CO221" s="280">
        <v>79231</v>
      </c>
      <c r="CP221" s="280">
        <v>66406</v>
      </c>
      <c r="CQ221" s="280">
        <v>56447</v>
      </c>
      <c r="CR221" s="280">
        <v>46858</v>
      </c>
      <c r="CS221" s="280">
        <v>38106</v>
      </c>
      <c r="CT221" s="280">
        <v>30662</v>
      </c>
      <c r="CU221" s="280">
        <v>23884</v>
      </c>
      <c r="CV221" s="280">
        <v>17721</v>
      </c>
      <c r="CW221" s="280">
        <v>13208</v>
      </c>
      <c r="CX221" s="280">
        <v>9678</v>
      </c>
      <c r="CY221" s="280">
        <v>6962</v>
      </c>
      <c r="CZ221" s="280">
        <v>5061</v>
      </c>
      <c r="DA221" s="280">
        <v>11837</v>
      </c>
      <c r="DB221" s="276">
        <f t="shared" si="63"/>
        <v>29931725</v>
      </c>
      <c r="DC221" s="277">
        <f t="shared" si="64"/>
        <v>29.931725</v>
      </c>
      <c r="DD221" s="279">
        <f t="shared" si="65"/>
        <v>1.3059284041560157E-2</v>
      </c>
    </row>
    <row r="222" spans="1:108" x14ac:dyDescent="0.2">
      <c r="A222" s="273"/>
      <c r="B222" s="273"/>
      <c r="C222" s="273"/>
      <c r="D222" s="281"/>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c r="AL222" s="282"/>
      <c r="AM222" s="282"/>
      <c r="AN222" s="282"/>
      <c r="AO222" s="282"/>
      <c r="AP222" s="282"/>
      <c r="AQ222" s="282"/>
      <c r="AR222" s="282"/>
      <c r="AS222" s="282"/>
      <c r="AT222" s="282"/>
      <c r="AU222" s="282"/>
      <c r="AV222" s="282"/>
      <c r="AW222" s="282"/>
      <c r="AX222" s="282"/>
      <c r="AY222" s="282"/>
      <c r="AZ222" s="282"/>
      <c r="BA222" s="282"/>
      <c r="BB222" s="282"/>
      <c r="BC222" s="282"/>
      <c r="BD222" s="282"/>
      <c r="BE222" s="282"/>
      <c r="BF222" s="282"/>
      <c r="BG222" s="282"/>
      <c r="BH222" s="282"/>
      <c r="BI222" s="282"/>
      <c r="BJ222" s="282"/>
      <c r="BK222" s="282"/>
      <c r="BL222" s="282"/>
      <c r="BM222" s="282"/>
      <c r="BN222" s="282"/>
      <c r="BO222" s="282"/>
      <c r="BP222" s="282"/>
      <c r="BQ222" s="282"/>
      <c r="BR222" s="282"/>
      <c r="BS222" s="282"/>
      <c r="BT222" s="282"/>
      <c r="BU222" s="282"/>
      <c r="BV222" s="282"/>
      <c r="BW222" s="282"/>
      <c r="BX222" s="282"/>
      <c r="BY222" s="282"/>
      <c r="BZ222" s="282"/>
      <c r="CA222" s="282"/>
      <c r="CB222" s="282"/>
      <c r="CC222" s="282"/>
      <c r="CD222" s="282"/>
      <c r="CE222" s="282"/>
      <c r="CF222" s="282"/>
      <c r="CG222" s="282"/>
      <c r="CH222" s="282"/>
      <c r="CI222" s="282"/>
      <c r="CJ222" s="282"/>
      <c r="CK222" s="282"/>
      <c r="CL222" s="282"/>
      <c r="CM222" s="283"/>
      <c r="CN222" s="283"/>
      <c r="CO222" s="283"/>
      <c r="CP222" s="283"/>
      <c r="CQ222" s="283"/>
      <c r="CR222" s="283"/>
      <c r="CS222" s="283"/>
      <c r="CT222" s="283"/>
      <c r="CU222" s="283"/>
      <c r="CV222" s="283"/>
      <c r="CW222" s="283"/>
      <c r="CX222" s="283"/>
      <c r="CY222" s="283"/>
      <c r="CZ222" s="283"/>
      <c r="DA222" s="283"/>
      <c r="DB222" s="284"/>
      <c r="DC222" s="285"/>
      <c r="DD222" s="286"/>
    </row>
    <row r="223" spans="1:108" x14ac:dyDescent="0.2">
      <c r="A223" s="273"/>
      <c r="B223" s="273"/>
      <c r="C223" s="273"/>
      <c r="D223" s="281"/>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2"/>
      <c r="AY223" s="282"/>
      <c r="AZ223" s="282"/>
      <c r="BA223" s="282"/>
      <c r="BB223" s="282"/>
      <c r="BC223" s="282"/>
      <c r="BD223" s="282"/>
      <c r="BE223" s="282"/>
      <c r="BF223" s="282"/>
      <c r="BG223" s="282"/>
      <c r="BH223" s="282"/>
      <c r="BI223" s="282"/>
      <c r="BJ223" s="282"/>
      <c r="BK223" s="282"/>
      <c r="BL223" s="282"/>
      <c r="BM223" s="282"/>
      <c r="BN223" s="282"/>
      <c r="BO223" s="282"/>
      <c r="BP223" s="282"/>
      <c r="BQ223" s="282"/>
      <c r="BR223" s="282"/>
      <c r="BS223" s="282"/>
      <c r="BT223" s="282"/>
      <c r="BU223" s="282"/>
      <c r="BV223" s="282"/>
      <c r="BW223" s="282"/>
      <c r="BX223" s="282"/>
      <c r="BY223" s="282"/>
      <c r="BZ223" s="282"/>
      <c r="CA223" s="282"/>
      <c r="CB223" s="282"/>
      <c r="CC223" s="282"/>
      <c r="CD223" s="282"/>
      <c r="CE223" s="282"/>
      <c r="CF223" s="282"/>
      <c r="CG223" s="282"/>
      <c r="CH223" s="282"/>
      <c r="CI223" s="282"/>
      <c r="CJ223" s="282"/>
      <c r="CK223" s="282"/>
      <c r="CL223" s="282"/>
      <c r="CM223" s="283"/>
      <c r="CN223" s="283"/>
      <c r="CO223" s="283"/>
      <c r="CP223" s="283"/>
      <c r="CQ223" s="283"/>
      <c r="CR223" s="283"/>
      <c r="CS223" s="283"/>
      <c r="CT223" s="283"/>
      <c r="CU223" s="283"/>
      <c r="CV223" s="283"/>
      <c r="CW223" s="283"/>
      <c r="CX223" s="283"/>
      <c r="CY223" s="283"/>
      <c r="CZ223" s="283"/>
      <c r="DA223" s="283"/>
      <c r="DB223" s="284"/>
      <c r="DC223" s="285"/>
      <c r="DD223" s="286"/>
    </row>
    <row r="224" spans="1:108" ht="15.75" x14ac:dyDescent="0.2">
      <c r="A224" s="247"/>
      <c r="B224" s="247"/>
      <c r="C224" s="247"/>
      <c r="D224" s="174" t="s">
        <v>958</v>
      </c>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row>
    <row r="225" spans="1:108" x14ac:dyDescent="0.2">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c r="BE225" s="172"/>
      <c r="BF225" s="172"/>
      <c r="BG225" s="172"/>
      <c r="BH225" s="172"/>
      <c r="BI225" s="172"/>
      <c r="BJ225" s="172"/>
      <c r="BK225" s="172"/>
      <c r="BL225" s="172"/>
      <c r="BM225" s="172"/>
      <c r="BN225" s="172"/>
      <c r="BO225" s="172"/>
      <c r="BP225" s="172"/>
      <c r="BQ225" s="172"/>
      <c r="BR225" s="172"/>
      <c r="BS225" s="172"/>
      <c r="BT225" s="172"/>
      <c r="BU225" s="172"/>
      <c r="BV225" s="172"/>
      <c r="BW225" s="172"/>
      <c r="BX225" s="172"/>
      <c r="BY225" s="172"/>
      <c r="BZ225" s="172"/>
      <c r="CA225" s="172"/>
      <c r="CB225" s="172"/>
      <c r="CC225" s="172"/>
      <c r="CD225" s="172"/>
      <c r="CE225" s="172"/>
      <c r="CF225" s="172"/>
      <c r="CG225" s="172"/>
      <c r="CH225" s="172"/>
      <c r="CI225" s="172"/>
      <c r="CJ225" s="172"/>
      <c r="CK225" s="172"/>
      <c r="CL225" s="172"/>
      <c r="CM225" s="172"/>
      <c r="CN225" s="172"/>
      <c r="CO225" s="172"/>
      <c r="CP225" s="172"/>
      <c r="CQ225" s="172"/>
      <c r="CR225" s="172"/>
      <c r="CS225" s="172"/>
      <c r="CT225" s="172"/>
      <c r="CU225" s="172"/>
      <c r="CV225" s="172"/>
      <c r="CW225" s="172"/>
      <c r="CX225" s="172"/>
      <c r="CY225" s="172"/>
      <c r="CZ225" s="172"/>
      <c r="DA225" s="172"/>
      <c r="DB225" s="172"/>
      <c r="DC225" s="172"/>
      <c r="DD225" s="172"/>
    </row>
    <row r="226" spans="1:108" x14ac:dyDescent="0.2">
      <c r="A226" s="172"/>
      <c r="B226" s="172"/>
      <c r="C226" s="172"/>
      <c r="D226" s="172"/>
      <c r="E226" s="271" t="s">
        <v>275</v>
      </c>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172"/>
      <c r="BZ226" s="172"/>
      <c r="CA226" s="172"/>
      <c r="CB226" s="172"/>
      <c r="CC226" s="172"/>
      <c r="CD226" s="172"/>
      <c r="CE226" s="172"/>
      <c r="CF226" s="172"/>
      <c r="CG226" s="172"/>
      <c r="CH226" s="172"/>
      <c r="CI226" s="172"/>
      <c r="CJ226" s="172"/>
      <c r="CK226" s="172"/>
      <c r="CL226" s="172"/>
      <c r="CM226" s="172"/>
      <c r="CN226" s="172"/>
      <c r="CO226" s="172"/>
      <c r="CP226" s="172"/>
      <c r="CQ226" s="172"/>
      <c r="CR226" s="172"/>
      <c r="CS226" s="172"/>
      <c r="CT226" s="172"/>
      <c r="CU226" s="172"/>
      <c r="CV226" s="172"/>
      <c r="CW226" s="172"/>
      <c r="CX226" s="172"/>
      <c r="CY226" s="172"/>
      <c r="CZ226" s="172"/>
      <c r="DA226" s="172"/>
      <c r="DB226" s="172"/>
      <c r="DC226" s="172"/>
      <c r="DD226" s="172"/>
    </row>
    <row r="227" spans="1:108" x14ac:dyDescent="0.2">
      <c r="A227" s="272"/>
      <c r="B227" s="272"/>
      <c r="C227" s="272"/>
      <c r="D227" s="272"/>
      <c r="E227" s="52">
        <v>0</v>
      </c>
      <c r="F227" s="52">
        <v>1</v>
      </c>
      <c r="G227" s="52">
        <v>2</v>
      </c>
      <c r="H227" s="52">
        <v>3</v>
      </c>
      <c r="I227" s="52">
        <v>4</v>
      </c>
      <c r="J227" s="52">
        <v>5</v>
      </c>
      <c r="K227" s="52">
        <v>6</v>
      </c>
      <c r="L227" s="52">
        <v>7</v>
      </c>
      <c r="M227" s="52">
        <v>8</v>
      </c>
      <c r="N227" s="52">
        <v>9</v>
      </c>
      <c r="O227" s="52">
        <v>10</v>
      </c>
      <c r="P227" s="52">
        <v>11</v>
      </c>
      <c r="Q227" s="52">
        <v>12</v>
      </c>
      <c r="R227" s="52">
        <v>13</v>
      </c>
      <c r="S227" s="52">
        <v>14</v>
      </c>
      <c r="T227" s="52">
        <v>15</v>
      </c>
      <c r="U227" s="52">
        <v>16</v>
      </c>
      <c r="V227" s="52">
        <v>17</v>
      </c>
      <c r="W227" s="52">
        <v>18</v>
      </c>
      <c r="X227" s="52">
        <v>19</v>
      </c>
      <c r="Y227" s="52">
        <v>20</v>
      </c>
      <c r="Z227" s="52">
        <v>21</v>
      </c>
      <c r="AA227" s="52">
        <v>22</v>
      </c>
      <c r="AB227" s="52">
        <v>23</v>
      </c>
      <c r="AC227" s="52">
        <v>24</v>
      </c>
      <c r="AD227" s="52">
        <v>25</v>
      </c>
      <c r="AE227" s="52">
        <v>26</v>
      </c>
      <c r="AF227" s="52">
        <v>27</v>
      </c>
      <c r="AG227" s="52">
        <v>28</v>
      </c>
      <c r="AH227" s="52">
        <v>29</v>
      </c>
      <c r="AI227" s="52">
        <v>30</v>
      </c>
      <c r="AJ227" s="52">
        <v>31</v>
      </c>
      <c r="AK227" s="52">
        <v>32</v>
      </c>
      <c r="AL227" s="52">
        <v>33</v>
      </c>
      <c r="AM227" s="52">
        <v>34</v>
      </c>
      <c r="AN227" s="52">
        <v>35</v>
      </c>
      <c r="AO227" s="52">
        <v>36</v>
      </c>
      <c r="AP227" s="52">
        <v>37</v>
      </c>
      <c r="AQ227" s="52">
        <v>38</v>
      </c>
      <c r="AR227" s="52">
        <v>39</v>
      </c>
      <c r="AS227" s="52">
        <v>40</v>
      </c>
      <c r="AT227" s="52">
        <v>41</v>
      </c>
      <c r="AU227" s="52">
        <v>42</v>
      </c>
      <c r="AV227" s="52">
        <v>43</v>
      </c>
      <c r="AW227" s="52">
        <v>44</v>
      </c>
      <c r="AX227" s="52">
        <v>45</v>
      </c>
      <c r="AY227" s="52">
        <v>46</v>
      </c>
      <c r="AZ227" s="52">
        <v>47</v>
      </c>
      <c r="BA227" s="52">
        <v>48</v>
      </c>
      <c r="BB227" s="52">
        <v>49</v>
      </c>
      <c r="BC227" s="52">
        <v>50</v>
      </c>
      <c r="BD227" s="52">
        <v>51</v>
      </c>
      <c r="BE227" s="52">
        <v>52</v>
      </c>
      <c r="BF227" s="52">
        <v>53</v>
      </c>
      <c r="BG227" s="52">
        <v>54</v>
      </c>
      <c r="BH227" s="52">
        <v>55</v>
      </c>
      <c r="BI227" s="52">
        <v>56</v>
      </c>
      <c r="BJ227" s="52">
        <v>57</v>
      </c>
      <c r="BK227" s="52">
        <v>58</v>
      </c>
      <c r="BL227" s="52">
        <v>59</v>
      </c>
      <c r="BM227" s="52">
        <v>60</v>
      </c>
      <c r="BN227" s="52">
        <v>61</v>
      </c>
      <c r="BO227" s="52">
        <v>62</v>
      </c>
      <c r="BP227" s="52">
        <v>63</v>
      </c>
      <c r="BQ227" s="52">
        <v>64</v>
      </c>
      <c r="BR227" s="52">
        <v>65</v>
      </c>
      <c r="BS227" s="52">
        <v>66</v>
      </c>
      <c r="BT227" s="52">
        <v>67</v>
      </c>
      <c r="BU227" s="52">
        <v>68</v>
      </c>
      <c r="BV227" s="52">
        <v>69</v>
      </c>
      <c r="BW227" s="52">
        <v>70</v>
      </c>
      <c r="BX227" s="52">
        <v>71</v>
      </c>
      <c r="BY227" s="52">
        <v>72</v>
      </c>
      <c r="BZ227" s="52">
        <v>73</v>
      </c>
      <c r="CA227" s="52">
        <v>74</v>
      </c>
      <c r="CB227" s="52">
        <v>75</v>
      </c>
      <c r="CC227" s="52">
        <v>76</v>
      </c>
      <c r="CD227" s="52">
        <v>77</v>
      </c>
      <c r="CE227" s="52">
        <v>78</v>
      </c>
      <c r="CF227" s="52">
        <v>79</v>
      </c>
      <c r="CG227" s="52">
        <v>80</v>
      </c>
      <c r="CH227" s="52">
        <v>81</v>
      </c>
      <c r="CI227" s="52">
        <v>82</v>
      </c>
      <c r="CJ227" s="52">
        <v>83</v>
      </c>
      <c r="CK227" s="52">
        <v>84</v>
      </c>
      <c r="CL227" s="52">
        <v>85</v>
      </c>
      <c r="CM227" s="52">
        <v>86</v>
      </c>
      <c r="CN227" s="52">
        <v>87</v>
      </c>
      <c r="CO227" s="52">
        <v>88</v>
      </c>
      <c r="CP227" s="52">
        <v>89</v>
      </c>
      <c r="CQ227" s="52">
        <v>90</v>
      </c>
      <c r="CR227" s="52">
        <v>91</v>
      </c>
      <c r="CS227" s="52">
        <v>92</v>
      </c>
      <c r="CT227" s="52">
        <v>93</v>
      </c>
      <c r="CU227" s="52">
        <v>94</v>
      </c>
      <c r="CV227" s="52">
        <v>95</v>
      </c>
      <c r="CW227" s="52">
        <v>96</v>
      </c>
      <c r="CX227" s="52">
        <v>97</v>
      </c>
      <c r="CY227" s="52">
        <v>98</v>
      </c>
      <c r="CZ227" s="52">
        <v>99</v>
      </c>
      <c r="DA227" s="52">
        <v>100</v>
      </c>
      <c r="DB227" s="70" t="s">
        <v>76</v>
      </c>
      <c r="DC227" s="70" t="s">
        <v>335</v>
      </c>
      <c r="DD227" s="70" t="s">
        <v>336</v>
      </c>
    </row>
    <row r="228" spans="1:108" x14ac:dyDescent="0.2">
      <c r="A228" s="273"/>
      <c r="B228" s="273"/>
      <c r="C228" s="273"/>
      <c r="D228" s="274">
        <v>2012</v>
      </c>
      <c r="E228" s="275">
        <v>157077</v>
      </c>
      <c r="F228" s="275">
        <v>150320</v>
      </c>
      <c r="G228" s="275">
        <v>153201</v>
      </c>
      <c r="H228" s="275">
        <v>152221</v>
      </c>
      <c r="I228" s="275">
        <v>151594</v>
      </c>
      <c r="J228" s="275">
        <v>149983</v>
      </c>
      <c r="K228" s="275">
        <v>149918</v>
      </c>
      <c r="L228" s="275">
        <v>145515</v>
      </c>
      <c r="M228" s="275">
        <v>142886</v>
      </c>
      <c r="N228" s="275">
        <v>140855</v>
      </c>
      <c r="O228" s="275">
        <v>140490</v>
      </c>
      <c r="P228" s="275">
        <v>142790</v>
      </c>
      <c r="Q228" s="275">
        <v>142720</v>
      </c>
      <c r="R228" s="275">
        <v>143329</v>
      </c>
      <c r="S228" s="275">
        <v>143823</v>
      </c>
      <c r="T228" s="275">
        <v>145494</v>
      </c>
      <c r="U228" s="275">
        <v>147159</v>
      </c>
      <c r="V228" s="275">
        <v>151181</v>
      </c>
      <c r="W228" s="275">
        <v>151706</v>
      </c>
      <c r="X228" s="275">
        <v>154159</v>
      </c>
      <c r="Y228" s="275">
        <v>157094</v>
      </c>
      <c r="Z228" s="275">
        <v>162833</v>
      </c>
      <c r="AA228" s="275">
        <v>169617</v>
      </c>
      <c r="AB228" s="275">
        <v>169458</v>
      </c>
      <c r="AC228" s="275">
        <v>169636</v>
      </c>
      <c r="AD228" s="275">
        <v>170388</v>
      </c>
      <c r="AE228" s="275">
        <v>172106</v>
      </c>
      <c r="AF228" s="275">
        <v>172487</v>
      </c>
      <c r="AG228" s="275">
        <v>171157</v>
      </c>
      <c r="AH228" s="275">
        <v>172104</v>
      </c>
      <c r="AI228" s="275">
        <v>167876</v>
      </c>
      <c r="AJ228" s="275">
        <v>164842</v>
      </c>
      <c r="AK228" s="275">
        <v>158216</v>
      </c>
      <c r="AL228" s="275">
        <v>155038</v>
      </c>
      <c r="AM228" s="275">
        <v>151584</v>
      </c>
      <c r="AN228" s="275">
        <v>151188</v>
      </c>
      <c r="AO228" s="275">
        <v>151533</v>
      </c>
      <c r="AP228" s="275">
        <v>153848</v>
      </c>
      <c r="AQ228" s="275">
        <v>156955</v>
      </c>
      <c r="AR228" s="275">
        <v>160797</v>
      </c>
      <c r="AS228" s="275">
        <v>167435</v>
      </c>
      <c r="AT228" s="275">
        <v>169797</v>
      </c>
      <c r="AU228" s="275">
        <v>161443</v>
      </c>
      <c r="AV228" s="275">
        <v>158940</v>
      </c>
      <c r="AW228" s="275">
        <v>153147</v>
      </c>
      <c r="AX228" s="275">
        <v>149485</v>
      </c>
      <c r="AY228" s="275">
        <v>148968</v>
      </c>
      <c r="AZ228" s="275">
        <v>150198</v>
      </c>
      <c r="BA228" s="275">
        <v>154564</v>
      </c>
      <c r="BB228" s="275">
        <v>155957</v>
      </c>
      <c r="BC228" s="275">
        <v>156432</v>
      </c>
      <c r="BD228" s="275">
        <v>155545</v>
      </c>
      <c r="BE228" s="275">
        <v>150051</v>
      </c>
      <c r="BF228" s="275">
        <v>148165</v>
      </c>
      <c r="BG228" s="275">
        <v>144308</v>
      </c>
      <c r="BH228" s="275">
        <v>141248</v>
      </c>
      <c r="BI228" s="275">
        <v>139670</v>
      </c>
      <c r="BJ228" s="275">
        <v>134811</v>
      </c>
      <c r="BK228" s="275">
        <v>130539</v>
      </c>
      <c r="BL228" s="275">
        <v>129448</v>
      </c>
      <c r="BM228" s="275">
        <v>125341</v>
      </c>
      <c r="BN228" s="275">
        <v>123661</v>
      </c>
      <c r="BO228" s="275">
        <v>121330</v>
      </c>
      <c r="BP228" s="275">
        <v>118334</v>
      </c>
      <c r="BQ228" s="275">
        <v>119676</v>
      </c>
      <c r="BR228" s="275">
        <v>123900</v>
      </c>
      <c r="BS228" s="275">
        <v>104733</v>
      </c>
      <c r="BT228" s="275">
        <v>99727</v>
      </c>
      <c r="BU228" s="275">
        <v>94733</v>
      </c>
      <c r="BV228" s="275">
        <v>85161</v>
      </c>
      <c r="BW228" s="275">
        <v>83710</v>
      </c>
      <c r="BX228" s="275">
        <v>77433</v>
      </c>
      <c r="BY228" s="275">
        <v>74237</v>
      </c>
      <c r="BZ228" s="275">
        <v>70065</v>
      </c>
      <c r="CA228" s="275">
        <v>65658</v>
      </c>
      <c r="CB228" s="275">
        <v>62216</v>
      </c>
      <c r="CC228" s="275">
        <v>57480</v>
      </c>
      <c r="CD228" s="275">
        <v>52297</v>
      </c>
      <c r="CE228" s="275">
        <v>49098</v>
      </c>
      <c r="CF228" s="275">
        <v>46152</v>
      </c>
      <c r="CG228" s="275">
        <v>43429</v>
      </c>
      <c r="CH228" s="275">
        <v>42262</v>
      </c>
      <c r="CI228" s="275">
        <v>39380</v>
      </c>
      <c r="CJ228" s="275">
        <v>35570</v>
      </c>
      <c r="CK228" s="275">
        <v>32072</v>
      </c>
      <c r="CL228" s="275">
        <v>28245</v>
      </c>
      <c r="CM228" s="275">
        <v>24763</v>
      </c>
      <c r="CN228" s="275">
        <v>20787</v>
      </c>
      <c r="CO228" s="275">
        <v>17391</v>
      </c>
      <c r="CP228" s="275">
        <v>14064</v>
      </c>
      <c r="CQ228" s="275">
        <v>11740</v>
      </c>
      <c r="CR228" s="275">
        <v>8986</v>
      </c>
      <c r="CS228" s="275">
        <v>6760</v>
      </c>
      <c r="CT228" s="275">
        <v>4239</v>
      </c>
      <c r="CU228" s="275">
        <v>3112</v>
      </c>
      <c r="CV228" s="275">
        <v>2277</v>
      </c>
      <c r="CW228" s="275">
        <v>1663</v>
      </c>
      <c r="CX228" s="275">
        <v>1096</v>
      </c>
      <c r="CY228" s="275">
        <v>690</v>
      </c>
      <c r="CZ228" s="275">
        <v>455</v>
      </c>
      <c r="DA228" s="275">
        <v>639</v>
      </c>
      <c r="DB228" s="276">
        <f t="shared" ref="DB228:DB244" si="66">SUM(E228:DA228)</f>
        <v>11309891</v>
      </c>
      <c r="DC228" s="277">
        <f t="shared" ref="DC228:DC244" si="67">DB228/1000000</f>
        <v>11.309891</v>
      </c>
      <c r="DD228" s="278"/>
    </row>
    <row r="229" spans="1:108" x14ac:dyDescent="0.2">
      <c r="A229" s="273"/>
      <c r="B229" s="273"/>
      <c r="C229" s="273"/>
      <c r="D229" s="274">
        <v>2013</v>
      </c>
      <c r="E229" s="275">
        <v>158747</v>
      </c>
      <c r="F229" s="275">
        <v>158052</v>
      </c>
      <c r="G229" s="275">
        <v>152196</v>
      </c>
      <c r="H229" s="275">
        <v>155193</v>
      </c>
      <c r="I229" s="275">
        <v>154181</v>
      </c>
      <c r="J229" s="275">
        <v>153489</v>
      </c>
      <c r="K229" s="275">
        <v>151731</v>
      </c>
      <c r="L229" s="275">
        <v>151491</v>
      </c>
      <c r="M229" s="275">
        <v>147018</v>
      </c>
      <c r="N229" s="275">
        <v>144357</v>
      </c>
      <c r="O229" s="275">
        <v>142276</v>
      </c>
      <c r="P229" s="275">
        <v>141861</v>
      </c>
      <c r="Q229" s="275">
        <v>144145</v>
      </c>
      <c r="R229" s="275">
        <v>144057</v>
      </c>
      <c r="S229" s="275">
        <v>144689</v>
      </c>
      <c r="T229" s="275">
        <v>145441</v>
      </c>
      <c r="U229" s="275">
        <v>147550</v>
      </c>
      <c r="V229" s="275">
        <v>149708</v>
      </c>
      <c r="W229" s="275">
        <v>154580</v>
      </c>
      <c r="X229" s="275">
        <v>156103</v>
      </c>
      <c r="Y229" s="275">
        <v>158857</v>
      </c>
      <c r="Z229" s="275">
        <v>161469</v>
      </c>
      <c r="AA229" s="275">
        <v>167172</v>
      </c>
      <c r="AB229" s="275">
        <v>174099</v>
      </c>
      <c r="AC229" s="275">
        <v>173381</v>
      </c>
      <c r="AD229" s="275">
        <v>172754</v>
      </c>
      <c r="AE229" s="275">
        <v>173191</v>
      </c>
      <c r="AF229" s="275">
        <v>174944</v>
      </c>
      <c r="AG229" s="275">
        <v>175518</v>
      </c>
      <c r="AH229" s="275">
        <v>174417</v>
      </c>
      <c r="AI229" s="275">
        <v>175412</v>
      </c>
      <c r="AJ229" s="275">
        <v>170868</v>
      </c>
      <c r="AK229" s="275">
        <v>167414</v>
      </c>
      <c r="AL229" s="275">
        <v>160575</v>
      </c>
      <c r="AM229" s="275">
        <v>157240</v>
      </c>
      <c r="AN229" s="275">
        <v>153660</v>
      </c>
      <c r="AO229" s="275">
        <v>153128</v>
      </c>
      <c r="AP229" s="275">
        <v>153301</v>
      </c>
      <c r="AQ229" s="275">
        <v>155530</v>
      </c>
      <c r="AR229" s="275">
        <v>158584</v>
      </c>
      <c r="AS229" s="275">
        <v>162307</v>
      </c>
      <c r="AT229" s="275">
        <v>168811</v>
      </c>
      <c r="AU229" s="275">
        <v>171081</v>
      </c>
      <c r="AV229" s="275">
        <v>162617</v>
      </c>
      <c r="AW229" s="275">
        <v>159895</v>
      </c>
      <c r="AX229" s="275">
        <v>153881</v>
      </c>
      <c r="AY229" s="275">
        <v>150088</v>
      </c>
      <c r="AZ229" s="275">
        <v>149473</v>
      </c>
      <c r="BA229" s="275">
        <v>150607</v>
      </c>
      <c r="BB229" s="275">
        <v>154839</v>
      </c>
      <c r="BC229" s="275">
        <v>156118</v>
      </c>
      <c r="BD229" s="275">
        <v>156509</v>
      </c>
      <c r="BE229" s="275">
        <v>155539</v>
      </c>
      <c r="BF229" s="275">
        <v>150001</v>
      </c>
      <c r="BG229" s="275">
        <v>148041</v>
      </c>
      <c r="BH229" s="275">
        <v>144051</v>
      </c>
      <c r="BI229" s="275">
        <v>140882</v>
      </c>
      <c r="BJ229" s="275">
        <v>139261</v>
      </c>
      <c r="BK229" s="275">
        <v>134377</v>
      </c>
      <c r="BL229" s="275">
        <v>130070</v>
      </c>
      <c r="BM229" s="275">
        <v>128915</v>
      </c>
      <c r="BN229" s="275">
        <v>124728</v>
      </c>
      <c r="BO229" s="275">
        <v>122952</v>
      </c>
      <c r="BP229" s="275">
        <v>120542</v>
      </c>
      <c r="BQ229" s="275">
        <v>117443</v>
      </c>
      <c r="BR229" s="275">
        <v>118594</v>
      </c>
      <c r="BS229" s="275">
        <v>122619</v>
      </c>
      <c r="BT229" s="275">
        <v>103550</v>
      </c>
      <c r="BU229" s="275">
        <v>98472</v>
      </c>
      <c r="BV229" s="275">
        <v>93398</v>
      </c>
      <c r="BW229" s="275">
        <v>83816</v>
      </c>
      <c r="BX229" s="275">
        <v>82249</v>
      </c>
      <c r="BY229" s="275">
        <v>75944</v>
      </c>
      <c r="BZ229" s="275">
        <v>72647</v>
      </c>
      <c r="CA229" s="275">
        <v>68391</v>
      </c>
      <c r="CB229" s="275">
        <v>63903</v>
      </c>
      <c r="CC229" s="275">
        <v>60350</v>
      </c>
      <c r="CD229" s="275">
        <v>55544</v>
      </c>
      <c r="CE229" s="275">
        <v>50319</v>
      </c>
      <c r="CF229" s="275">
        <v>47002</v>
      </c>
      <c r="CG229" s="275">
        <v>43930</v>
      </c>
      <c r="CH229" s="275">
        <v>41071</v>
      </c>
      <c r="CI229" s="275">
        <v>39677</v>
      </c>
      <c r="CJ229" s="275">
        <v>36668</v>
      </c>
      <c r="CK229" s="275">
        <v>32811</v>
      </c>
      <c r="CL229" s="275">
        <v>29277</v>
      </c>
      <c r="CM229" s="275">
        <v>25479</v>
      </c>
      <c r="CN229" s="275">
        <v>22052</v>
      </c>
      <c r="CO229" s="275">
        <v>18262</v>
      </c>
      <c r="CP229" s="275">
        <v>15059</v>
      </c>
      <c r="CQ229" s="275">
        <v>11996</v>
      </c>
      <c r="CR229" s="275">
        <v>9858</v>
      </c>
      <c r="CS229" s="275">
        <v>7424</v>
      </c>
      <c r="CT229" s="275">
        <v>5481</v>
      </c>
      <c r="CU229" s="275">
        <v>3364</v>
      </c>
      <c r="CV229" s="275">
        <v>2415</v>
      </c>
      <c r="CW229" s="275">
        <v>1729</v>
      </c>
      <c r="CX229" s="275">
        <v>1243</v>
      </c>
      <c r="CY229" s="275">
        <v>807</v>
      </c>
      <c r="CZ229" s="275">
        <v>500</v>
      </c>
      <c r="DA229" s="275">
        <v>782</v>
      </c>
      <c r="DB229" s="276">
        <f t="shared" si="66"/>
        <v>11508090</v>
      </c>
      <c r="DC229" s="277">
        <f t="shared" si="67"/>
        <v>11.508089999999999</v>
      </c>
      <c r="DD229" s="279">
        <f>(DC229-DC228)/DC228</f>
        <v>1.752439523952962E-2</v>
      </c>
    </row>
    <row r="230" spans="1:108" x14ac:dyDescent="0.2">
      <c r="A230" s="273"/>
      <c r="B230" s="273"/>
      <c r="C230" s="273"/>
      <c r="D230" s="274">
        <v>2014</v>
      </c>
      <c r="E230" s="275">
        <v>161153</v>
      </c>
      <c r="F230" s="275">
        <v>159747</v>
      </c>
      <c r="G230" s="275">
        <v>159970</v>
      </c>
      <c r="H230" s="275">
        <v>154231</v>
      </c>
      <c r="I230" s="275">
        <v>157194</v>
      </c>
      <c r="J230" s="275">
        <v>156116</v>
      </c>
      <c r="K230" s="275">
        <v>155274</v>
      </c>
      <c r="L230" s="275">
        <v>153337</v>
      </c>
      <c r="M230" s="275">
        <v>153026</v>
      </c>
      <c r="N230" s="275">
        <v>148521</v>
      </c>
      <c r="O230" s="275">
        <v>145807</v>
      </c>
      <c r="P230" s="275">
        <v>143676</v>
      </c>
      <c r="Q230" s="275">
        <v>143245</v>
      </c>
      <c r="R230" s="275">
        <v>145510</v>
      </c>
      <c r="S230" s="275">
        <v>145448</v>
      </c>
      <c r="T230" s="275">
        <v>146342</v>
      </c>
      <c r="U230" s="275">
        <v>147544</v>
      </c>
      <c r="V230" s="275">
        <v>150156</v>
      </c>
      <c r="W230" s="275">
        <v>153183</v>
      </c>
      <c r="X230" s="275">
        <v>159071</v>
      </c>
      <c r="Y230" s="275">
        <v>160905</v>
      </c>
      <c r="Z230" s="275">
        <v>163330</v>
      </c>
      <c r="AA230" s="275">
        <v>165906</v>
      </c>
      <c r="AB230" s="275">
        <v>171759</v>
      </c>
      <c r="AC230" s="275">
        <v>178106</v>
      </c>
      <c r="AD230" s="275">
        <v>176570</v>
      </c>
      <c r="AE230" s="275">
        <v>175620</v>
      </c>
      <c r="AF230" s="275">
        <v>176093</v>
      </c>
      <c r="AG230" s="275">
        <v>178042</v>
      </c>
      <c r="AH230" s="275">
        <v>178849</v>
      </c>
      <c r="AI230" s="275">
        <v>177802</v>
      </c>
      <c r="AJ230" s="275">
        <v>178465</v>
      </c>
      <c r="AK230" s="275">
        <v>173496</v>
      </c>
      <c r="AL230" s="275">
        <v>169821</v>
      </c>
      <c r="AM230" s="275">
        <v>162824</v>
      </c>
      <c r="AN230" s="275">
        <v>159360</v>
      </c>
      <c r="AO230" s="275">
        <v>155644</v>
      </c>
      <c r="AP230" s="275">
        <v>154938</v>
      </c>
      <c r="AQ230" s="275">
        <v>155024</v>
      </c>
      <c r="AR230" s="275">
        <v>157202</v>
      </c>
      <c r="AS230" s="275">
        <v>160136</v>
      </c>
      <c r="AT230" s="275">
        <v>163728</v>
      </c>
      <c r="AU230" s="275">
        <v>170133</v>
      </c>
      <c r="AV230" s="275">
        <v>172275</v>
      </c>
      <c r="AW230" s="275">
        <v>163595</v>
      </c>
      <c r="AX230" s="275">
        <v>160642</v>
      </c>
      <c r="AY230" s="275">
        <v>154496</v>
      </c>
      <c r="AZ230" s="275">
        <v>150612</v>
      </c>
      <c r="BA230" s="275">
        <v>149902</v>
      </c>
      <c r="BB230" s="275">
        <v>150912</v>
      </c>
      <c r="BC230" s="275">
        <v>155020</v>
      </c>
      <c r="BD230" s="275">
        <v>156216</v>
      </c>
      <c r="BE230" s="275">
        <v>156517</v>
      </c>
      <c r="BF230" s="275">
        <v>155488</v>
      </c>
      <c r="BG230" s="275">
        <v>149889</v>
      </c>
      <c r="BH230" s="275">
        <v>147786</v>
      </c>
      <c r="BI230" s="275">
        <v>143692</v>
      </c>
      <c r="BJ230" s="275">
        <v>140486</v>
      </c>
      <c r="BK230" s="275">
        <v>138825</v>
      </c>
      <c r="BL230" s="275">
        <v>133911</v>
      </c>
      <c r="BM230" s="275">
        <v>129560</v>
      </c>
      <c r="BN230" s="275">
        <v>128308</v>
      </c>
      <c r="BO230" s="275">
        <v>124042</v>
      </c>
      <c r="BP230" s="275">
        <v>122183</v>
      </c>
      <c r="BQ230" s="275">
        <v>119666</v>
      </c>
      <c r="BR230" s="275">
        <v>116423</v>
      </c>
      <c r="BS230" s="275">
        <v>117411</v>
      </c>
      <c r="BT230" s="275">
        <v>121270</v>
      </c>
      <c r="BU230" s="275">
        <v>102291</v>
      </c>
      <c r="BV230" s="275">
        <v>97130</v>
      </c>
      <c r="BW230" s="275">
        <v>91968</v>
      </c>
      <c r="BX230" s="275">
        <v>82402</v>
      </c>
      <c r="BY230" s="275">
        <v>80715</v>
      </c>
      <c r="BZ230" s="275">
        <v>74368</v>
      </c>
      <c r="CA230" s="275">
        <v>70962</v>
      </c>
      <c r="CB230" s="275">
        <v>66616</v>
      </c>
      <c r="CC230" s="275">
        <v>62039</v>
      </c>
      <c r="CD230" s="275">
        <v>58373</v>
      </c>
      <c r="CE230" s="275">
        <v>53497</v>
      </c>
      <c r="CF230" s="275">
        <v>48224</v>
      </c>
      <c r="CG230" s="275">
        <v>44792</v>
      </c>
      <c r="CH230" s="275">
        <v>41598</v>
      </c>
      <c r="CI230" s="275">
        <v>38612</v>
      </c>
      <c r="CJ230" s="275">
        <v>36997</v>
      </c>
      <c r="CK230" s="275">
        <v>33874</v>
      </c>
      <c r="CL230" s="275">
        <v>29999</v>
      </c>
      <c r="CM230" s="275">
        <v>26453</v>
      </c>
      <c r="CN230" s="275">
        <v>22728</v>
      </c>
      <c r="CO230" s="275">
        <v>19408</v>
      </c>
      <c r="CP230" s="275">
        <v>15842</v>
      </c>
      <c r="CQ230" s="275">
        <v>12867</v>
      </c>
      <c r="CR230" s="275">
        <v>10089</v>
      </c>
      <c r="CS230" s="275">
        <v>8157</v>
      </c>
      <c r="CT230" s="275">
        <v>6027</v>
      </c>
      <c r="CU230" s="275">
        <v>4354</v>
      </c>
      <c r="CV230" s="275">
        <v>2612</v>
      </c>
      <c r="CW230" s="275">
        <v>1834</v>
      </c>
      <c r="CX230" s="275">
        <v>1292</v>
      </c>
      <c r="CY230" s="275">
        <v>916</v>
      </c>
      <c r="CZ230" s="275">
        <v>585</v>
      </c>
      <c r="DA230" s="275">
        <v>918</v>
      </c>
      <c r="DB230" s="276">
        <f t="shared" si="66"/>
        <v>11709970</v>
      </c>
      <c r="DC230" s="277">
        <f t="shared" si="67"/>
        <v>11.70997</v>
      </c>
      <c r="DD230" s="279">
        <f t="shared" ref="DD230:DD244" si="68">(DC230-DC229)/DC229</f>
        <v>1.7542441882189046E-2</v>
      </c>
    </row>
    <row r="231" spans="1:108" x14ac:dyDescent="0.2">
      <c r="A231" s="273"/>
      <c r="B231" s="273"/>
      <c r="C231" s="273"/>
      <c r="D231" s="274">
        <v>2015</v>
      </c>
      <c r="E231" s="275">
        <v>163626</v>
      </c>
      <c r="F231" s="275">
        <v>162196</v>
      </c>
      <c r="G231" s="275">
        <v>161737</v>
      </c>
      <c r="H231" s="275">
        <v>162082</v>
      </c>
      <c r="I231" s="275">
        <v>156309</v>
      </c>
      <c r="J231" s="275">
        <v>159201</v>
      </c>
      <c r="K231" s="275">
        <v>157967</v>
      </c>
      <c r="L231" s="275">
        <v>156939</v>
      </c>
      <c r="M231" s="275">
        <v>154930</v>
      </c>
      <c r="N231" s="275">
        <v>154584</v>
      </c>
      <c r="O231" s="275">
        <v>150026</v>
      </c>
      <c r="P231" s="275">
        <v>147259</v>
      </c>
      <c r="Q231" s="275">
        <v>145112</v>
      </c>
      <c r="R231" s="275">
        <v>144662</v>
      </c>
      <c r="S231" s="275">
        <v>146954</v>
      </c>
      <c r="T231" s="275">
        <v>147165</v>
      </c>
      <c r="U231" s="275">
        <v>148525</v>
      </c>
      <c r="V231" s="275">
        <v>150252</v>
      </c>
      <c r="W231" s="275">
        <v>153766</v>
      </c>
      <c r="X231" s="275">
        <v>157848</v>
      </c>
      <c r="Y231" s="275">
        <v>164056</v>
      </c>
      <c r="Z231" s="275">
        <v>165550</v>
      </c>
      <c r="AA231" s="275">
        <v>167938</v>
      </c>
      <c r="AB231" s="275">
        <v>170670</v>
      </c>
      <c r="AC231" s="275">
        <v>175925</v>
      </c>
      <c r="AD231" s="275">
        <v>181418</v>
      </c>
      <c r="AE231" s="275">
        <v>179548</v>
      </c>
      <c r="AF231" s="275">
        <v>178637</v>
      </c>
      <c r="AG231" s="275">
        <v>179315</v>
      </c>
      <c r="AH231" s="275">
        <v>181505</v>
      </c>
      <c r="AI231" s="275">
        <v>182364</v>
      </c>
      <c r="AJ231" s="275">
        <v>180976</v>
      </c>
      <c r="AK231" s="275">
        <v>181194</v>
      </c>
      <c r="AL231" s="275">
        <v>175996</v>
      </c>
      <c r="AM231" s="275">
        <v>172154</v>
      </c>
      <c r="AN231" s="275">
        <v>165026</v>
      </c>
      <c r="AO231" s="275">
        <v>161421</v>
      </c>
      <c r="AP231" s="275">
        <v>157528</v>
      </c>
      <c r="AQ231" s="275">
        <v>156734</v>
      </c>
      <c r="AR231" s="275">
        <v>156769</v>
      </c>
      <c r="AS231" s="275">
        <v>158825</v>
      </c>
      <c r="AT231" s="275">
        <v>161626</v>
      </c>
      <c r="AU231" s="275">
        <v>165118</v>
      </c>
      <c r="AV231" s="275">
        <v>171387</v>
      </c>
      <c r="AW231" s="275">
        <v>173286</v>
      </c>
      <c r="AX231" s="275">
        <v>164376</v>
      </c>
      <c r="AY231" s="275">
        <v>161284</v>
      </c>
      <c r="AZ231" s="275">
        <v>155047</v>
      </c>
      <c r="BA231" s="275">
        <v>151074</v>
      </c>
      <c r="BB231" s="275">
        <v>150238</v>
      </c>
      <c r="BC231" s="275">
        <v>151133</v>
      </c>
      <c r="BD231" s="275">
        <v>155147</v>
      </c>
      <c r="BE231" s="275">
        <v>156254</v>
      </c>
      <c r="BF231" s="275">
        <v>156491</v>
      </c>
      <c r="BG231" s="275">
        <v>155383</v>
      </c>
      <c r="BH231" s="275">
        <v>149652</v>
      </c>
      <c r="BI231" s="275">
        <v>147434</v>
      </c>
      <c r="BJ231" s="275">
        <v>143311</v>
      </c>
      <c r="BK231" s="275">
        <v>140071</v>
      </c>
      <c r="BL231" s="275">
        <v>138361</v>
      </c>
      <c r="BM231" s="275">
        <v>133409</v>
      </c>
      <c r="BN231" s="275">
        <v>128980</v>
      </c>
      <c r="BO231" s="275">
        <v>127629</v>
      </c>
      <c r="BP231" s="275">
        <v>123300</v>
      </c>
      <c r="BQ231" s="275">
        <v>121331</v>
      </c>
      <c r="BR231" s="275">
        <v>118662</v>
      </c>
      <c r="BS231" s="275">
        <v>115305</v>
      </c>
      <c r="BT231" s="275">
        <v>116170</v>
      </c>
      <c r="BU231" s="275">
        <v>119835</v>
      </c>
      <c r="BV231" s="275">
        <v>100944</v>
      </c>
      <c r="BW231" s="275">
        <v>95694</v>
      </c>
      <c r="BX231" s="275">
        <v>90464</v>
      </c>
      <c r="BY231" s="275">
        <v>80917</v>
      </c>
      <c r="BZ231" s="275">
        <v>79092</v>
      </c>
      <c r="CA231" s="275">
        <v>72697</v>
      </c>
      <c r="CB231" s="275">
        <v>69175</v>
      </c>
      <c r="CC231" s="275">
        <v>64727</v>
      </c>
      <c r="CD231" s="275">
        <v>60063</v>
      </c>
      <c r="CE231" s="275">
        <v>56278</v>
      </c>
      <c r="CF231" s="275">
        <v>51325</v>
      </c>
      <c r="CG231" s="275">
        <v>46011</v>
      </c>
      <c r="CH231" s="275">
        <v>42467</v>
      </c>
      <c r="CI231" s="275">
        <v>39159</v>
      </c>
      <c r="CJ231" s="275">
        <v>36055</v>
      </c>
      <c r="CK231" s="275">
        <v>34229</v>
      </c>
      <c r="CL231" s="275">
        <v>31019</v>
      </c>
      <c r="CM231" s="275">
        <v>27149</v>
      </c>
      <c r="CN231" s="275">
        <v>23637</v>
      </c>
      <c r="CO231" s="275">
        <v>20037</v>
      </c>
      <c r="CP231" s="275">
        <v>16865</v>
      </c>
      <c r="CQ231" s="275">
        <v>13559</v>
      </c>
      <c r="CR231" s="275">
        <v>10839</v>
      </c>
      <c r="CS231" s="275">
        <v>8360</v>
      </c>
      <c r="CT231" s="275">
        <v>6631</v>
      </c>
      <c r="CU231" s="275">
        <v>4792</v>
      </c>
      <c r="CV231" s="275">
        <v>3381</v>
      </c>
      <c r="CW231" s="275">
        <v>1984</v>
      </c>
      <c r="CX231" s="275">
        <v>1371</v>
      </c>
      <c r="CY231" s="275">
        <v>952</v>
      </c>
      <c r="CZ231" s="275">
        <v>664</v>
      </c>
      <c r="DA231" s="275">
        <v>1078</v>
      </c>
      <c r="DB231" s="276">
        <f t="shared" si="66"/>
        <v>11917598</v>
      </c>
      <c r="DC231" s="277">
        <f t="shared" si="67"/>
        <v>11.917598</v>
      </c>
      <c r="DD231" s="279">
        <f t="shared" si="68"/>
        <v>1.7730873776790178E-2</v>
      </c>
    </row>
    <row r="232" spans="1:108" x14ac:dyDescent="0.2">
      <c r="A232" s="273"/>
      <c r="B232" s="273"/>
      <c r="C232" s="273"/>
      <c r="D232" s="274">
        <v>2016</v>
      </c>
      <c r="E232" s="275">
        <v>166071</v>
      </c>
      <c r="F232" s="275">
        <v>164670</v>
      </c>
      <c r="G232" s="275">
        <v>164186</v>
      </c>
      <c r="H232" s="275">
        <v>163851</v>
      </c>
      <c r="I232" s="275">
        <v>164159</v>
      </c>
      <c r="J232" s="275">
        <v>158316</v>
      </c>
      <c r="K232" s="275">
        <v>161054</v>
      </c>
      <c r="L232" s="275">
        <v>159632</v>
      </c>
      <c r="M232" s="275">
        <v>158533</v>
      </c>
      <c r="N232" s="275">
        <v>156491</v>
      </c>
      <c r="O232" s="275">
        <v>156090</v>
      </c>
      <c r="P232" s="275">
        <v>151479</v>
      </c>
      <c r="Q232" s="275">
        <v>148695</v>
      </c>
      <c r="R232" s="275">
        <v>146530</v>
      </c>
      <c r="S232" s="275">
        <v>146107</v>
      </c>
      <c r="T232" s="275">
        <v>148672</v>
      </c>
      <c r="U232" s="275">
        <v>149349</v>
      </c>
      <c r="V232" s="275">
        <v>151234</v>
      </c>
      <c r="W232" s="275">
        <v>153865</v>
      </c>
      <c r="X232" s="275">
        <v>158434</v>
      </c>
      <c r="Y232" s="275">
        <v>162837</v>
      </c>
      <c r="Z232" s="275">
        <v>168702</v>
      </c>
      <c r="AA232" s="275">
        <v>170160</v>
      </c>
      <c r="AB232" s="275">
        <v>172706</v>
      </c>
      <c r="AC232" s="275">
        <v>174840</v>
      </c>
      <c r="AD232" s="275">
        <v>179240</v>
      </c>
      <c r="AE232" s="275">
        <v>184397</v>
      </c>
      <c r="AF232" s="275">
        <v>182568</v>
      </c>
      <c r="AG232" s="275">
        <v>181861</v>
      </c>
      <c r="AH232" s="275">
        <v>182779</v>
      </c>
      <c r="AI232" s="275">
        <v>185022</v>
      </c>
      <c r="AJ232" s="275">
        <v>185539</v>
      </c>
      <c r="AK232" s="275">
        <v>183707</v>
      </c>
      <c r="AL232" s="275">
        <v>183691</v>
      </c>
      <c r="AM232" s="275">
        <v>178327</v>
      </c>
      <c r="AN232" s="275">
        <v>174351</v>
      </c>
      <c r="AO232" s="275">
        <v>167084</v>
      </c>
      <c r="AP232" s="275">
        <v>163302</v>
      </c>
      <c r="AQ232" s="275">
        <v>159324</v>
      </c>
      <c r="AR232" s="275">
        <v>158478</v>
      </c>
      <c r="AS232" s="275">
        <v>158396</v>
      </c>
      <c r="AT232" s="275">
        <v>160318</v>
      </c>
      <c r="AU232" s="275">
        <v>163024</v>
      </c>
      <c r="AV232" s="275">
        <v>166381</v>
      </c>
      <c r="AW232" s="275">
        <v>172403</v>
      </c>
      <c r="AX232" s="275">
        <v>174055</v>
      </c>
      <c r="AY232" s="275">
        <v>165012</v>
      </c>
      <c r="AZ232" s="275">
        <v>161824</v>
      </c>
      <c r="BA232" s="275">
        <v>155503</v>
      </c>
      <c r="BB232" s="275">
        <v>151412</v>
      </c>
      <c r="BC232" s="275">
        <v>150465</v>
      </c>
      <c r="BD232" s="275">
        <v>151277</v>
      </c>
      <c r="BE232" s="275">
        <v>155193</v>
      </c>
      <c r="BF232" s="275">
        <v>156235</v>
      </c>
      <c r="BG232" s="275">
        <v>156391</v>
      </c>
      <c r="BH232" s="275">
        <v>155136</v>
      </c>
      <c r="BI232" s="275">
        <v>149305</v>
      </c>
      <c r="BJ232" s="275">
        <v>147048</v>
      </c>
      <c r="BK232" s="275">
        <v>142899</v>
      </c>
      <c r="BL232" s="275">
        <v>139619</v>
      </c>
      <c r="BM232" s="275">
        <v>137853</v>
      </c>
      <c r="BN232" s="275">
        <v>132826</v>
      </c>
      <c r="BO232" s="275">
        <v>128322</v>
      </c>
      <c r="BP232" s="275">
        <v>126889</v>
      </c>
      <c r="BQ232" s="275">
        <v>122468</v>
      </c>
      <c r="BR232" s="275">
        <v>120346</v>
      </c>
      <c r="BS232" s="275">
        <v>117560</v>
      </c>
      <c r="BT232" s="275">
        <v>114131</v>
      </c>
      <c r="BU232" s="275">
        <v>114848</v>
      </c>
      <c r="BV232" s="275">
        <v>118298</v>
      </c>
      <c r="BW232" s="275">
        <v>99499</v>
      </c>
      <c r="BX232" s="275">
        <v>94179</v>
      </c>
      <c r="BY232" s="275">
        <v>88881</v>
      </c>
      <c r="BZ232" s="275">
        <v>79340</v>
      </c>
      <c r="CA232" s="275">
        <v>77367</v>
      </c>
      <c r="CB232" s="275">
        <v>70919</v>
      </c>
      <c r="CC232" s="275">
        <v>67270</v>
      </c>
      <c r="CD232" s="275">
        <v>62722</v>
      </c>
      <c r="CE232" s="275">
        <v>57964</v>
      </c>
      <c r="CF232" s="275">
        <v>54050</v>
      </c>
      <c r="CG232" s="275">
        <v>49026</v>
      </c>
      <c r="CH232" s="275">
        <v>43676</v>
      </c>
      <c r="CI232" s="275">
        <v>40028</v>
      </c>
      <c r="CJ232" s="275">
        <v>36616</v>
      </c>
      <c r="CK232" s="275">
        <v>33406</v>
      </c>
      <c r="CL232" s="275">
        <v>31392</v>
      </c>
      <c r="CM232" s="275">
        <v>28117</v>
      </c>
      <c r="CN232" s="275">
        <v>24298</v>
      </c>
      <c r="CO232" s="275">
        <v>20874</v>
      </c>
      <c r="CP232" s="275">
        <v>17441</v>
      </c>
      <c r="CQ232" s="275">
        <v>14460</v>
      </c>
      <c r="CR232" s="275">
        <v>11440</v>
      </c>
      <c r="CS232" s="275">
        <v>8994</v>
      </c>
      <c r="CT232" s="275">
        <v>6804</v>
      </c>
      <c r="CU232" s="275">
        <v>5276</v>
      </c>
      <c r="CV232" s="275">
        <v>3723</v>
      </c>
      <c r="CW232" s="275">
        <v>2570</v>
      </c>
      <c r="CX232" s="275">
        <v>1484</v>
      </c>
      <c r="CY232" s="275">
        <v>1010</v>
      </c>
      <c r="CZ232" s="275">
        <v>690</v>
      </c>
      <c r="DA232" s="275">
        <v>1251</v>
      </c>
      <c r="DB232" s="276">
        <f t="shared" si="66"/>
        <v>12126537</v>
      </c>
      <c r="DC232" s="277">
        <f t="shared" si="67"/>
        <v>12.126537000000001</v>
      </c>
      <c r="DD232" s="279">
        <f t="shared" si="68"/>
        <v>1.7531972466263829E-2</v>
      </c>
    </row>
    <row r="233" spans="1:108" x14ac:dyDescent="0.2">
      <c r="A233" s="273"/>
      <c r="B233" s="273"/>
      <c r="C233" s="273"/>
      <c r="D233" s="274">
        <v>2017</v>
      </c>
      <c r="E233" s="280">
        <v>157778</v>
      </c>
      <c r="F233" s="280">
        <v>165198</v>
      </c>
      <c r="G233" s="280">
        <v>161751</v>
      </c>
      <c r="H233" s="280">
        <v>161586</v>
      </c>
      <c r="I233" s="280">
        <v>164670</v>
      </c>
      <c r="J233" s="280">
        <v>163471</v>
      </c>
      <c r="K233" s="280">
        <v>163077</v>
      </c>
      <c r="L233" s="280">
        <v>163733</v>
      </c>
      <c r="M233" s="280">
        <v>161900</v>
      </c>
      <c r="N233" s="280">
        <v>161846</v>
      </c>
      <c r="O233" s="280">
        <v>160613</v>
      </c>
      <c r="P233" s="280">
        <v>154852</v>
      </c>
      <c r="Q233" s="280">
        <v>149258</v>
      </c>
      <c r="R233" s="280">
        <v>147537</v>
      </c>
      <c r="S233" s="280">
        <v>144953</v>
      </c>
      <c r="T233" s="280">
        <v>145232</v>
      </c>
      <c r="U233" s="280">
        <v>149213</v>
      </c>
      <c r="V233" s="280">
        <v>150372</v>
      </c>
      <c r="W233" s="280">
        <v>154716</v>
      </c>
      <c r="X233" s="280">
        <v>160578</v>
      </c>
      <c r="Y233" s="280">
        <v>164994</v>
      </c>
      <c r="Z233" s="280">
        <v>170083</v>
      </c>
      <c r="AA233" s="280">
        <v>178365</v>
      </c>
      <c r="AB233" s="280">
        <v>182127</v>
      </c>
      <c r="AC233" s="280">
        <v>183102</v>
      </c>
      <c r="AD233" s="280">
        <v>183688</v>
      </c>
      <c r="AE233" s="280">
        <v>185921</v>
      </c>
      <c r="AF233" s="280">
        <v>187819</v>
      </c>
      <c r="AG233" s="280">
        <v>183833</v>
      </c>
      <c r="AH233" s="280">
        <v>183529</v>
      </c>
      <c r="AI233" s="280">
        <v>181877</v>
      </c>
      <c r="AJ233" s="280">
        <v>183689</v>
      </c>
      <c r="AK233" s="280">
        <v>181327</v>
      </c>
      <c r="AL233" s="280">
        <v>181279</v>
      </c>
      <c r="AM233" s="280">
        <v>180395</v>
      </c>
      <c r="AN233" s="280">
        <v>175652</v>
      </c>
      <c r="AO233" s="280">
        <v>171378</v>
      </c>
      <c r="AP233" s="280">
        <v>164599</v>
      </c>
      <c r="AQ233" s="280">
        <v>159538</v>
      </c>
      <c r="AR233" s="280">
        <v>156770</v>
      </c>
      <c r="AS233" s="280">
        <v>156132</v>
      </c>
      <c r="AT233" s="280">
        <v>157498</v>
      </c>
      <c r="AU233" s="280">
        <v>157885</v>
      </c>
      <c r="AV233" s="280">
        <v>162204</v>
      </c>
      <c r="AW233" s="280">
        <v>163888</v>
      </c>
      <c r="AX233" s="280">
        <v>169056</v>
      </c>
      <c r="AY233" s="280">
        <v>169649</v>
      </c>
      <c r="AZ233" s="280">
        <v>159926</v>
      </c>
      <c r="BA233" s="280">
        <v>156439</v>
      </c>
      <c r="BB233" s="280">
        <v>151833</v>
      </c>
      <c r="BC233" s="280">
        <v>147940</v>
      </c>
      <c r="BD233" s="280">
        <v>148771</v>
      </c>
      <c r="BE233" s="280">
        <v>148298</v>
      </c>
      <c r="BF233" s="280">
        <v>154224</v>
      </c>
      <c r="BG233" s="280">
        <v>155305</v>
      </c>
      <c r="BH233" s="280">
        <v>154600</v>
      </c>
      <c r="BI233" s="280">
        <v>152989</v>
      </c>
      <c r="BJ233" s="280">
        <v>147161</v>
      </c>
      <c r="BK233" s="280">
        <v>143672</v>
      </c>
      <c r="BL233" s="280">
        <v>140383</v>
      </c>
      <c r="BM233" s="280">
        <v>136634</v>
      </c>
      <c r="BN233" s="280">
        <v>135014</v>
      </c>
      <c r="BO233" s="280">
        <v>128596</v>
      </c>
      <c r="BP233" s="280">
        <v>124909</v>
      </c>
      <c r="BQ233" s="280">
        <v>124256</v>
      </c>
      <c r="BR233" s="280">
        <v>121229</v>
      </c>
      <c r="BS233" s="280">
        <v>120040</v>
      </c>
      <c r="BT233" s="280">
        <v>117034</v>
      </c>
      <c r="BU233" s="280">
        <v>113826</v>
      </c>
      <c r="BV233" s="280">
        <v>114543</v>
      </c>
      <c r="BW233" s="280">
        <v>117096</v>
      </c>
      <c r="BX233" s="280">
        <v>98064</v>
      </c>
      <c r="BY233" s="280">
        <v>91825</v>
      </c>
      <c r="BZ233" s="280">
        <v>86596</v>
      </c>
      <c r="CA233" s="280">
        <v>76784</v>
      </c>
      <c r="CB233" s="280">
        <v>75129</v>
      </c>
      <c r="CC233" s="280">
        <v>68305</v>
      </c>
      <c r="CD233" s="280">
        <v>64190</v>
      </c>
      <c r="CE233" s="280">
        <v>59364</v>
      </c>
      <c r="CF233" s="280">
        <v>54635</v>
      </c>
      <c r="CG233" s="280">
        <v>50946</v>
      </c>
      <c r="CH233" s="280">
        <v>46456</v>
      </c>
      <c r="CI233" s="280">
        <v>41046</v>
      </c>
      <c r="CJ233" s="280">
        <v>37583</v>
      </c>
      <c r="CK233" s="280">
        <v>33869</v>
      </c>
      <c r="CL233" s="280">
        <v>31062</v>
      </c>
      <c r="CM233" s="280">
        <v>28507</v>
      </c>
      <c r="CN233" s="280">
        <v>25524</v>
      </c>
      <c r="CO233" s="280">
        <v>21325</v>
      </c>
      <c r="CP233" s="280">
        <v>18382</v>
      </c>
      <c r="CQ233" s="280">
        <v>14921</v>
      </c>
      <c r="CR233" s="280">
        <v>12330</v>
      </c>
      <c r="CS233" s="280">
        <v>9384</v>
      </c>
      <c r="CT233" s="280">
        <v>7223</v>
      </c>
      <c r="CU233" s="280">
        <v>5260</v>
      </c>
      <c r="CV233" s="280">
        <v>3936</v>
      </c>
      <c r="CW233" s="280">
        <v>2736</v>
      </c>
      <c r="CX233" s="280">
        <v>1834</v>
      </c>
      <c r="CY233" s="280">
        <v>1034</v>
      </c>
      <c r="CZ233" s="280">
        <v>737</v>
      </c>
      <c r="DA233" s="280">
        <v>887</v>
      </c>
      <c r="DB233" s="276">
        <f t="shared" si="66"/>
        <v>12203203</v>
      </c>
      <c r="DC233" s="277">
        <f t="shared" si="67"/>
        <v>12.203203</v>
      </c>
      <c r="DD233" s="279">
        <f t="shared" si="68"/>
        <v>6.3221676559432798E-3</v>
      </c>
    </row>
    <row r="234" spans="1:108" x14ac:dyDescent="0.2">
      <c r="A234" s="273"/>
      <c r="B234" s="273"/>
      <c r="C234" s="273"/>
      <c r="D234" s="274">
        <v>2018</v>
      </c>
      <c r="E234" s="280">
        <v>165712</v>
      </c>
      <c r="F234" s="280">
        <v>158552</v>
      </c>
      <c r="G234" s="280">
        <v>166826</v>
      </c>
      <c r="H234" s="280">
        <v>163616</v>
      </c>
      <c r="I234" s="280">
        <v>163493</v>
      </c>
      <c r="J234" s="280">
        <v>166510</v>
      </c>
      <c r="K234" s="280">
        <v>165112</v>
      </c>
      <c r="L234" s="280">
        <v>164489</v>
      </c>
      <c r="M234" s="280">
        <v>165022</v>
      </c>
      <c r="N234" s="280">
        <v>163165</v>
      </c>
      <c r="O234" s="280">
        <v>163076</v>
      </c>
      <c r="P234" s="280">
        <v>161801</v>
      </c>
      <c r="Q234" s="280">
        <v>156037</v>
      </c>
      <c r="R234" s="280">
        <v>150431</v>
      </c>
      <c r="S234" s="280">
        <v>148844</v>
      </c>
      <c r="T234" s="280">
        <v>146711</v>
      </c>
      <c r="U234" s="280">
        <v>147396</v>
      </c>
      <c r="V234" s="280">
        <v>152119</v>
      </c>
      <c r="W234" s="280">
        <v>155632</v>
      </c>
      <c r="X234" s="280">
        <v>162164</v>
      </c>
      <c r="Y234" s="280">
        <v>167592</v>
      </c>
      <c r="Z234" s="280">
        <v>170887</v>
      </c>
      <c r="AA234" s="280">
        <v>176940</v>
      </c>
      <c r="AB234" s="280">
        <v>186530</v>
      </c>
      <c r="AC234" s="280">
        <v>189137</v>
      </c>
      <c r="AD234" s="280">
        <v>188078</v>
      </c>
      <c r="AE234" s="280">
        <v>187651</v>
      </c>
      <c r="AF234" s="280">
        <v>189408</v>
      </c>
      <c r="AG234" s="280">
        <v>190967</v>
      </c>
      <c r="AH234" s="280">
        <v>186763</v>
      </c>
      <c r="AI234" s="280">
        <v>186232</v>
      </c>
      <c r="AJ234" s="280">
        <v>184204</v>
      </c>
      <c r="AK234" s="280">
        <v>185758</v>
      </c>
      <c r="AL234" s="280">
        <v>183466</v>
      </c>
      <c r="AM234" s="280">
        <v>183335</v>
      </c>
      <c r="AN234" s="280">
        <v>182131</v>
      </c>
      <c r="AO234" s="280">
        <v>177169</v>
      </c>
      <c r="AP234" s="280">
        <v>172729</v>
      </c>
      <c r="AQ234" s="280">
        <v>165800</v>
      </c>
      <c r="AR234" s="280">
        <v>160640</v>
      </c>
      <c r="AS234" s="280">
        <v>157743</v>
      </c>
      <c r="AT234" s="280">
        <v>156937</v>
      </c>
      <c r="AU234" s="280">
        <v>158124</v>
      </c>
      <c r="AV234" s="280">
        <v>158408</v>
      </c>
      <c r="AW234" s="280">
        <v>162645</v>
      </c>
      <c r="AX234" s="280">
        <v>164200</v>
      </c>
      <c r="AY234" s="280">
        <v>169247</v>
      </c>
      <c r="AZ234" s="280">
        <v>169716</v>
      </c>
      <c r="BA234" s="280">
        <v>159870</v>
      </c>
      <c r="BB234" s="280">
        <v>156285</v>
      </c>
      <c r="BC234" s="280">
        <v>151614</v>
      </c>
      <c r="BD234" s="280">
        <v>147663</v>
      </c>
      <c r="BE234" s="280">
        <v>148448</v>
      </c>
      <c r="BF234" s="280">
        <v>147924</v>
      </c>
      <c r="BG234" s="280">
        <v>153759</v>
      </c>
      <c r="BH234" s="280">
        <v>154740</v>
      </c>
      <c r="BI234" s="280">
        <v>153949</v>
      </c>
      <c r="BJ234" s="280">
        <v>152313</v>
      </c>
      <c r="BK234" s="280">
        <v>146494</v>
      </c>
      <c r="BL234" s="280">
        <v>142999</v>
      </c>
      <c r="BM234" s="280">
        <v>139698</v>
      </c>
      <c r="BN234" s="280">
        <v>135940</v>
      </c>
      <c r="BO234" s="280">
        <v>134254</v>
      </c>
      <c r="BP234" s="280">
        <v>127807</v>
      </c>
      <c r="BQ234" s="280">
        <v>124071</v>
      </c>
      <c r="BR234" s="280">
        <v>123255</v>
      </c>
      <c r="BS234" s="280">
        <v>120103</v>
      </c>
      <c r="BT234" s="280">
        <v>118821</v>
      </c>
      <c r="BU234" s="280">
        <v>115718</v>
      </c>
      <c r="BV234" s="280">
        <v>112387</v>
      </c>
      <c r="BW234" s="280">
        <v>112926</v>
      </c>
      <c r="BX234" s="280">
        <v>115253</v>
      </c>
      <c r="BY234" s="280">
        <v>96346</v>
      </c>
      <c r="BZ234" s="280">
        <v>90031</v>
      </c>
      <c r="CA234" s="280">
        <v>84702</v>
      </c>
      <c r="CB234" s="280">
        <v>74906</v>
      </c>
      <c r="CC234" s="280">
        <v>73075</v>
      </c>
      <c r="CD234" s="280">
        <v>66209</v>
      </c>
      <c r="CE234" s="280">
        <v>61979</v>
      </c>
      <c r="CF234" s="280">
        <v>57059</v>
      </c>
      <c r="CG234" s="280">
        <v>52242</v>
      </c>
      <c r="CH234" s="280">
        <v>48430</v>
      </c>
      <c r="CI234" s="280">
        <v>43857</v>
      </c>
      <c r="CJ234" s="280">
        <v>38454</v>
      </c>
      <c r="CK234" s="280">
        <v>34888</v>
      </c>
      <c r="CL234" s="280">
        <v>31109</v>
      </c>
      <c r="CM234" s="280">
        <v>28203</v>
      </c>
      <c r="CN234" s="280">
        <v>25539</v>
      </c>
      <c r="CO234" s="280">
        <v>22532</v>
      </c>
      <c r="CP234" s="280">
        <v>18537</v>
      </c>
      <c r="CQ234" s="280">
        <v>15715</v>
      </c>
      <c r="CR234" s="280">
        <v>12531</v>
      </c>
      <c r="CS234" s="280">
        <v>10163</v>
      </c>
      <c r="CT234" s="280">
        <v>7569</v>
      </c>
      <c r="CU234" s="280">
        <v>5692</v>
      </c>
      <c r="CV234" s="280">
        <v>4051</v>
      </c>
      <c r="CW234" s="280">
        <v>2960</v>
      </c>
      <c r="CX234" s="280">
        <v>2009</v>
      </c>
      <c r="CY234" s="280">
        <v>1319</v>
      </c>
      <c r="CZ234" s="280">
        <v>727</v>
      </c>
      <c r="DA234" s="280">
        <v>1127</v>
      </c>
      <c r="DB234" s="276">
        <f t="shared" si="66"/>
        <v>12407397</v>
      </c>
      <c r="DC234" s="277">
        <f t="shared" si="67"/>
        <v>12.407397</v>
      </c>
      <c r="DD234" s="279">
        <f t="shared" si="68"/>
        <v>1.6732820063716004E-2</v>
      </c>
    </row>
    <row r="235" spans="1:108" x14ac:dyDescent="0.2">
      <c r="A235" s="273"/>
      <c r="B235" s="273"/>
      <c r="C235" s="273"/>
      <c r="D235" s="274">
        <v>2019</v>
      </c>
      <c r="E235" s="280">
        <v>169190</v>
      </c>
      <c r="F235" s="280">
        <v>166517</v>
      </c>
      <c r="G235" s="280">
        <v>160245</v>
      </c>
      <c r="H235" s="280">
        <v>168764</v>
      </c>
      <c r="I235" s="280">
        <v>165599</v>
      </c>
      <c r="J235" s="280">
        <v>165405</v>
      </c>
      <c r="K235" s="280">
        <v>168216</v>
      </c>
      <c r="L235" s="280">
        <v>166579</v>
      </c>
      <c r="M235" s="280">
        <v>165829</v>
      </c>
      <c r="N235" s="280">
        <v>166337</v>
      </c>
      <c r="O235" s="280">
        <v>164443</v>
      </c>
      <c r="P235" s="280">
        <v>164310</v>
      </c>
      <c r="Q235" s="280">
        <v>163032</v>
      </c>
      <c r="R235" s="280">
        <v>157255</v>
      </c>
      <c r="S235" s="280">
        <v>151790</v>
      </c>
      <c r="T235" s="280">
        <v>150670</v>
      </c>
      <c r="U235" s="280">
        <v>148960</v>
      </c>
      <c r="V235" s="280">
        <v>150416</v>
      </c>
      <c r="W235" s="280">
        <v>157585</v>
      </c>
      <c r="X235" s="280">
        <v>163369</v>
      </c>
      <c r="Y235" s="280">
        <v>169454</v>
      </c>
      <c r="Z235" s="280">
        <v>173714</v>
      </c>
      <c r="AA235" s="280">
        <v>178013</v>
      </c>
      <c r="AB235" s="280">
        <v>185428</v>
      </c>
      <c r="AC235" s="280">
        <v>193813</v>
      </c>
      <c r="AD235" s="280">
        <v>194306</v>
      </c>
      <c r="AE235" s="280">
        <v>192198</v>
      </c>
      <c r="AF235" s="280">
        <v>191280</v>
      </c>
      <c r="AG235" s="280">
        <v>192681</v>
      </c>
      <c r="AH235" s="280">
        <v>194010</v>
      </c>
      <c r="AI235" s="280">
        <v>189575</v>
      </c>
      <c r="AJ235" s="280">
        <v>188654</v>
      </c>
      <c r="AK235" s="280">
        <v>186360</v>
      </c>
      <c r="AL235" s="280">
        <v>187983</v>
      </c>
      <c r="AM235" s="280">
        <v>185608</v>
      </c>
      <c r="AN235" s="280">
        <v>185142</v>
      </c>
      <c r="AO235" s="280">
        <v>183708</v>
      </c>
      <c r="AP235" s="280">
        <v>178574</v>
      </c>
      <c r="AQ235" s="280">
        <v>173976</v>
      </c>
      <c r="AR235" s="280">
        <v>166942</v>
      </c>
      <c r="AS235" s="280">
        <v>161654</v>
      </c>
      <c r="AT235" s="280">
        <v>158585</v>
      </c>
      <c r="AU235" s="280">
        <v>157597</v>
      </c>
      <c r="AV235" s="280">
        <v>158677</v>
      </c>
      <c r="AW235" s="280">
        <v>158885</v>
      </c>
      <c r="AX235" s="280">
        <v>162987</v>
      </c>
      <c r="AY235" s="280">
        <v>164423</v>
      </c>
      <c r="AZ235" s="280">
        <v>169333</v>
      </c>
      <c r="BA235" s="280">
        <v>169648</v>
      </c>
      <c r="BB235" s="280">
        <v>159717</v>
      </c>
      <c r="BC235" s="280">
        <v>156065</v>
      </c>
      <c r="BD235" s="280">
        <v>151333</v>
      </c>
      <c r="BE235" s="280">
        <v>147352</v>
      </c>
      <c r="BF235" s="280">
        <v>148081</v>
      </c>
      <c r="BG235" s="280">
        <v>147490</v>
      </c>
      <c r="BH235" s="280">
        <v>153205</v>
      </c>
      <c r="BI235" s="280">
        <v>154093</v>
      </c>
      <c r="BJ235" s="280">
        <v>153277</v>
      </c>
      <c r="BK235" s="280">
        <v>151629</v>
      </c>
      <c r="BL235" s="280">
        <v>145814</v>
      </c>
      <c r="BM235" s="280">
        <v>142308</v>
      </c>
      <c r="BN235" s="280">
        <v>138998</v>
      </c>
      <c r="BO235" s="280">
        <v>135191</v>
      </c>
      <c r="BP235" s="280">
        <v>133439</v>
      </c>
      <c r="BQ235" s="280">
        <v>126963</v>
      </c>
      <c r="BR235" s="280">
        <v>123092</v>
      </c>
      <c r="BS235" s="280">
        <v>122127</v>
      </c>
      <c r="BT235" s="280">
        <v>118905</v>
      </c>
      <c r="BU235" s="280">
        <v>117507</v>
      </c>
      <c r="BV235" s="280">
        <v>114277</v>
      </c>
      <c r="BW235" s="280">
        <v>110828</v>
      </c>
      <c r="BX235" s="280">
        <v>111181</v>
      </c>
      <c r="BY235" s="280">
        <v>113256</v>
      </c>
      <c r="BZ235" s="280">
        <v>94493</v>
      </c>
      <c r="CA235" s="280">
        <v>88092</v>
      </c>
      <c r="CB235" s="280">
        <v>82657</v>
      </c>
      <c r="CC235" s="280">
        <v>72889</v>
      </c>
      <c r="CD235" s="280">
        <v>70863</v>
      </c>
      <c r="CE235" s="280">
        <v>63958</v>
      </c>
      <c r="CF235" s="280">
        <v>59605</v>
      </c>
      <c r="CG235" s="280">
        <v>54591</v>
      </c>
      <c r="CH235" s="280">
        <v>49692</v>
      </c>
      <c r="CI235" s="280">
        <v>45749</v>
      </c>
      <c r="CJ235" s="280">
        <v>41115</v>
      </c>
      <c r="CK235" s="280">
        <v>35723</v>
      </c>
      <c r="CL235" s="280">
        <v>32071</v>
      </c>
      <c r="CM235" s="280">
        <v>28269</v>
      </c>
      <c r="CN235" s="280">
        <v>25289</v>
      </c>
      <c r="CO235" s="280">
        <v>22567</v>
      </c>
      <c r="CP235" s="280">
        <v>19610</v>
      </c>
      <c r="CQ235" s="280">
        <v>15868</v>
      </c>
      <c r="CR235" s="280">
        <v>13218</v>
      </c>
      <c r="CS235" s="280">
        <v>10345</v>
      </c>
      <c r="CT235" s="280">
        <v>8210</v>
      </c>
      <c r="CU235" s="280">
        <v>5973</v>
      </c>
      <c r="CV235" s="280">
        <v>4389</v>
      </c>
      <c r="CW235" s="280">
        <v>3049</v>
      </c>
      <c r="CX235" s="280">
        <v>2175</v>
      </c>
      <c r="CY235" s="280">
        <v>1446</v>
      </c>
      <c r="CZ235" s="280">
        <v>928</v>
      </c>
      <c r="DA235" s="280">
        <v>1291</v>
      </c>
      <c r="DB235" s="276">
        <f t="shared" si="66"/>
        <v>12617972</v>
      </c>
      <c r="DC235" s="277">
        <f t="shared" si="67"/>
        <v>12.617972</v>
      </c>
      <c r="DD235" s="279">
        <f t="shared" si="68"/>
        <v>1.6971730653899477E-2</v>
      </c>
    </row>
    <row r="236" spans="1:108" x14ac:dyDescent="0.2">
      <c r="A236" s="273"/>
      <c r="B236" s="273"/>
      <c r="C236" s="273"/>
      <c r="D236" s="274">
        <v>2020</v>
      </c>
      <c r="E236" s="280">
        <v>172579</v>
      </c>
      <c r="F236" s="280">
        <v>169990</v>
      </c>
      <c r="G236" s="280">
        <v>168198</v>
      </c>
      <c r="H236" s="280">
        <v>162169</v>
      </c>
      <c r="I236" s="280">
        <v>170732</v>
      </c>
      <c r="J236" s="280">
        <v>167497</v>
      </c>
      <c r="K236" s="280">
        <v>167101</v>
      </c>
      <c r="L236" s="280">
        <v>169672</v>
      </c>
      <c r="M236" s="280">
        <v>167910</v>
      </c>
      <c r="N236" s="280">
        <v>167134</v>
      </c>
      <c r="O236" s="280">
        <v>167605</v>
      </c>
      <c r="P236" s="280">
        <v>165667</v>
      </c>
      <c r="Q236" s="280">
        <v>165531</v>
      </c>
      <c r="R236" s="280">
        <v>164242</v>
      </c>
      <c r="S236" s="280">
        <v>158604</v>
      </c>
      <c r="T236" s="280">
        <v>153601</v>
      </c>
      <c r="U236" s="280">
        <v>152900</v>
      </c>
      <c r="V236" s="280">
        <v>151958</v>
      </c>
      <c r="W236" s="280">
        <v>155841</v>
      </c>
      <c r="X236" s="280">
        <v>165266</v>
      </c>
      <c r="Y236" s="280">
        <v>170603</v>
      </c>
      <c r="Z236" s="280">
        <v>175533</v>
      </c>
      <c r="AA236" s="280">
        <v>180787</v>
      </c>
      <c r="AB236" s="280">
        <v>186437</v>
      </c>
      <c r="AC236" s="280">
        <v>192661</v>
      </c>
      <c r="AD236" s="280">
        <v>198942</v>
      </c>
      <c r="AE236" s="280">
        <v>198392</v>
      </c>
      <c r="AF236" s="280">
        <v>195798</v>
      </c>
      <c r="AG236" s="280">
        <v>194528</v>
      </c>
      <c r="AH236" s="280">
        <v>195703</v>
      </c>
      <c r="AI236" s="280">
        <v>196798</v>
      </c>
      <c r="AJ236" s="280">
        <v>191976</v>
      </c>
      <c r="AK236" s="280">
        <v>190789</v>
      </c>
      <c r="AL236" s="280">
        <v>188569</v>
      </c>
      <c r="AM236" s="280">
        <v>190105</v>
      </c>
      <c r="AN236" s="280">
        <v>187401</v>
      </c>
      <c r="AO236" s="280">
        <v>186703</v>
      </c>
      <c r="AP236" s="280">
        <v>185094</v>
      </c>
      <c r="AQ236" s="280">
        <v>179805</v>
      </c>
      <c r="AR236" s="280">
        <v>175099</v>
      </c>
      <c r="AS236" s="280">
        <v>167940</v>
      </c>
      <c r="AT236" s="280">
        <v>162484</v>
      </c>
      <c r="AU236" s="280">
        <v>159236</v>
      </c>
      <c r="AV236" s="280">
        <v>158148</v>
      </c>
      <c r="AW236" s="280">
        <v>159147</v>
      </c>
      <c r="AX236" s="280">
        <v>159229</v>
      </c>
      <c r="AY236" s="280">
        <v>163208</v>
      </c>
      <c r="AZ236" s="280">
        <v>164517</v>
      </c>
      <c r="BA236" s="280">
        <v>169267</v>
      </c>
      <c r="BB236" s="280">
        <v>169469</v>
      </c>
      <c r="BC236" s="280">
        <v>159484</v>
      </c>
      <c r="BD236" s="280">
        <v>155770</v>
      </c>
      <c r="BE236" s="280">
        <v>151010</v>
      </c>
      <c r="BF236" s="280">
        <v>146991</v>
      </c>
      <c r="BG236" s="280">
        <v>147650</v>
      </c>
      <c r="BH236" s="280">
        <v>146965</v>
      </c>
      <c r="BI236" s="280">
        <v>152569</v>
      </c>
      <c r="BJ236" s="280">
        <v>153422</v>
      </c>
      <c r="BK236" s="280">
        <v>152588</v>
      </c>
      <c r="BL236" s="280">
        <v>150923</v>
      </c>
      <c r="BM236" s="280">
        <v>145111</v>
      </c>
      <c r="BN236" s="280">
        <v>141597</v>
      </c>
      <c r="BO236" s="280">
        <v>138234</v>
      </c>
      <c r="BP236" s="280">
        <v>134376</v>
      </c>
      <c r="BQ236" s="280">
        <v>132557</v>
      </c>
      <c r="BR236" s="280">
        <v>125969</v>
      </c>
      <c r="BS236" s="280">
        <v>121977</v>
      </c>
      <c r="BT236" s="280">
        <v>120923</v>
      </c>
      <c r="BU236" s="280">
        <v>117607</v>
      </c>
      <c r="BV236" s="280">
        <v>116061</v>
      </c>
      <c r="BW236" s="280">
        <v>112713</v>
      </c>
      <c r="BX236" s="280">
        <v>109143</v>
      </c>
      <c r="BY236" s="280">
        <v>109285</v>
      </c>
      <c r="BZ236" s="280">
        <v>111101</v>
      </c>
      <c r="CA236" s="280">
        <v>92484</v>
      </c>
      <c r="CB236" s="280">
        <v>85995</v>
      </c>
      <c r="CC236" s="280">
        <v>80459</v>
      </c>
      <c r="CD236" s="280">
        <v>70713</v>
      </c>
      <c r="CE236" s="280">
        <v>68486</v>
      </c>
      <c r="CF236" s="280">
        <v>61539</v>
      </c>
      <c r="CG236" s="280">
        <v>57058</v>
      </c>
      <c r="CH236" s="280">
        <v>51957</v>
      </c>
      <c r="CI236" s="280">
        <v>46972</v>
      </c>
      <c r="CJ236" s="280">
        <v>42919</v>
      </c>
      <c r="CK236" s="280">
        <v>38222</v>
      </c>
      <c r="CL236" s="280">
        <v>32863</v>
      </c>
      <c r="CM236" s="280">
        <v>29168</v>
      </c>
      <c r="CN236" s="280">
        <v>25370</v>
      </c>
      <c r="CO236" s="280">
        <v>22367</v>
      </c>
      <c r="CP236" s="280">
        <v>19663</v>
      </c>
      <c r="CQ236" s="280">
        <v>16809</v>
      </c>
      <c r="CR236" s="280">
        <v>13366</v>
      </c>
      <c r="CS236" s="280">
        <v>10928</v>
      </c>
      <c r="CT236" s="280">
        <v>8370</v>
      </c>
      <c r="CU236" s="280">
        <v>6489</v>
      </c>
      <c r="CV236" s="280">
        <v>4612</v>
      </c>
      <c r="CW236" s="280">
        <v>3307</v>
      </c>
      <c r="CX236" s="280">
        <v>2242</v>
      </c>
      <c r="CY236" s="280">
        <v>1566</v>
      </c>
      <c r="CZ236" s="280">
        <v>1019</v>
      </c>
      <c r="DA236" s="280">
        <v>1545</v>
      </c>
      <c r="DB236" s="276">
        <f t="shared" si="66"/>
        <v>12829079</v>
      </c>
      <c r="DC236" s="277">
        <f t="shared" si="67"/>
        <v>12.829079</v>
      </c>
      <c r="DD236" s="279">
        <f t="shared" si="68"/>
        <v>1.6730660045845731E-2</v>
      </c>
    </row>
    <row r="237" spans="1:108" x14ac:dyDescent="0.2">
      <c r="A237" s="273"/>
      <c r="B237" s="273"/>
      <c r="C237" s="273"/>
      <c r="D237" s="274">
        <v>2021</v>
      </c>
      <c r="E237" s="280">
        <v>175772</v>
      </c>
      <c r="F237" s="280">
        <v>173364</v>
      </c>
      <c r="G237" s="280">
        <v>171637</v>
      </c>
      <c r="H237" s="280">
        <v>170086</v>
      </c>
      <c r="I237" s="280">
        <v>164100</v>
      </c>
      <c r="J237" s="280">
        <v>172593</v>
      </c>
      <c r="K237" s="280">
        <v>169160</v>
      </c>
      <c r="L237" s="280">
        <v>168529</v>
      </c>
      <c r="M237" s="280">
        <v>170979</v>
      </c>
      <c r="N237" s="280">
        <v>169192</v>
      </c>
      <c r="O237" s="280">
        <v>168380</v>
      </c>
      <c r="P237" s="280">
        <v>168806</v>
      </c>
      <c r="Q237" s="280">
        <v>166866</v>
      </c>
      <c r="R237" s="280">
        <v>166717</v>
      </c>
      <c r="S237" s="280">
        <v>165565</v>
      </c>
      <c r="T237" s="280">
        <v>160380</v>
      </c>
      <c r="U237" s="280">
        <v>155790</v>
      </c>
      <c r="V237" s="280">
        <v>155841</v>
      </c>
      <c r="W237" s="280">
        <v>157282</v>
      </c>
      <c r="X237" s="280">
        <v>163378</v>
      </c>
      <c r="Y237" s="280">
        <v>172364</v>
      </c>
      <c r="Z237" s="280">
        <v>176569</v>
      </c>
      <c r="AA237" s="280">
        <v>182473</v>
      </c>
      <c r="AB237" s="280">
        <v>189053</v>
      </c>
      <c r="AC237" s="280">
        <v>193532</v>
      </c>
      <c r="AD237" s="280">
        <v>197698</v>
      </c>
      <c r="AE237" s="280">
        <v>202950</v>
      </c>
      <c r="AF237" s="280">
        <v>201922</v>
      </c>
      <c r="AG237" s="280">
        <v>198984</v>
      </c>
      <c r="AH237" s="280">
        <v>197492</v>
      </c>
      <c r="AI237" s="280">
        <v>198436</v>
      </c>
      <c r="AJ237" s="280">
        <v>199147</v>
      </c>
      <c r="AK237" s="280">
        <v>194069</v>
      </c>
      <c r="AL237" s="280">
        <v>192954</v>
      </c>
      <c r="AM237" s="280">
        <v>190650</v>
      </c>
      <c r="AN237" s="280">
        <v>191857</v>
      </c>
      <c r="AO237" s="280">
        <v>188931</v>
      </c>
      <c r="AP237" s="280">
        <v>188058</v>
      </c>
      <c r="AQ237" s="280">
        <v>186291</v>
      </c>
      <c r="AR237" s="280">
        <v>180901</v>
      </c>
      <c r="AS237" s="280">
        <v>176065</v>
      </c>
      <c r="AT237" s="280">
        <v>168743</v>
      </c>
      <c r="AU237" s="280">
        <v>163114</v>
      </c>
      <c r="AV237" s="280">
        <v>159767</v>
      </c>
      <c r="AW237" s="280">
        <v>158607</v>
      </c>
      <c r="AX237" s="280">
        <v>159482</v>
      </c>
      <c r="AY237" s="280">
        <v>159449</v>
      </c>
      <c r="AZ237" s="280">
        <v>163296</v>
      </c>
      <c r="BA237" s="280">
        <v>164458</v>
      </c>
      <c r="BB237" s="280">
        <v>169084</v>
      </c>
      <c r="BC237" s="280">
        <v>169208</v>
      </c>
      <c r="BD237" s="280">
        <v>159177</v>
      </c>
      <c r="BE237" s="280">
        <v>155431</v>
      </c>
      <c r="BF237" s="280">
        <v>150636</v>
      </c>
      <c r="BG237" s="280">
        <v>146564</v>
      </c>
      <c r="BH237" s="280">
        <v>147128</v>
      </c>
      <c r="BI237" s="280">
        <v>146359</v>
      </c>
      <c r="BJ237" s="280">
        <v>151909</v>
      </c>
      <c r="BK237" s="280">
        <v>152738</v>
      </c>
      <c r="BL237" s="280">
        <v>151881</v>
      </c>
      <c r="BM237" s="280">
        <v>150193</v>
      </c>
      <c r="BN237" s="280">
        <v>144385</v>
      </c>
      <c r="BO237" s="280">
        <v>140823</v>
      </c>
      <c r="BP237" s="280">
        <v>137406</v>
      </c>
      <c r="BQ237" s="280">
        <v>133499</v>
      </c>
      <c r="BR237" s="280">
        <v>131529</v>
      </c>
      <c r="BS237" s="280">
        <v>124847</v>
      </c>
      <c r="BT237" s="280">
        <v>120795</v>
      </c>
      <c r="BU237" s="280">
        <v>119626</v>
      </c>
      <c r="BV237" s="280">
        <v>116191</v>
      </c>
      <c r="BW237" s="280">
        <v>114505</v>
      </c>
      <c r="BX237" s="280">
        <v>111034</v>
      </c>
      <c r="BY237" s="280">
        <v>107325</v>
      </c>
      <c r="BZ237" s="280">
        <v>107254</v>
      </c>
      <c r="CA237" s="280">
        <v>108788</v>
      </c>
      <c r="CB237" s="280">
        <v>90332</v>
      </c>
      <c r="CC237" s="280">
        <v>83758</v>
      </c>
      <c r="CD237" s="280">
        <v>78106</v>
      </c>
      <c r="CE237" s="280">
        <v>68390</v>
      </c>
      <c r="CF237" s="280">
        <v>65946</v>
      </c>
      <c r="CG237" s="280">
        <v>58959</v>
      </c>
      <c r="CH237" s="280">
        <v>54353</v>
      </c>
      <c r="CI237" s="280">
        <v>49160</v>
      </c>
      <c r="CJ237" s="280">
        <v>44111</v>
      </c>
      <c r="CK237" s="280">
        <v>39945</v>
      </c>
      <c r="CL237" s="280">
        <v>35204</v>
      </c>
      <c r="CM237" s="280">
        <v>29925</v>
      </c>
      <c r="CN237" s="280">
        <v>26213</v>
      </c>
      <c r="CO237" s="280">
        <v>22472</v>
      </c>
      <c r="CP237" s="280">
        <v>19521</v>
      </c>
      <c r="CQ237" s="280">
        <v>16888</v>
      </c>
      <c r="CR237" s="280">
        <v>14192</v>
      </c>
      <c r="CS237" s="280">
        <v>11077</v>
      </c>
      <c r="CT237" s="280">
        <v>8863</v>
      </c>
      <c r="CU237" s="280">
        <v>6630</v>
      </c>
      <c r="CV237" s="280">
        <v>5019</v>
      </c>
      <c r="CW237" s="280">
        <v>3479</v>
      </c>
      <c r="CX237" s="280">
        <v>2435</v>
      </c>
      <c r="CY237" s="280">
        <v>1616</v>
      </c>
      <c r="CZ237" s="280">
        <v>1104</v>
      </c>
      <c r="DA237" s="280">
        <v>1790</v>
      </c>
      <c r="DB237" s="276">
        <f t="shared" si="66"/>
        <v>13039532</v>
      </c>
      <c r="DC237" s="277">
        <f t="shared" si="67"/>
        <v>13.039531999999999</v>
      </c>
      <c r="DD237" s="279">
        <f t="shared" si="68"/>
        <v>1.6404373221179738E-2</v>
      </c>
    </row>
    <row r="238" spans="1:108" x14ac:dyDescent="0.2">
      <c r="A238" s="273"/>
      <c r="B238" s="273"/>
      <c r="C238" s="273"/>
      <c r="D238" s="274">
        <v>2022</v>
      </c>
      <c r="E238" s="280">
        <v>178731</v>
      </c>
      <c r="F238" s="280">
        <v>176544</v>
      </c>
      <c r="G238" s="280">
        <v>174986</v>
      </c>
      <c r="H238" s="280">
        <v>173496</v>
      </c>
      <c r="I238" s="280">
        <v>171986</v>
      </c>
      <c r="J238" s="280">
        <v>165933</v>
      </c>
      <c r="K238" s="280">
        <v>174230</v>
      </c>
      <c r="L238" s="280">
        <v>170566</v>
      </c>
      <c r="M238" s="280">
        <v>169816</v>
      </c>
      <c r="N238" s="280">
        <v>172241</v>
      </c>
      <c r="O238" s="280">
        <v>170419</v>
      </c>
      <c r="P238" s="280">
        <v>169563</v>
      </c>
      <c r="Q238" s="280">
        <v>169987</v>
      </c>
      <c r="R238" s="280">
        <v>168034</v>
      </c>
      <c r="S238" s="280">
        <v>168017</v>
      </c>
      <c r="T238" s="280">
        <v>167314</v>
      </c>
      <c r="U238" s="280">
        <v>162535</v>
      </c>
      <c r="V238" s="280">
        <v>158685</v>
      </c>
      <c r="W238" s="280">
        <v>161083</v>
      </c>
      <c r="X238" s="280">
        <v>164703</v>
      </c>
      <c r="Y238" s="280">
        <v>170369</v>
      </c>
      <c r="Z238" s="280">
        <v>178237</v>
      </c>
      <c r="AA238" s="280">
        <v>183401</v>
      </c>
      <c r="AB238" s="280">
        <v>190613</v>
      </c>
      <c r="AC238" s="280">
        <v>196041</v>
      </c>
      <c r="AD238" s="280">
        <v>198490</v>
      </c>
      <c r="AE238" s="280">
        <v>201645</v>
      </c>
      <c r="AF238" s="280">
        <v>206421</v>
      </c>
      <c r="AG238" s="280">
        <v>205056</v>
      </c>
      <c r="AH238" s="280">
        <v>201898</v>
      </c>
      <c r="AI238" s="280">
        <v>200183</v>
      </c>
      <c r="AJ238" s="280">
        <v>200749</v>
      </c>
      <c r="AK238" s="280">
        <v>201203</v>
      </c>
      <c r="AL238" s="280">
        <v>196197</v>
      </c>
      <c r="AM238" s="280">
        <v>194996</v>
      </c>
      <c r="AN238" s="280">
        <v>192376</v>
      </c>
      <c r="AO238" s="280">
        <v>193354</v>
      </c>
      <c r="AP238" s="280">
        <v>190261</v>
      </c>
      <c r="AQ238" s="280">
        <v>189233</v>
      </c>
      <c r="AR238" s="280">
        <v>187358</v>
      </c>
      <c r="AS238" s="280">
        <v>181841</v>
      </c>
      <c r="AT238" s="280">
        <v>176840</v>
      </c>
      <c r="AU238" s="280">
        <v>169350</v>
      </c>
      <c r="AV238" s="280">
        <v>163628</v>
      </c>
      <c r="AW238" s="280">
        <v>160213</v>
      </c>
      <c r="AX238" s="280">
        <v>158934</v>
      </c>
      <c r="AY238" s="280">
        <v>159694</v>
      </c>
      <c r="AZ238" s="280">
        <v>159540</v>
      </c>
      <c r="BA238" s="280">
        <v>163235</v>
      </c>
      <c r="BB238" s="280">
        <v>164285</v>
      </c>
      <c r="BC238" s="280">
        <v>168820</v>
      </c>
      <c r="BD238" s="280">
        <v>168870</v>
      </c>
      <c r="BE238" s="280">
        <v>158824</v>
      </c>
      <c r="BF238" s="280">
        <v>155040</v>
      </c>
      <c r="BG238" s="280">
        <v>150194</v>
      </c>
      <c r="BH238" s="280">
        <v>146046</v>
      </c>
      <c r="BI238" s="280">
        <v>146522</v>
      </c>
      <c r="BJ238" s="280">
        <v>145729</v>
      </c>
      <c r="BK238" s="280">
        <v>151233</v>
      </c>
      <c r="BL238" s="280">
        <v>152030</v>
      </c>
      <c r="BM238" s="280">
        <v>151147</v>
      </c>
      <c r="BN238" s="280">
        <v>149436</v>
      </c>
      <c r="BO238" s="280">
        <v>143593</v>
      </c>
      <c r="BP238" s="280">
        <v>139978</v>
      </c>
      <c r="BQ238" s="280">
        <v>136508</v>
      </c>
      <c r="BR238" s="280">
        <v>132469</v>
      </c>
      <c r="BS238" s="280">
        <v>130361</v>
      </c>
      <c r="BT238" s="280">
        <v>123646</v>
      </c>
      <c r="BU238" s="280">
        <v>119513</v>
      </c>
      <c r="BV238" s="280">
        <v>118199</v>
      </c>
      <c r="BW238" s="280">
        <v>114651</v>
      </c>
      <c r="BX238" s="280">
        <v>112820</v>
      </c>
      <c r="BY238" s="280">
        <v>109205</v>
      </c>
      <c r="BZ238" s="280">
        <v>105355</v>
      </c>
      <c r="CA238" s="280">
        <v>105047</v>
      </c>
      <c r="CB238" s="280">
        <v>106281</v>
      </c>
      <c r="CC238" s="280">
        <v>88010</v>
      </c>
      <c r="CD238" s="280">
        <v>81336</v>
      </c>
      <c r="CE238" s="280">
        <v>75567</v>
      </c>
      <c r="CF238" s="280">
        <v>65879</v>
      </c>
      <c r="CG238" s="280">
        <v>63208</v>
      </c>
      <c r="CH238" s="280">
        <v>56190</v>
      </c>
      <c r="CI238" s="280">
        <v>51453</v>
      </c>
      <c r="CJ238" s="280">
        <v>46190</v>
      </c>
      <c r="CK238" s="280">
        <v>41077</v>
      </c>
      <c r="CL238" s="280">
        <v>36814</v>
      </c>
      <c r="CM238" s="280">
        <v>32078</v>
      </c>
      <c r="CN238" s="280">
        <v>26912</v>
      </c>
      <c r="CO238" s="280">
        <v>23238</v>
      </c>
      <c r="CP238" s="280">
        <v>19629</v>
      </c>
      <c r="CQ238" s="280">
        <v>16783</v>
      </c>
      <c r="CR238" s="280">
        <v>14275</v>
      </c>
      <c r="CS238" s="280">
        <v>11776</v>
      </c>
      <c r="CT238" s="280">
        <v>8995</v>
      </c>
      <c r="CU238" s="280">
        <v>7029</v>
      </c>
      <c r="CV238" s="280">
        <v>5133</v>
      </c>
      <c r="CW238" s="280">
        <v>3790</v>
      </c>
      <c r="CX238" s="280">
        <v>2563</v>
      </c>
      <c r="CY238" s="280">
        <v>1756</v>
      </c>
      <c r="CZ238" s="280">
        <v>1140</v>
      </c>
      <c r="DA238" s="280">
        <v>2024</v>
      </c>
      <c r="DB238" s="276">
        <f t="shared" si="66"/>
        <v>13248872</v>
      </c>
      <c r="DC238" s="277">
        <f t="shared" si="67"/>
        <v>13.248872</v>
      </c>
      <c r="DD238" s="279">
        <f t="shared" si="68"/>
        <v>1.6054257161990243E-2</v>
      </c>
    </row>
    <row r="239" spans="1:108" x14ac:dyDescent="0.2">
      <c r="A239" s="273"/>
      <c r="B239" s="273"/>
      <c r="C239" s="273"/>
      <c r="D239" s="274">
        <v>2023</v>
      </c>
      <c r="E239" s="280">
        <v>181455</v>
      </c>
      <c r="F239" s="280">
        <v>179480</v>
      </c>
      <c r="G239" s="280">
        <v>178122</v>
      </c>
      <c r="H239" s="280">
        <v>176793</v>
      </c>
      <c r="I239" s="280">
        <v>175346</v>
      </c>
      <c r="J239" s="280">
        <v>173768</v>
      </c>
      <c r="K239" s="280">
        <v>167526</v>
      </c>
      <c r="L239" s="280">
        <v>175597</v>
      </c>
      <c r="M239" s="280">
        <v>171818</v>
      </c>
      <c r="N239" s="280">
        <v>171044</v>
      </c>
      <c r="O239" s="280">
        <v>173434</v>
      </c>
      <c r="P239" s="280">
        <v>171569</v>
      </c>
      <c r="Q239" s="280">
        <v>170711</v>
      </c>
      <c r="R239" s="280">
        <v>171122</v>
      </c>
      <c r="S239" s="280">
        <v>169298</v>
      </c>
      <c r="T239" s="280">
        <v>169717</v>
      </c>
      <c r="U239" s="280">
        <v>169408</v>
      </c>
      <c r="V239" s="280">
        <v>165348</v>
      </c>
      <c r="W239" s="280">
        <v>163783</v>
      </c>
      <c r="X239" s="280">
        <v>168301</v>
      </c>
      <c r="Y239" s="280">
        <v>171504</v>
      </c>
      <c r="Z239" s="280">
        <v>176083</v>
      </c>
      <c r="AA239" s="280">
        <v>184882</v>
      </c>
      <c r="AB239" s="280">
        <v>191317</v>
      </c>
      <c r="AC239" s="280">
        <v>197410</v>
      </c>
      <c r="AD239" s="280">
        <v>200862</v>
      </c>
      <c r="AE239" s="280">
        <v>202328</v>
      </c>
      <c r="AF239" s="280">
        <v>205023</v>
      </c>
      <c r="AG239" s="280">
        <v>209466</v>
      </c>
      <c r="AH239" s="280">
        <v>207886</v>
      </c>
      <c r="AI239" s="280">
        <v>204509</v>
      </c>
      <c r="AJ239" s="280">
        <v>202430</v>
      </c>
      <c r="AK239" s="280">
        <v>202746</v>
      </c>
      <c r="AL239" s="280">
        <v>203264</v>
      </c>
      <c r="AM239" s="280">
        <v>198179</v>
      </c>
      <c r="AN239" s="280">
        <v>196666</v>
      </c>
      <c r="AO239" s="280">
        <v>193830</v>
      </c>
      <c r="AP239" s="280">
        <v>194638</v>
      </c>
      <c r="AQ239" s="280">
        <v>191396</v>
      </c>
      <c r="AR239" s="280">
        <v>190263</v>
      </c>
      <c r="AS239" s="280">
        <v>188259</v>
      </c>
      <c r="AT239" s="280">
        <v>182582</v>
      </c>
      <c r="AU239" s="280">
        <v>177412</v>
      </c>
      <c r="AV239" s="280">
        <v>169832</v>
      </c>
      <c r="AW239" s="280">
        <v>164045</v>
      </c>
      <c r="AX239" s="280">
        <v>160521</v>
      </c>
      <c r="AY239" s="280">
        <v>159134</v>
      </c>
      <c r="AZ239" s="280">
        <v>159773</v>
      </c>
      <c r="BA239" s="280">
        <v>159479</v>
      </c>
      <c r="BB239" s="280">
        <v>163062</v>
      </c>
      <c r="BC239" s="280">
        <v>164031</v>
      </c>
      <c r="BD239" s="280">
        <v>168480</v>
      </c>
      <c r="BE239" s="280">
        <v>168482</v>
      </c>
      <c r="BF239" s="280">
        <v>158419</v>
      </c>
      <c r="BG239" s="280">
        <v>154579</v>
      </c>
      <c r="BH239" s="280">
        <v>149660</v>
      </c>
      <c r="BI239" s="280">
        <v>145445</v>
      </c>
      <c r="BJ239" s="280">
        <v>145893</v>
      </c>
      <c r="BK239" s="280">
        <v>145084</v>
      </c>
      <c r="BL239" s="280">
        <v>150534</v>
      </c>
      <c r="BM239" s="280">
        <v>151293</v>
      </c>
      <c r="BN239" s="280">
        <v>150384</v>
      </c>
      <c r="BO239" s="280">
        <v>148609</v>
      </c>
      <c r="BP239" s="280">
        <v>142727</v>
      </c>
      <c r="BQ239" s="280">
        <v>139062</v>
      </c>
      <c r="BR239" s="280">
        <v>135457</v>
      </c>
      <c r="BS239" s="280">
        <v>131301</v>
      </c>
      <c r="BT239" s="280">
        <v>129111</v>
      </c>
      <c r="BU239" s="280">
        <v>122342</v>
      </c>
      <c r="BV239" s="280">
        <v>118100</v>
      </c>
      <c r="BW239" s="280">
        <v>116646</v>
      </c>
      <c r="BX239" s="280">
        <v>112982</v>
      </c>
      <c r="BY239" s="280">
        <v>110983</v>
      </c>
      <c r="BZ239" s="280">
        <v>107225</v>
      </c>
      <c r="CA239" s="280">
        <v>103214</v>
      </c>
      <c r="CB239" s="280">
        <v>102655</v>
      </c>
      <c r="CC239" s="280">
        <v>103574</v>
      </c>
      <c r="CD239" s="280">
        <v>85494</v>
      </c>
      <c r="CE239" s="280">
        <v>78720</v>
      </c>
      <c r="CF239" s="280">
        <v>72822</v>
      </c>
      <c r="CG239" s="280">
        <v>63171</v>
      </c>
      <c r="CH239" s="280">
        <v>60267</v>
      </c>
      <c r="CI239" s="280">
        <v>53218</v>
      </c>
      <c r="CJ239" s="280">
        <v>48371</v>
      </c>
      <c r="CK239" s="280">
        <v>43037</v>
      </c>
      <c r="CL239" s="280">
        <v>37881</v>
      </c>
      <c r="CM239" s="280">
        <v>33567</v>
      </c>
      <c r="CN239" s="280">
        <v>28871</v>
      </c>
      <c r="CO239" s="280">
        <v>23877</v>
      </c>
      <c r="CP239" s="280">
        <v>20317</v>
      </c>
      <c r="CQ239" s="280">
        <v>16894</v>
      </c>
      <c r="CR239" s="280">
        <v>14202</v>
      </c>
      <c r="CS239" s="280">
        <v>11860</v>
      </c>
      <c r="CT239" s="280">
        <v>9575</v>
      </c>
      <c r="CU239" s="280">
        <v>7141</v>
      </c>
      <c r="CV239" s="280">
        <v>5447</v>
      </c>
      <c r="CW239" s="280">
        <v>3879</v>
      </c>
      <c r="CX239" s="280">
        <v>2794</v>
      </c>
      <c r="CY239" s="280">
        <v>1849</v>
      </c>
      <c r="CZ239" s="280">
        <v>1239</v>
      </c>
      <c r="DA239" s="280">
        <v>2217</v>
      </c>
      <c r="DB239" s="276">
        <f t="shared" si="66"/>
        <v>13455403</v>
      </c>
      <c r="DC239" s="277">
        <f t="shared" si="67"/>
        <v>13.455403</v>
      </c>
      <c r="DD239" s="279">
        <f t="shared" si="68"/>
        <v>1.5588572370538414E-2</v>
      </c>
    </row>
    <row r="240" spans="1:108" x14ac:dyDescent="0.2">
      <c r="A240" s="273"/>
      <c r="B240" s="273"/>
      <c r="C240" s="273"/>
      <c r="D240" s="274">
        <v>2024</v>
      </c>
      <c r="E240" s="280">
        <v>183941</v>
      </c>
      <c r="F240" s="280">
        <v>182184</v>
      </c>
      <c r="G240" s="280">
        <v>181020</v>
      </c>
      <c r="H240" s="280">
        <v>179885</v>
      </c>
      <c r="I240" s="280">
        <v>178598</v>
      </c>
      <c r="J240" s="280">
        <v>177085</v>
      </c>
      <c r="K240" s="280">
        <v>175322</v>
      </c>
      <c r="L240" s="280">
        <v>168861</v>
      </c>
      <c r="M240" s="280">
        <v>176818</v>
      </c>
      <c r="N240" s="280">
        <v>173015</v>
      </c>
      <c r="O240" s="280">
        <v>172208</v>
      </c>
      <c r="P240" s="280">
        <v>174556</v>
      </c>
      <c r="Q240" s="280">
        <v>172689</v>
      </c>
      <c r="R240" s="280">
        <v>171819</v>
      </c>
      <c r="S240" s="280">
        <v>172357</v>
      </c>
      <c r="T240" s="280">
        <v>170957</v>
      </c>
      <c r="U240" s="280">
        <v>171760</v>
      </c>
      <c r="V240" s="280">
        <v>172150</v>
      </c>
      <c r="W240" s="280">
        <v>170320</v>
      </c>
      <c r="X240" s="280">
        <v>170826</v>
      </c>
      <c r="Y240" s="280">
        <v>174936</v>
      </c>
      <c r="Z240" s="280">
        <v>177082</v>
      </c>
      <c r="AA240" s="280">
        <v>182571</v>
      </c>
      <c r="AB240" s="280">
        <v>192608</v>
      </c>
      <c r="AC240" s="280">
        <v>197951</v>
      </c>
      <c r="AD240" s="280">
        <v>202115</v>
      </c>
      <c r="AE240" s="280">
        <v>204608</v>
      </c>
      <c r="AF240" s="280">
        <v>205622</v>
      </c>
      <c r="AG240" s="280">
        <v>207996</v>
      </c>
      <c r="AH240" s="280">
        <v>212225</v>
      </c>
      <c r="AI240" s="280">
        <v>210430</v>
      </c>
      <c r="AJ240" s="280">
        <v>206698</v>
      </c>
      <c r="AK240" s="280">
        <v>204374</v>
      </c>
      <c r="AL240" s="280">
        <v>204754</v>
      </c>
      <c r="AM240" s="280">
        <v>205188</v>
      </c>
      <c r="AN240" s="280">
        <v>199804</v>
      </c>
      <c r="AO240" s="280">
        <v>198079</v>
      </c>
      <c r="AP240" s="280">
        <v>195078</v>
      </c>
      <c r="AQ240" s="280">
        <v>195736</v>
      </c>
      <c r="AR240" s="280">
        <v>192395</v>
      </c>
      <c r="AS240" s="280">
        <v>191131</v>
      </c>
      <c r="AT240" s="280">
        <v>188967</v>
      </c>
      <c r="AU240" s="280">
        <v>183125</v>
      </c>
      <c r="AV240" s="280">
        <v>177866</v>
      </c>
      <c r="AW240" s="280">
        <v>170223</v>
      </c>
      <c r="AX240" s="280">
        <v>164329</v>
      </c>
      <c r="AY240" s="280">
        <v>160705</v>
      </c>
      <c r="AZ240" s="280">
        <v>159205</v>
      </c>
      <c r="BA240" s="280">
        <v>159704</v>
      </c>
      <c r="BB240" s="280">
        <v>159309</v>
      </c>
      <c r="BC240" s="280">
        <v>162806</v>
      </c>
      <c r="BD240" s="280">
        <v>163703</v>
      </c>
      <c r="BE240" s="280">
        <v>168093</v>
      </c>
      <c r="BF240" s="280">
        <v>168039</v>
      </c>
      <c r="BG240" s="280">
        <v>157944</v>
      </c>
      <c r="BH240" s="280">
        <v>154027</v>
      </c>
      <c r="BI240" s="280">
        <v>149043</v>
      </c>
      <c r="BJ240" s="280">
        <v>144821</v>
      </c>
      <c r="BK240" s="280">
        <v>145248</v>
      </c>
      <c r="BL240" s="280">
        <v>144418</v>
      </c>
      <c r="BM240" s="280">
        <v>149806</v>
      </c>
      <c r="BN240" s="280">
        <v>150529</v>
      </c>
      <c r="BO240" s="280">
        <v>149549</v>
      </c>
      <c r="BP240" s="280">
        <v>147708</v>
      </c>
      <c r="BQ240" s="280">
        <v>141791</v>
      </c>
      <c r="BR240" s="280">
        <v>137996</v>
      </c>
      <c r="BS240" s="280">
        <v>134271</v>
      </c>
      <c r="BT240" s="280">
        <v>130052</v>
      </c>
      <c r="BU240" s="280">
        <v>127758</v>
      </c>
      <c r="BV240" s="280">
        <v>120909</v>
      </c>
      <c r="BW240" s="280">
        <v>116567</v>
      </c>
      <c r="BX240" s="280">
        <v>114964</v>
      </c>
      <c r="BY240" s="280">
        <v>111163</v>
      </c>
      <c r="BZ240" s="280">
        <v>108991</v>
      </c>
      <c r="CA240" s="280">
        <v>105073</v>
      </c>
      <c r="CB240" s="280">
        <v>100891</v>
      </c>
      <c r="CC240" s="280">
        <v>100072</v>
      </c>
      <c r="CD240" s="280">
        <v>100643</v>
      </c>
      <c r="CE240" s="280">
        <v>82774</v>
      </c>
      <c r="CF240" s="280">
        <v>75890</v>
      </c>
      <c r="CG240" s="280">
        <v>69859</v>
      </c>
      <c r="CH240" s="280">
        <v>60260</v>
      </c>
      <c r="CI240" s="280">
        <v>57109</v>
      </c>
      <c r="CJ240" s="280">
        <v>50055</v>
      </c>
      <c r="CK240" s="280">
        <v>45095</v>
      </c>
      <c r="CL240" s="280">
        <v>39713</v>
      </c>
      <c r="CM240" s="280">
        <v>34562</v>
      </c>
      <c r="CN240" s="280">
        <v>30232</v>
      </c>
      <c r="CO240" s="280">
        <v>25638</v>
      </c>
      <c r="CP240" s="280">
        <v>20894</v>
      </c>
      <c r="CQ240" s="280">
        <v>17503</v>
      </c>
      <c r="CR240" s="280">
        <v>14312</v>
      </c>
      <c r="CS240" s="280">
        <v>11813</v>
      </c>
      <c r="CT240" s="280">
        <v>9654</v>
      </c>
      <c r="CU240" s="280">
        <v>7611</v>
      </c>
      <c r="CV240" s="280">
        <v>5539</v>
      </c>
      <c r="CW240" s="280">
        <v>4118</v>
      </c>
      <c r="CX240" s="280">
        <v>2861</v>
      </c>
      <c r="CY240" s="280">
        <v>2017</v>
      </c>
      <c r="CZ240" s="280">
        <v>1305</v>
      </c>
      <c r="DA240" s="280">
        <v>2424</v>
      </c>
      <c r="DB240" s="276">
        <f t="shared" si="66"/>
        <v>13659298</v>
      </c>
      <c r="DC240" s="277">
        <f t="shared" si="67"/>
        <v>13.659298</v>
      </c>
      <c r="DD240" s="279">
        <f t="shared" si="68"/>
        <v>1.5153392284125511E-2</v>
      </c>
    </row>
    <row r="241" spans="1:108" x14ac:dyDescent="0.2">
      <c r="A241" s="273"/>
      <c r="B241" s="273"/>
      <c r="C241" s="273"/>
      <c r="D241" s="274">
        <v>2025</v>
      </c>
      <c r="E241" s="280">
        <v>186203</v>
      </c>
      <c r="F241" s="280">
        <v>184647</v>
      </c>
      <c r="G241" s="280">
        <v>183680</v>
      </c>
      <c r="H241" s="280">
        <v>182732</v>
      </c>
      <c r="I241" s="280">
        <v>181638</v>
      </c>
      <c r="J241" s="280">
        <v>180288</v>
      </c>
      <c r="K241" s="280">
        <v>178594</v>
      </c>
      <c r="L241" s="280">
        <v>176618</v>
      </c>
      <c r="M241" s="280">
        <v>170048</v>
      </c>
      <c r="N241" s="280">
        <v>177981</v>
      </c>
      <c r="O241" s="280">
        <v>174146</v>
      </c>
      <c r="P241" s="280">
        <v>173298</v>
      </c>
      <c r="Q241" s="280">
        <v>175644</v>
      </c>
      <c r="R241" s="280">
        <v>173765</v>
      </c>
      <c r="S241" s="280">
        <v>173018</v>
      </c>
      <c r="T241" s="280">
        <v>173968</v>
      </c>
      <c r="U241" s="280">
        <v>172940</v>
      </c>
      <c r="V241" s="280">
        <v>174426</v>
      </c>
      <c r="W241" s="280">
        <v>176978</v>
      </c>
      <c r="X241" s="280">
        <v>177159</v>
      </c>
      <c r="Y241" s="280">
        <v>177271</v>
      </c>
      <c r="Z241" s="280">
        <v>180350</v>
      </c>
      <c r="AA241" s="280">
        <v>183382</v>
      </c>
      <c r="AB241" s="280">
        <v>190078</v>
      </c>
      <c r="AC241" s="280">
        <v>199049</v>
      </c>
      <c r="AD241" s="280">
        <v>202520</v>
      </c>
      <c r="AE241" s="280">
        <v>205753</v>
      </c>
      <c r="AF241" s="280">
        <v>207807</v>
      </c>
      <c r="AG241" s="280">
        <v>208506</v>
      </c>
      <c r="AH241" s="280">
        <v>210675</v>
      </c>
      <c r="AI241" s="280">
        <v>214692</v>
      </c>
      <c r="AJ241" s="280">
        <v>212548</v>
      </c>
      <c r="AK241" s="280">
        <v>208579</v>
      </c>
      <c r="AL241" s="280">
        <v>206321</v>
      </c>
      <c r="AM241" s="280">
        <v>206619</v>
      </c>
      <c r="AN241" s="280">
        <v>206756</v>
      </c>
      <c r="AO241" s="280">
        <v>201165</v>
      </c>
      <c r="AP241" s="280">
        <v>199285</v>
      </c>
      <c r="AQ241" s="280">
        <v>196138</v>
      </c>
      <c r="AR241" s="280">
        <v>196696</v>
      </c>
      <c r="AS241" s="280">
        <v>193230</v>
      </c>
      <c r="AT241" s="280">
        <v>191809</v>
      </c>
      <c r="AU241" s="280">
        <v>189476</v>
      </c>
      <c r="AV241" s="280">
        <v>183546</v>
      </c>
      <c r="AW241" s="280">
        <v>178225</v>
      </c>
      <c r="AX241" s="280">
        <v>170481</v>
      </c>
      <c r="AY241" s="280">
        <v>164493</v>
      </c>
      <c r="AZ241" s="280">
        <v>160761</v>
      </c>
      <c r="BA241" s="280">
        <v>159129</v>
      </c>
      <c r="BB241" s="280">
        <v>159529</v>
      </c>
      <c r="BC241" s="280">
        <v>159060</v>
      </c>
      <c r="BD241" s="280">
        <v>162479</v>
      </c>
      <c r="BE241" s="280">
        <v>163329</v>
      </c>
      <c r="BF241" s="280">
        <v>167647</v>
      </c>
      <c r="BG241" s="280">
        <v>167528</v>
      </c>
      <c r="BH241" s="280">
        <v>157377</v>
      </c>
      <c r="BI241" s="280">
        <v>153391</v>
      </c>
      <c r="BJ241" s="280">
        <v>148401</v>
      </c>
      <c r="BK241" s="280">
        <v>144181</v>
      </c>
      <c r="BL241" s="280">
        <v>144579</v>
      </c>
      <c r="BM241" s="280">
        <v>143727</v>
      </c>
      <c r="BN241" s="280">
        <v>149049</v>
      </c>
      <c r="BO241" s="280">
        <v>149694</v>
      </c>
      <c r="BP241" s="280">
        <v>148643</v>
      </c>
      <c r="BQ241" s="280">
        <v>146735</v>
      </c>
      <c r="BR241" s="280">
        <v>140706</v>
      </c>
      <c r="BS241" s="280">
        <v>136792</v>
      </c>
      <c r="BT241" s="280">
        <v>133002</v>
      </c>
      <c r="BU241" s="280">
        <v>128699</v>
      </c>
      <c r="BV241" s="280">
        <v>126273</v>
      </c>
      <c r="BW241" s="280">
        <v>119352</v>
      </c>
      <c r="BX241" s="280">
        <v>114905</v>
      </c>
      <c r="BY241" s="280">
        <v>113134</v>
      </c>
      <c r="BZ241" s="280">
        <v>109192</v>
      </c>
      <c r="CA241" s="280">
        <v>106827</v>
      </c>
      <c r="CB241" s="280">
        <v>102735</v>
      </c>
      <c r="CC241" s="280">
        <v>98381</v>
      </c>
      <c r="CD241" s="280">
        <v>97273</v>
      </c>
      <c r="CE241" s="280">
        <v>97475</v>
      </c>
      <c r="CF241" s="280">
        <v>79829</v>
      </c>
      <c r="CG241" s="280">
        <v>72833</v>
      </c>
      <c r="CH241" s="280">
        <v>66670</v>
      </c>
      <c r="CI241" s="280">
        <v>57130</v>
      </c>
      <c r="CJ241" s="280">
        <v>53743</v>
      </c>
      <c r="CK241" s="280">
        <v>46691</v>
      </c>
      <c r="CL241" s="280">
        <v>41636</v>
      </c>
      <c r="CM241" s="280">
        <v>36258</v>
      </c>
      <c r="CN241" s="280">
        <v>31150</v>
      </c>
      <c r="CO241" s="280">
        <v>26867</v>
      </c>
      <c r="CP241" s="280">
        <v>22458</v>
      </c>
      <c r="CQ241" s="280">
        <v>18018</v>
      </c>
      <c r="CR241" s="280">
        <v>14845</v>
      </c>
      <c r="CS241" s="280">
        <v>11919</v>
      </c>
      <c r="CT241" s="280">
        <v>9628</v>
      </c>
      <c r="CU241" s="280">
        <v>7683</v>
      </c>
      <c r="CV241" s="280">
        <v>5910</v>
      </c>
      <c r="CW241" s="280">
        <v>4191</v>
      </c>
      <c r="CX241" s="280">
        <v>3039</v>
      </c>
      <c r="CY241" s="280">
        <v>2066</v>
      </c>
      <c r="CZ241" s="280">
        <v>1424</v>
      </c>
      <c r="DA241" s="280">
        <v>2619</v>
      </c>
      <c r="DB241" s="276">
        <f t="shared" si="66"/>
        <v>13859813</v>
      </c>
      <c r="DC241" s="277">
        <f t="shared" si="67"/>
        <v>13.859813000000001</v>
      </c>
      <c r="DD241" s="279">
        <f t="shared" si="68"/>
        <v>1.4679744156691004E-2</v>
      </c>
    </row>
    <row r="242" spans="1:108" x14ac:dyDescent="0.2">
      <c r="A242" s="273"/>
      <c r="B242" s="273"/>
      <c r="C242" s="273"/>
      <c r="D242" s="274">
        <v>2026</v>
      </c>
      <c r="E242" s="280">
        <v>188247</v>
      </c>
      <c r="F242" s="280">
        <v>186890</v>
      </c>
      <c r="G242" s="280">
        <v>186104</v>
      </c>
      <c r="H242" s="280">
        <v>185347</v>
      </c>
      <c r="I242" s="280">
        <v>184440</v>
      </c>
      <c r="J242" s="280">
        <v>183285</v>
      </c>
      <c r="K242" s="280">
        <v>181759</v>
      </c>
      <c r="L242" s="280">
        <v>179856</v>
      </c>
      <c r="M242" s="280">
        <v>177774</v>
      </c>
      <c r="N242" s="280">
        <v>171182</v>
      </c>
      <c r="O242" s="280">
        <v>179082</v>
      </c>
      <c r="P242" s="280">
        <v>175208</v>
      </c>
      <c r="Q242" s="280">
        <v>174358</v>
      </c>
      <c r="R242" s="280">
        <v>176692</v>
      </c>
      <c r="S242" s="280">
        <v>174931</v>
      </c>
      <c r="T242" s="280">
        <v>174589</v>
      </c>
      <c r="U242" s="280">
        <v>175901</v>
      </c>
      <c r="V242" s="280">
        <v>175537</v>
      </c>
      <c r="W242" s="280">
        <v>179130</v>
      </c>
      <c r="X242" s="280">
        <v>183641</v>
      </c>
      <c r="Y242" s="280">
        <v>183438</v>
      </c>
      <c r="Z242" s="280">
        <v>182546</v>
      </c>
      <c r="AA242" s="280">
        <v>186491</v>
      </c>
      <c r="AB242" s="280">
        <v>190697</v>
      </c>
      <c r="AC242" s="280">
        <v>196358</v>
      </c>
      <c r="AD242" s="280">
        <v>203501</v>
      </c>
      <c r="AE242" s="280">
        <v>206066</v>
      </c>
      <c r="AF242" s="280">
        <v>208871</v>
      </c>
      <c r="AG242" s="280">
        <v>210616</v>
      </c>
      <c r="AH242" s="280">
        <v>211116</v>
      </c>
      <c r="AI242" s="280">
        <v>213079</v>
      </c>
      <c r="AJ242" s="280">
        <v>216752</v>
      </c>
      <c r="AK242" s="280">
        <v>214377</v>
      </c>
      <c r="AL242" s="280">
        <v>210470</v>
      </c>
      <c r="AM242" s="280">
        <v>208135</v>
      </c>
      <c r="AN242" s="280">
        <v>208142</v>
      </c>
      <c r="AO242" s="280">
        <v>208073</v>
      </c>
      <c r="AP242" s="280">
        <v>202332</v>
      </c>
      <c r="AQ242" s="280">
        <v>200310</v>
      </c>
      <c r="AR242" s="280">
        <v>197066</v>
      </c>
      <c r="AS242" s="280">
        <v>197500</v>
      </c>
      <c r="AT242" s="280">
        <v>193881</v>
      </c>
      <c r="AU242" s="280">
        <v>192298</v>
      </c>
      <c r="AV242" s="280">
        <v>189871</v>
      </c>
      <c r="AW242" s="280">
        <v>183878</v>
      </c>
      <c r="AX242" s="280">
        <v>178453</v>
      </c>
      <c r="AY242" s="280">
        <v>170620</v>
      </c>
      <c r="AZ242" s="280">
        <v>164530</v>
      </c>
      <c r="BA242" s="280">
        <v>160674</v>
      </c>
      <c r="BB242" s="280">
        <v>158948</v>
      </c>
      <c r="BC242" s="280">
        <v>159276</v>
      </c>
      <c r="BD242" s="280">
        <v>158742</v>
      </c>
      <c r="BE242" s="280">
        <v>162105</v>
      </c>
      <c r="BF242" s="280">
        <v>162901</v>
      </c>
      <c r="BG242" s="280">
        <v>167133</v>
      </c>
      <c r="BH242" s="280">
        <v>166921</v>
      </c>
      <c r="BI242" s="280">
        <v>156727</v>
      </c>
      <c r="BJ242" s="280">
        <v>152728</v>
      </c>
      <c r="BK242" s="280">
        <v>147741</v>
      </c>
      <c r="BL242" s="280">
        <v>143520</v>
      </c>
      <c r="BM242" s="280">
        <v>143886</v>
      </c>
      <c r="BN242" s="280">
        <v>143012</v>
      </c>
      <c r="BO242" s="280">
        <v>148227</v>
      </c>
      <c r="BP242" s="280">
        <v>148789</v>
      </c>
      <c r="BQ242" s="280">
        <v>147665</v>
      </c>
      <c r="BR242" s="280">
        <v>145616</v>
      </c>
      <c r="BS242" s="280">
        <v>139487</v>
      </c>
      <c r="BT242" s="280">
        <v>135509</v>
      </c>
      <c r="BU242" s="280">
        <v>131631</v>
      </c>
      <c r="BV242" s="280">
        <v>127215</v>
      </c>
      <c r="BW242" s="280">
        <v>124661</v>
      </c>
      <c r="BX242" s="280">
        <v>117668</v>
      </c>
      <c r="BY242" s="280">
        <v>113095</v>
      </c>
      <c r="BZ242" s="280">
        <v>111151</v>
      </c>
      <c r="CA242" s="280">
        <v>107051</v>
      </c>
      <c r="CB242" s="280">
        <v>104478</v>
      </c>
      <c r="CC242" s="280">
        <v>100207</v>
      </c>
      <c r="CD242" s="280">
        <v>95660</v>
      </c>
      <c r="CE242" s="280">
        <v>94245</v>
      </c>
      <c r="CF242" s="280">
        <v>94043</v>
      </c>
      <c r="CG242" s="280">
        <v>76644</v>
      </c>
      <c r="CH242" s="280">
        <v>69539</v>
      </c>
      <c r="CI242" s="280">
        <v>63237</v>
      </c>
      <c r="CJ242" s="280">
        <v>53791</v>
      </c>
      <c r="CK242" s="280">
        <v>50160</v>
      </c>
      <c r="CL242" s="280">
        <v>43135</v>
      </c>
      <c r="CM242" s="280">
        <v>38037</v>
      </c>
      <c r="CN242" s="280">
        <v>32702</v>
      </c>
      <c r="CO242" s="280">
        <v>27706</v>
      </c>
      <c r="CP242" s="280">
        <v>23555</v>
      </c>
      <c r="CQ242" s="280">
        <v>19389</v>
      </c>
      <c r="CR242" s="280">
        <v>15299</v>
      </c>
      <c r="CS242" s="280">
        <v>12378</v>
      </c>
      <c r="CT242" s="280">
        <v>9726</v>
      </c>
      <c r="CU242" s="280">
        <v>7671</v>
      </c>
      <c r="CV242" s="280">
        <v>5971</v>
      </c>
      <c r="CW242" s="280">
        <v>4475</v>
      </c>
      <c r="CX242" s="280">
        <v>3095</v>
      </c>
      <c r="CY242" s="280">
        <v>2195</v>
      </c>
      <c r="CZ242" s="280">
        <v>1460</v>
      </c>
      <c r="DA242" s="280">
        <v>2841</v>
      </c>
      <c r="DB242" s="276">
        <f t="shared" si="66"/>
        <v>14057138</v>
      </c>
      <c r="DC242" s="277">
        <f t="shared" si="67"/>
        <v>14.057138</v>
      </c>
      <c r="DD242" s="279">
        <f t="shared" si="68"/>
        <v>1.4237205076287776E-2</v>
      </c>
    </row>
    <row r="243" spans="1:108" x14ac:dyDescent="0.2">
      <c r="A243" s="273"/>
      <c r="B243" s="273"/>
      <c r="C243" s="273"/>
      <c r="D243" s="274">
        <v>2027</v>
      </c>
      <c r="E243" s="280">
        <v>190076</v>
      </c>
      <c r="F243" s="280">
        <v>188912</v>
      </c>
      <c r="G243" s="280">
        <v>188302</v>
      </c>
      <c r="H243" s="280">
        <v>187721</v>
      </c>
      <c r="I243" s="280">
        <v>187003</v>
      </c>
      <c r="J243" s="280">
        <v>186038</v>
      </c>
      <c r="K243" s="280">
        <v>184710</v>
      </c>
      <c r="L243" s="280">
        <v>182983</v>
      </c>
      <c r="M243" s="280">
        <v>180977</v>
      </c>
      <c r="N243" s="280">
        <v>178873</v>
      </c>
      <c r="O243" s="280">
        <v>172250</v>
      </c>
      <c r="P243" s="280">
        <v>180111</v>
      </c>
      <c r="Q243" s="280">
        <v>176236</v>
      </c>
      <c r="R243" s="280">
        <v>175374</v>
      </c>
      <c r="S243" s="280">
        <v>177822</v>
      </c>
      <c r="T243" s="280">
        <v>176453</v>
      </c>
      <c r="U243" s="280">
        <v>176463</v>
      </c>
      <c r="V243" s="280">
        <v>178418</v>
      </c>
      <c r="W243" s="280">
        <v>180097</v>
      </c>
      <c r="X243" s="280">
        <v>185591</v>
      </c>
      <c r="Y243" s="280">
        <v>189726</v>
      </c>
      <c r="Z243" s="280">
        <v>188552</v>
      </c>
      <c r="AA243" s="280">
        <v>188498</v>
      </c>
      <c r="AB243" s="280">
        <v>193584</v>
      </c>
      <c r="AC243" s="280">
        <v>196787</v>
      </c>
      <c r="AD243" s="280">
        <v>200674</v>
      </c>
      <c r="AE243" s="280">
        <v>206936</v>
      </c>
      <c r="AF243" s="280">
        <v>209088</v>
      </c>
      <c r="AG243" s="280">
        <v>211591</v>
      </c>
      <c r="AH243" s="280">
        <v>213145</v>
      </c>
      <c r="AI243" s="280">
        <v>213443</v>
      </c>
      <c r="AJ243" s="280">
        <v>215074</v>
      </c>
      <c r="AK243" s="280">
        <v>218519</v>
      </c>
      <c r="AL243" s="280">
        <v>216203</v>
      </c>
      <c r="AM243" s="280">
        <v>212221</v>
      </c>
      <c r="AN243" s="280">
        <v>209607</v>
      </c>
      <c r="AO243" s="280">
        <v>209414</v>
      </c>
      <c r="AP243" s="280">
        <v>209191</v>
      </c>
      <c r="AQ243" s="280">
        <v>203316</v>
      </c>
      <c r="AR243" s="280">
        <v>201199</v>
      </c>
      <c r="AS243" s="280">
        <v>197838</v>
      </c>
      <c r="AT243" s="280">
        <v>198117</v>
      </c>
      <c r="AU243" s="280">
        <v>194343</v>
      </c>
      <c r="AV243" s="280">
        <v>192667</v>
      </c>
      <c r="AW243" s="280">
        <v>190174</v>
      </c>
      <c r="AX243" s="280">
        <v>184080</v>
      </c>
      <c r="AY243" s="280">
        <v>178559</v>
      </c>
      <c r="AZ243" s="280">
        <v>170634</v>
      </c>
      <c r="BA243" s="280">
        <v>164426</v>
      </c>
      <c r="BB243" s="280">
        <v>160483</v>
      </c>
      <c r="BC243" s="280">
        <v>158689</v>
      </c>
      <c r="BD243" s="280">
        <v>158952</v>
      </c>
      <c r="BE243" s="280">
        <v>158377</v>
      </c>
      <c r="BF243" s="280">
        <v>161677</v>
      </c>
      <c r="BG243" s="280">
        <v>162404</v>
      </c>
      <c r="BH243" s="280">
        <v>166527</v>
      </c>
      <c r="BI243" s="280">
        <v>166226</v>
      </c>
      <c r="BJ243" s="280">
        <v>156047</v>
      </c>
      <c r="BK243" s="280">
        <v>152043</v>
      </c>
      <c r="BL243" s="280">
        <v>147057</v>
      </c>
      <c r="BM243" s="280">
        <v>142832</v>
      </c>
      <c r="BN243" s="280">
        <v>143166</v>
      </c>
      <c r="BO243" s="280">
        <v>142230</v>
      </c>
      <c r="BP243" s="280">
        <v>147334</v>
      </c>
      <c r="BQ243" s="280">
        <v>147811</v>
      </c>
      <c r="BR243" s="280">
        <v>146538</v>
      </c>
      <c r="BS243" s="280">
        <v>144355</v>
      </c>
      <c r="BT243" s="280">
        <v>138181</v>
      </c>
      <c r="BU243" s="280">
        <v>134114</v>
      </c>
      <c r="BV243" s="280">
        <v>130120</v>
      </c>
      <c r="BW243" s="280">
        <v>125600</v>
      </c>
      <c r="BX243" s="280">
        <v>122910</v>
      </c>
      <c r="BY243" s="280">
        <v>115827</v>
      </c>
      <c r="BZ243" s="280">
        <v>111126</v>
      </c>
      <c r="CA243" s="280">
        <v>108983</v>
      </c>
      <c r="CB243" s="280">
        <v>104714</v>
      </c>
      <c r="CC243" s="280">
        <v>101924</v>
      </c>
      <c r="CD243" s="280">
        <v>97453</v>
      </c>
      <c r="CE243" s="280">
        <v>92702</v>
      </c>
      <c r="CF243" s="280">
        <v>90949</v>
      </c>
      <c r="CG243" s="280">
        <v>90314</v>
      </c>
      <c r="CH243" s="280">
        <v>73196</v>
      </c>
      <c r="CI243" s="280">
        <v>65978</v>
      </c>
      <c r="CJ243" s="280">
        <v>59559</v>
      </c>
      <c r="CK243" s="280">
        <v>50220</v>
      </c>
      <c r="CL243" s="280">
        <v>46358</v>
      </c>
      <c r="CM243" s="280">
        <v>39422</v>
      </c>
      <c r="CN243" s="280">
        <v>34323</v>
      </c>
      <c r="CO243" s="280">
        <v>29101</v>
      </c>
      <c r="CP243" s="280">
        <v>24304</v>
      </c>
      <c r="CQ243" s="280">
        <v>20349</v>
      </c>
      <c r="CR243" s="280">
        <v>16476</v>
      </c>
      <c r="CS243" s="280">
        <v>12766</v>
      </c>
      <c r="CT243" s="280">
        <v>10108</v>
      </c>
      <c r="CU243" s="280">
        <v>7754</v>
      </c>
      <c r="CV243" s="280">
        <v>5965</v>
      </c>
      <c r="CW243" s="280">
        <v>4523</v>
      </c>
      <c r="CX243" s="280">
        <v>3306</v>
      </c>
      <c r="CY243" s="280">
        <v>2237</v>
      </c>
      <c r="CZ243" s="280">
        <v>1551</v>
      </c>
      <c r="DA243" s="280">
        <v>3026</v>
      </c>
      <c r="DB243" s="276">
        <f t="shared" si="66"/>
        <v>14250203</v>
      </c>
      <c r="DC243" s="277">
        <f t="shared" si="67"/>
        <v>14.250203000000001</v>
      </c>
      <c r="DD243" s="279">
        <f t="shared" si="68"/>
        <v>1.3734303526080537E-2</v>
      </c>
    </row>
    <row r="244" spans="1:108" x14ac:dyDescent="0.2">
      <c r="A244" s="273"/>
      <c r="B244" s="273"/>
      <c r="C244" s="273"/>
      <c r="D244" s="274">
        <v>2028</v>
      </c>
      <c r="E244" s="280">
        <v>191708</v>
      </c>
      <c r="F244" s="280">
        <v>190742</v>
      </c>
      <c r="G244" s="280">
        <v>190324</v>
      </c>
      <c r="H244" s="280">
        <v>189918</v>
      </c>
      <c r="I244" s="280">
        <v>189376</v>
      </c>
      <c r="J244" s="280">
        <v>188601</v>
      </c>
      <c r="K244" s="280">
        <v>187463</v>
      </c>
      <c r="L244" s="280">
        <v>185933</v>
      </c>
      <c r="M244" s="280">
        <v>184104</v>
      </c>
      <c r="N244" s="280">
        <v>182076</v>
      </c>
      <c r="O244" s="280">
        <v>179941</v>
      </c>
      <c r="P244" s="280">
        <v>173280</v>
      </c>
      <c r="Q244" s="280">
        <v>181139</v>
      </c>
      <c r="R244" s="280">
        <v>177252</v>
      </c>
      <c r="S244" s="280">
        <v>176505</v>
      </c>
      <c r="T244" s="280">
        <v>179344</v>
      </c>
      <c r="U244" s="280">
        <v>178326</v>
      </c>
      <c r="V244" s="280">
        <v>178979</v>
      </c>
      <c r="W244" s="280">
        <v>182979</v>
      </c>
      <c r="X244" s="280">
        <v>186558</v>
      </c>
      <c r="Y244" s="280">
        <v>191675</v>
      </c>
      <c r="Z244" s="280">
        <v>194835</v>
      </c>
      <c r="AA244" s="280">
        <v>194503</v>
      </c>
      <c r="AB244" s="280">
        <v>195588</v>
      </c>
      <c r="AC244" s="280">
        <v>199672</v>
      </c>
      <c r="AD244" s="280">
        <v>201106</v>
      </c>
      <c r="AE244" s="280">
        <v>204113</v>
      </c>
      <c r="AF244" s="280">
        <v>209958</v>
      </c>
      <c r="AG244" s="280">
        <v>211810</v>
      </c>
      <c r="AH244" s="280">
        <v>214119</v>
      </c>
      <c r="AI244" s="280">
        <v>215471</v>
      </c>
      <c r="AJ244" s="280">
        <v>215440</v>
      </c>
      <c r="AK244" s="280">
        <v>216842</v>
      </c>
      <c r="AL244" s="280">
        <v>220342</v>
      </c>
      <c r="AM244" s="280">
        <v>217951</v>
      </c>
      <c r="AN244" s="280">
        <v>213689</v>
      </c>
      <c r="AO244" s="280">
        <v>210876</v>
      </c>
      <c r="AP244" s="280">
        <v>210531</v>
      </c>
      <c r="AQ244" s="280">
        <v>210169</v>
      </c>
      <c r="AR244" s="280">
        <v>204202</v>
      </c>
      <c r="AS244" s="280">
        <v>201967</v>
      </c>
      <c r="AT244" s="280">
        <v>198457</v>
      </c>
      <c r="AU244" s="280">
        <v>198573</v>
      </c>
      <c r="AV244" s="280">
        <v>194708</v>
      </c>
      <c r="AW244" s="280">
        <v>192965</v>
      </c>
      <c r="AX244" s="280">
        <v>190364</v>
      </c>
      <c r="AY244" s="280">
        <v>184176</v>
      </c>
      <c r="AZ244" s="280">
        <v>178553</v>
      </c>
      <c r="BA244" s="280">
        <v>170517</v>
      </c>
      <c r="BB244" s="280">
        <v>164225</v>
      </c>
      <c r="BC244" s="280">
        <v>160224</v>
      </c>
      <c r="BD244" s="280">
        <v>158367</v>
      </c>
      <c r="BE244" s="280">
        <v>158588</v>
      </c>
      <c r="BF244" s="280">
        <v>157962</v>
      </c>
      <c r="BG244" s="280">
        <v>161184</v>
      </c>
      <c r="BH244" s="280">
        <v>161817</v>
      </c>
      <c r="BI244" s="280">
        <v>165837</v>
      </c>
      <c r="BJ244" s="280">
        <v>165501</v>
      </c>
      <c r="BK244" s="280">
        <v>155348</v>
      </c>
      <c r="BL244" s="280">
        <v>151336</v>
      </c>
      <c r="BM244" s="280">
        <v>146349</v>
      </c>
      <c r="BN244" s="280">
        <v>142122</v>
      </c>
      <c r="BO244" s="280">
        <v>142386</v>
      </c>
      <c r="BP244" s="280">
        <v>141386</v>
      </c>
      <c r="BQ244" s="280">
        <v>146374</v>
      </c>
      <c r="BR244" s="280">
        <v>146690</v>
      </c>
      <c r="BS244" s="280">
        <v>145279</v>
      </c>
      <c r="BT244" s="280">
        <v>143007</v>
      </c>
      <c r="BU244" s="280">
        <v>136767</v>
      </c>
      <c r="BV244" s="280">
        <v>132583</v>
      </c>
      <c r="BW244" s="280">
        <v>128477</v>
      </c>
      <c r="BX244" s="280">
        <v>123849</v>
      </c>
      <c r="BY244" s="280">
        <v>120998</v>
      </c>
      <c r="BZ244" s="280">
        <v>113825</v>
      </c>
      <c r="CA244" s="280">
        <v>108976</v>
      </c>
      <c r="CB244" s="280">
        <v>106620</v>
      </c>
      <c r="CC244" s="280">
        <v>102173</v>
      </c>
      <c r="CD244" s="280">
        <v>99141</v>
      </c>
      <c r="CE244" s="280">
        <v>94458</v>
      </c>
      <c r="CF244" s="280">
        <v>89480</v>
      </c>
      <c r="CG244" s="280">
        <v>87366</v>
      </c>
      <c r="CH244" s="280">
        <v>86274</v>
      </c>
      <c r="CI244" s="280">
        <v>69468</v>
      </c>
      <c r="CJ244" s="280">
        <v>62161</v>
      </c>
      <c r="CK244" s="280">
        <v>55625</v>
      </c>
      <c r="CL244" s="280">
        <v>46430</v>
      </c>
      <c r="CM244" s="280">
        <v>42385</v>
      </c>
      <c r="CN244" s="280">
        <v>35588</v>
      </c>
      <c r="CO244" s="280">
        <v>30559</v>
      </c>
      <c r="CP244" s="280">
        <v>25543</v>
      </c>
      <c r="CQ244" s="280">
        <v>21009</v>
      </c>
      <c r="CR244" s="280">
        <v>17304</v>
      </c>
      <c r="CS244" s="280">
        <v>13758</v>
      </c>
      <c r="CT244" s="280">
        <v>10433</v>
      </c>
      <c r="CU244" s="280">
        <v>8064</v>
      </c>
      <c r="CV244" s="280">
        <v>6033</v>
      </c>
      <c r="CW244" s="280">
        <v>4520</v>
      </c>
      <c r="CX244" s="280">
        <v>3342</v>
      </c>
      <c r="CY244" s="280">
        <v>2390</v>
      </c>
      <c r="CZ244" s="280">
        <v>1582</v>
      </c>
      <c r="DA244" s="280">
        <v>3221</v>
      </c>
      <c r="DB244" s="276">
        <f t="shared" si="66"/>
        <v>14442104</v>
      </c>
      <c r="DC244" s="277">
        <f t="shared" si="67"/>
        <v>14.442104</v>
      </c>
      <c r="DD244" s="279">
        <f t="shared" si="68"/>
        <v>1.346654500290274E-2</v>
      </c>
    </row>
    <row r="245" spans="1:108" x14ac:dyDescent="0.2">
      <c r="A245" s="273"/>
      <c r="B245" s="273"/>
      <c r="C245" s="273"/>
      <c r="D245" s="274">
        <v>2029</v>
      </c>
      <c r="E245" s="280">
        <v>193186</v>
      </c>
      <c r="F245" s="280">
        <v>192376</v>
      </c>
      <c r="G245" s="280">
        <v>192154</v>
      </c>
      <c r="H245" s="280">
        <v>191940</v>
      </c>
      <c r="I245" s="280">
        <v>191573</v>
      </c>
      <c r="J245" s="280">
        <v>190974</v>
      </c>
      <c r="K245" s="280">
        <v>190025</v>
      </c>
      <c r="L245" s="280">
        <v>188688</v>
      </c>
      <c r="M245" s="280">
        <v>187053</v>
      </c>
      <c r="N245" s="280">
        <v>185203</v>
      </c>
      <c r="O245" s="280">
        <v>183144</v>
      </c>
      <c r="P245" s="280">
        <v>180970</v>
      </c>
      <c r="Q245" s="280">
        <v>174308</v>
      </c>
      <c r="R245" s="280">
        <v>182155</v>
      </c>
      <c r="S245" s="280">
        <v>178384</v>
      </c>
      <c r="T245" s="280">
        <v>178027</v>
      </c>
      <c r="U245" s="280">
        <v>181217</v>
      </c>
      <c r="V245" s="280">
        <v>180842</v>
      </c>
      <c r="W245" s="280">
        <v>183540</v>
      </c>
      <c r="X245" s="280">
        <v>189440</v>
      </c>
      <c r="Y245" s="280">
        <v>192642</v>
      </c>
      <c r="Z245" s="280">
        <v>196785</v>
      </c>
      <c r="AA245" s="280">
        <v>200783</v>
      </c>
      <c r="AB245" s="280">
        <v>201591</v>
      </c>
      <c r="AC245" s="280">
        <v>201677</v>
      </c>
      <c r="AD245" s="280">
        <v>203990</v>
      </c>
      <c r="AE245" s="280">
        <v>204544</v>
      </c>
      <c r="AF245" s="280">
        <v>207136</v>
      </c>
      <c r="AG245" s="280">
        <v>212682</v>
      </c>
      <c r="AH245" s="280">
        <v>214338</v>
      </c>
      <c r="AI245" s="280">
        <v>216447</v>
      </c>
      <c r="AJ245" s="280">
        <v>217467</v>
      </c>
      <c r="AK245" s="280">
        <v>217210</v>
      </c>
      <c r="AL245" s="280">
        <v>218666</v>
      </c>
      <c r="AM245" s="280">
        <v>222086</v>
      </c>
      <c r="AN245" s="280">
        <v>219414</v>
      </c>
      <c r="AO245" s="280">
        <v>214956</v>
      </c>
      <c r="AP245" s="280">
        <v>211993</v>
      </c>
      <c r="AQ245" s="280">
        <v>211507</v>
      </c>
      <c r="AR245" s="280">
        <v>211046</v>
      </c>
      <c r="AS245" s="280">
        <v>204964</v>
      </c>
      <c r="AT245" s="280">
        <v>202580</v>
      </c>
      <c r="AU245" s="280">
        <v>198914</v>
      </c>
      <c r="AV245" s="280">
        <v>198933</v>
      </c>
      <c r="AW245" s="280">
        <v>195002</v>
      </c>
      <c r="AX245" s="280">
        <v>193150</v>
      </c>
      <c r="AY245" s="280">
        <v>190449</v>
      </c>
      <c r="AZ245" s="280">
        <v>184158</v>
      </c>
      <c r="BA245" s="280">
        <v>178417</v>
      </c>
      <c r="BB245" s="280">
        <v>170302</v>
      </c>
      <c r="BC245" s="280">
        <v>163956</v>
      </c>
      <c r="BD245" s="280">
        <v>159898</v>
      </c>
      <c r="BE245" s="280">
        <v>158005</v>
      </c>
      <c r="BF245" s="280">
        <v>158174</v>
      </c>
      <c r="BG245" s="280">
        <v>157485</v>
      </c>
      <c r="BH245" s="280">
        <v>160604</v>
      </c>
      <c r="BI245" s="280">
        <v>161150</v>
      </c>
      <c r="BJ245" s="280">
        <v>165114</v>
      </c>
      <c r="BK245" s="280">
        <v>164754</v>
      </c>
      <c r="BL245" s="280">
        <v>154626</v>
      </c>
      <c r="BM245" s="280">
        <v>150605</v>
      </c>
      <c r="BN245" s="280">
        <v>145619</v>
      </c>
      <c r="BO245" s="280">
        <v>141353</v>
      </c>
      <c r="BP245" s="280">
        <v>141546</v>
      </c>
      <c r="BQ245" s="280">
        <v>140478</v>
      </c>
      <c r="BR245" s="280">
        <v>145271</v>
      </c>
      <c r="BS245" s="280">
        <v>145437</v>
      </c>
      <c r="BT245" s="280">
        <v>143932</v>
      </c>
      <c r="BU245" s="280">
        <v>141550</v>
      </c>
      <c r="BV245" s="280">
        <v>135215</v>
      </c>
      <c r="BW245" s="280">
        <v>130921</v>
      </c>
      <c r="BX245" s="280">
        <v>126696</v>
      </c>
      <c r="BY245" s="280">
        <v>121936</v>
      </c>
      <c r="BZ245" s="280">
        <v>118921</v>
      </c>
      <c r="CA245" s="280">
        <v>111639</v>
      </c>
      <c r="CB245" s="280">
        <v>106630</v>
      </c>
      <c r="CC245" s="280">
        <v>104051</v>
      </c>
      <c r="CD245" s="280">
        <v>99403</v>
      </c>
      <c r="CE245" s="280">
        <v>96115</v>
      </c>
      <c r="CF245" s="280">
        <v>91194</v>
      </c>
      <c r="CG245" s="280">
        <v>85975</v>
      </c>
      <c r="CH245" s="280">
        <v>83482</v>
      </c>
      <c r="CI245" s="280">
        <v>81904</v>
      </c>
      <c r="CJ245" s="280">
        <v>65467</v>
      </c>
      <c r="CK245" s="280">
        <v>58074</v>
      </c>
      <c r="CL245" s="280">
        <v>51447</v>
      </c>
      <c r="CM245" s="280">
        <v>42466</v>
      </c>
      <c r="CN245" s="280">
        <v>38281</v>
      </c>
      <c r="CO245" s="280">
        <v>31701</v>
      </c>
      <c r="CP245" s="280">
        <v>26838</v>
      </c>
      <c r="CQ245" s="280">
        <v>22095</v>
      </c>
      <c r="CR245" s="280">
        <v>17878</v>
      </c>
      <c r="CS245" s="280">
        <v>14460</v>
      </c>
      <c r="CT245" s="280">
        <v>11252</v>
      </c>
      <c r="CU245" s="280">
        <v>8329</v>
      </c>
      <c r="CV245" s="280">
        <v>6277</v>
      </c>
      <c r="CW245" s="280">
        <v>4574</v>
      </c>
      <c r="CX245" s="280">
        <v>3341</v>
      </c>
      <c r="CY245" s="280">
        <v>2416</v>
      </c>
      <c r="CZ245" s="280">
        <v>1690</v>
      </c>
      <c r="DA245" s="280">
        <v>3385</v>
      </c>
      <c r="DB245" s="276">
        <f t="shared" ref="DB245:DB246" si="69">SUM(E245:DA245)</f>
        <v>14632638</v>
      </c>
      <c r="DC245" s="277">
        <f t="shared" ref="DC245:DC246" si="70">DB245/1000000</f>
        <v>14.632638</v>
      </c>
      <c r="DD245" s="279">
        <f t="shared" ref="DD245:DD246" si="71">(DC245-DC244)/DC244</f>
        <v>1.3192953048946299E-2</v>
      </c>
    </row>
    <row r="246" spans="1:108" x14ac:dyDescent="0.2">
      <c r="A246" s="273"/>
      <c r="B246" s="273"/>
      <c r="C246" s="273"/>
      <c r="D246" s="274">
        <v>2030</v>
      </c>
      <c r="E246" s="280">
        <v>194571</v>
      </c>
      <c r="F246" s="280">
        <v>193853</v>
      </c>
      <c r="G246" s="280">
        <v>193788</v>
      </c>
      <c r="H246" s="280">
        <v>193770</v>
      </c>
      <c r="I246" s="280">
        <v>193595</v>
      </c>
      <c r="J246" s="280">
        <v>193171</v>
      </c>
      <c r="K246" s="280">
        <v>192398</v>
      </c>
      <c r="L246" s="280">
        <v>191250</v>
      </c>
      <c r="M246" s="280">
        <v>189808</v>
      </c>
      <c r="N246" s="280">
        <v>188151</v>
      </c>
      <c r="O246" s="280">
        <v>186271</v>
      </c>
      <c r="P246" s="280">
        <v>184173</v>
      </c>
      <c r="Q246" s="280">
        <v>181997</v>
      </c>
      <c r="R246" s="280">
        <v>175325</v>
      </c>
      <c r="S246" s="280">
        <v>183287</v>
      </c>
      <c r="T246" s="280">
        <v>179906</v>
      </c>
      <c r="U246" s="280">
        <v>179902</v>
      </c>
      <c r="V246" s="280">
        <v>183732</v>
      </c>
      <c r="W246" s="280">
        <v>185402</v>
      </c>
      <c r="X246" s="280">
        <v>190001</v>
      </c>
      <c r="Y246" s="280">
        <v>195522</v>
      </c>
      <c r="Z246" s="280">
        <v>197754</v>
      </c>
      <c r="AA246" s="280">
        <v>202732</v>
      </c>
      <c r="AB246" s="280">
        <v>207870</v>
      </c>
      <c r="AC246" s="280">
        <v>207677</v>
      </c>
      <c r="AD246" s="280">
        <v>205994</v>
      </c>
      <c r="AE246" s="280">
        <v>207427</v>
      </c>
      <c r="AF246" s="280">
        <v>207571</v>
      </c>
      <c r="AG246" s="280">
        <v>209861</v>
      </c>
      <c r="AH246" s="280">
        <v>215210</v>
      </c>
      <c r="AI246" s="280">
        <v>216666</v>
      </c>
      <c r="AJ246" s="280">
        <v>218444</v>
      </c>
      <c r="AK246" s="280">
        <v>219238</v>
      </c>
      <c r="AL246" s="280">
        <v>219034</v>
      </c>
      <c r="AM246" s="280">
        <v>220412</v>
      </c>
      <c r="AN246" s="280">
        <v>223547</v>
      </c>
      <c r="AO246" s="280">
        <v>220677</v>
      </c>
      <c r="AP246" s="280">
        <v>216071</v>
      </c>
      <c r="AQ246" s="280">
        <v>212968</v>
      </c>
      <c r="AR246" s="280">
        <v>212385</v>
      </c>
      <c r="AS246" s="280">
        <v>211799</v>
      </c>
      <c r="AT246" s="280">
        <v>205573</v>
      </c>
      <c r="AU246" s="280">
        <v>203031</v>
      </c>
      <c r="AV246" s="280">
        <v>199274</v>
      </c>
      <c r="AW246" s="280">
        <v>199222</v>
      </c>
      <c r="AX246" s="280">
        <v>195183</v>
      </c>
      <c r="AY246" s="280">
        <v>193230</v>
      </c>
      <c r="AZ246" s="280">
        <v>190417</v>
      </c>
      <c r="BA246" s="280">
        <v>184009</v>
      </c>
      <c r="BB246" s="280">
        <v>178180</v>
      </c>
      <c r="BC246" s="280">
        <v>170016</v>
      </c>
      <c r="BD246" s="280">
        <v>163618</v>
      </c>
      <c r="BE246" s="280">
        <v>159532</v>
      </c>
      <c r="BF246" s="280">
        <v>157594</v>
      </c>
      <c r="BG246" s="280">
        <v>157696</v>
      </c>
      <c r="BH246" s="280">
        <v>156922</v>
      </c>
      <c r="BI246" s="280">
        <v>159944</v>
      </c>
      <c r="BJ246" s="280">
        <v>160455</v>
      </c>
      <c r="BK246" s="280">
        <v>164371</v>
      </c>
      <c r="BL246" s="280">
        <v>163982</v>
      </c>
      <c r="BM246" s="280">
        <v>153879</v>
      </c>
      <c r="BN246" s="280">
        <v>149852</v>
      </c>
      <c r="BO246" s="280">
        <v>144830</v>
      </c>
      <c r="BP246" s="280">
        <v>140524</v>
      </c>
      <c r="BQ246" s="280">
        <v>140643</v>
      </c>
      <c r="BR246" s="280">
        <v>139432</v>
      </c>
      <c r="BS246" s="280">
        <v>144036</v>
      </c>
      <c r="BT246" s="280">
        <v>144097</v>
      </c>
      <c r="BU246" s="280">
        <v>142473</v>
      </c>
      <c r="BV246" s="280">
        <v>139953</v>
      </c>
      <c r="BW246" s="280">
        <v>133531</v>
      </c>
      <c r="BX246" s="280">
        <v>129119</v>
      </c>
      <c r="BY246" s="280">
        <v>124753</v>
      </c>
      <c r="BZ246" s="280">
        <v>119856</v>
      </c>
      <c r="CA246" s="280">
        <v>116651</v>
      </c>
      <c r="CB246" s="280">
        <v>109253</v>
      </c>
      <c r="CC246" s="280">
        <v>104078</v>
      </c>
      <c r="CD246" s="280">
        <v>101249</v>
      </c>
      <c r="CE246" s="280">
        <v>96389</v>
      </c>
      <c r="CF246" s="280">
        <v>92816</v>
      </c>
      <c r="CG246" s="280">
        <v>87643</v>
      </c>
      <c r="CH246" s="280">
        <v>82173</v>
      </c>
      <c r="CI246" s="280">
        <v>79276</v>
      </c>
      <c r="CJ246" s="280">
        <v>77211</v>
      </c>
      <c r="CK246" s="280">
        <v>61184</v>
      </c>
      <c r="CL246" s="280">
        <v>53732</v>
      </c>
      <c r="CM246" s="280">
        <v>47074</v>
      </c>
      <c r="CN246" s="280">
        <v>38369</v>
      </c>
      <c r="CO246" s="280">
        <v>34118</v>
      </c>
      <c r="CP246" s="280">
        <v>27856</v>
      </c>
      <c r="CQ246" s="280">
        <v>23230</v>
      </c>
      <c r="CR246" s="280">
        <v>18816</v>
      </c>
      <c r="CS246" s="280">
        <v>14951</v>
      </c>
      <c r="CT246" s="280">
        <v>11834</v>
      </c>
      <c r="CU246" s="280">
        <v>8989</v>
      </c>
      <c r="CV246" s="280">
        <v>6487</v>
      </c>
      <c r="CW246" s="280">
        <v>4761</v>
      </c>
      <c r="CX246" s="280">
        <v>3383</v>
      </c>
      <c r="CY246" s="280">
        <v>2416</v>
      </c>
      <c r="CZ246" s="280">
        <v>1709</v>
      </c>
      <c r="DA246" s="280">
        <v>3577</v>
      </c>
      <c r="DB246" s="276">
        <f t="shared" si="69"/>
        <v>14821662</v>
      </c>
      <c r="DC246" s="277">
        <f t="shared" si="70"/>
        <v>14.821662</v>
      </c>
      <c r="DD246" s="279">
        <f t="shared" si="71"/>
        <v>1.291797145531789E-2</v>
      </c>
    </row>
    <row r="247" spans="1:108" x14ac:dyDescent="0.2">
      <c r="A247" s="273"/>
      <c r="B247" s="273"/>
      <c r="C247" s="273"/>
      <c r="D247" s="281"/>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c r="AL247" s="282"/>
      <c r="AM247" s="282"/>
      <c r="AN247" s="282"/>
      <c r="AO247" s="282"/>
      <c r="AP247" s="282"/>
      <c r="AQ247" s="282"/>
      <c r="AR247" s="282"/>
      <c r="AS247" s="282"/>
      <c r="AT247" s="282"/>
      <c r="AU247" s="282"/>
      <c r="AV247" s="282"/>
      <c r="AW247" s="282"/>
      <c r="AX247" s="282"/>
      <c r="AY247" s="282"/>
      <c r="AZ247" s="282"/>
      <c r="BA247" s="282"/>
      <c r="BB247" s="282"/>
      <c r="BC247" s="282"/>
      <c r="BD247" s="282"/>
      <c r="BE247" s="282"/>
      <c r="BF247" s="282"/>
      <c r="BG247" s="282"/>
      <c r="BH247" s="282"/>
      <c r="BI247" s="282"/>
      <c r="BJ247" s="282"/>
      <c r="BK247" s="282"/>
      <c r="BL247" s="282"/>
      <c r="BM247" s="282"/>
      <c r="BN247" s="282"/>
      <c r="BO247" s="282"/>
      <c r="BP247" s="282"/>
      <c r="BQ247" s="282"/>
      <c r="BR247" s="282"/>
      <c r="BS247" s="282"/>
      <c r="BT247" s="282"/>
      <c r="BU247" s="282"/>
      <c r="BV247" s="282"/>
      <c r="BW247" s="282"/>
      <c r="BX247" s="282"/>
      <c r="BY247" s="282"/>
      <c r="BZ247" s="282"/>
      <c r="CA247" s="282"/>
      <c r="CB247" s="282"/>
      <c r="CC247" s="282"/>
      <c r="CD247" s="282"/>
      <c r="CE247" s="282"/>
      <c r="CF247" s="282"/>
      <c r="CG247" s="282"/>
      <c r="CH247" s="282"/>
      <c r="CI247" s="282"/>
      <c r="CJ247" s="282"/>
      <c r="CK247" s="282"/>
      <c r="CL247" s="282"/>
      <c r="CM247" s="283"/>
      <c r="CN247" s="283"/>
      <c r="CO247" s="283"/>
      <c r="CP247" s="283"/>
      <c r="CQ247" s="283"/>
      <c r="CR247" s="283"/>
      <c r="CS247" s="283"/>
      <c r="CT247" s="283"/>
      <c r="CU247" s="283"/>
      <c r="CV247" s="283"/>
      <c r="CW247" s="283"/>
      <c r="CX247" s="283"/>
      <c r="CY247" s="283"/>
      <c r="CZ247" s="283"/>
      <c r="DA247" s="283"/>
      <c r="DB247" s="284"/>
      <c r="DC247" s="285"/>
      <c r="DD247" s="273"/>
    </row>
    <row r="248" spans="1:108" x14ac:dyDescent="0.2">
      <c r="A248" s="273"/>
      <c r="B248" s="273"/>
      <c r="C248" s="273"/>
      <c r="D248" s="281"/>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282"/>
      <c r="AT248" s="282"/>
      <c r="AU248" s="282"/>
      <c r="AV248" s="282"/>
      <c r="AW248" s="282"/>
      <c r="AX248" s="282"/>
      <c r="AY248" s="282"/>
      <c r="AZ248" s="282"/>
      <c r="BA248" s="282"/>
      <c r="BB248" s="282"/>
      <c r="BC248" s="282"/>
      <c r="BD248" s="282"/>
      <c r="BE248" s="282"/>
      <c r="BF248" s="282"/>
      <c r="BG248" s="282"/>
      <c r="BH248" s="282"/>
      <c r="BI248" s="282"/>
      <c r="BJ248" s="282"/>
      <c r="BK248" s="282"/>
      <c r="BL248" s="282"/>
      <c r="BM248" s="282"/>
      <c r="BN248" s="282"/>
      <c r="BO248" s="282"/>
      <c r="BP248" s="282"/>
      <c r="BQ248" s="282"/>
      <c r="BR248" s="282"/>
      <c r="BS248" s="282"/>
      <c r="BT248" s="282"/>
      <c r="BU248" s="282"/>
      <c r="BV248" s="282"/>
      <c r="BW248" s="282"/>
      <c r="BX248" s="282"/>
      <c r="BY248" s="282"/>
      <c r="BZ248" s="282"/>
      <c r="CA248" s="282"/>
      <c r="CB248" s="282"/>
      <c r="CC248" s="282"/>
      <c r="CD248" s="282"/>
      <c r="CE248" s="282"/>
      <c r="CF248" s="282"/>
      <c r="CG248" s="282"/>
      <c r="CH248" s="282"/>
      <c r="CI248" s="282"/>
      <c r="CJ248" s="282"/>
      <c r="CK248" s="282"/>
      <c r="CL248" s="282"/>
      <c r="CM248" s="283"/>
      <c r="CN248" s="283"/>
      <c r="CO248" s="283"/>
      <c r="CP248" s="283"/>
      <c r="CQ248" s="283"/>
      <c r="CR248" s="283"/>
      <c r="CS248" s="283"/>
      <c r="CT248" s="283"/>
      <c r="CU248" s="283"/>
      <c r="CV248" s="283"/>
      <c r="CW248" s="283"/>
      <c r="CX248" s="283"/>
      <c r="CY248" s="283"/>
      <c r="CZ248" s="283"/>
      <c r="DA248" s="283"/>
      <c r="DB248" s="284"/>
      <c r="DC248" s="285"/>
      <c r="DD248" s="273"/>
    </row>
    <row r="249" spans="1:108" ht="15.75" x14ac:dyDescent="0.2">
      <c r="A249" s="247"/>
      <c r="B249" s="247"/>
      <c r="C249" s="247"/>
      <c r="D249" s="174" t="s">
        <v>959</v>
      </c>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row>
    <row r="250" spans="1:108" x14ac:dyDescent="0.2">
      <c r="A250" s="172"/>
      <c r="B250" s="17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c r="BE250" s="172"/>
      <c r="BF250" s="172"/>
      <c r="BG250" s="172"/>
      <c r="BH250" s="172"/>
      <c r="BI250" s="172"/>
      <c r="BJ250" s="172"/>
      <c r="BK250" s="172"/>
      <c r="BL250" s="172"/>
      <c r="BM250" s="172"/>
      <c r="BN250" s="172"/>
      <c r="BO250" s="172"/>
      <c r="BP250" s="172"/>
      <c r="BQ250" s="172"/>
      <c r="BR250" s="172"/>
      <c r="BS250" s="172"/>
      <c r="BT250" s="172"/>
      <c r="BU250" s="172"/>
      <c r="BV250" s="172"/>
      <c r="BW250" s="172"/>
      <c r="BX250" s="172"/>
      <c r="BY250" s="172"/>
      <c r="BZ250" s="172"/>
      <c r="CA250" s="172"/>
      <c r="CB250" s="172"/>
      <c r="CC250" s="172"/>
      <c r="CD250" s="172"/>
      <c r="CE250" s="172"/>
      <c r="CF250" s="172"/>
      <c r="CG250" s="172"/>
      <c r="CH250" s="172"/>
      <c r="CI250" s="172"/>
      <c r="CJ250" s="172"/>
      <c r="CK250" s="172"/>
      <c r="CL250" s="172"/>
      <c r="CM250" s="172"/>
      <c r="CN250" s="172"/>
      <c r="CO250" s="172"/>
      <c r="CP250" s="172"/>
      <c r="CQ250" s="172"/>
      <c r="CR250" s="172"/>
      <c r="CS250" s="172"/>
      <c r="CT250" s="172"/>
      <c r="CU250" s="172"/>
      <c r="CV250" s="172"/>
      <c r="CW250" s="172"/>
      <c r="CX250" s="172"/>
      <c r="CY250" s="172"/>
      <c r="CZ250" s="172"/>
      <c r="DA250" s="172"/>
      <c r="DB250" s="172"/>
      <c r="DC250" s="172"/>
      <c r="DD250" s="172"/>
    </row>
    <row r="251" spans="1:108" x14ac:dyDescent="0.2">
      <c r="A251" s="172"/>
      <c r="B251" s="172"/>
      <c r="C251" s="172"/>
      <c r="D251" s="172"/>
      <c r="E251" s="271" t="s">
        <v>275</v>
      </c>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c r="BE251" s="172"/>
      <c r="BF251" s="172"/>
      <c r="BG251" s="172"/>
      <c r="BH251" s="172"/>
      <c r="BI251" s="172"/>
      <c r="BJ251" s="172"/>
      <c r="BK251" s="172"/>
      <c r="BL251" s="172"/>
      <c r="BM251" s="172"/>
      <c r="BN251" s="172"/>
      <c r="BO251" s="172"/>
      <c r="BP251" s="172"/>
      <c r="BQ251" s="172"/>
      <c r="BR251" s="172"/>
      <c r="BS251" s="172"/>
      <c r="BT251" s="172"/>
      <c r="BU251" s="172"/>
      <c r="BV251" s="172"/>
      <c r="BW251" s="172"/>
      <c r="BX251" s="172"/>
      <c r="BY251" s="172"/>
      <c r="BZ251" s="172"/>
      <c r="CA251" s="172"/>
      <c r="CB251" s="172"/>
      <c r="CC251" s="172"/>
      <c r="CD251" s="172"/>
      <c r="CE251" s="172"/>
      <c r="CF251" s="172"/>
      <c r="CG251" s="172"/>
      <c r="CH251" s="172"/>
      <c r="CI251" s="172"/>
      <c r="CJ251" s="172"/>
      <c r="CK251" s="172"/>
      <c r="CL251" s="172"/>
      <c r="CM251" s="172"/>
      <c r="CN251" s="172"/>
      <c r="CO251" s="172"/>
      <c r="CP251" s="172"/>
      <c r="CQ251" s="172"/>
      <c r="CR251" s="172"/>
      <c r="CS251" s="172"/>
      <c r="CT251" s="172"/>
      <c r="CU251" s="172"/>
      <c r="CV251" s="172"/>
      <c r="CW251" s="172"/>
      <c r="CX251" s="172"/>
      <c r="CY251" s="172"/>
      <c r="CZ251" s="172"/>
      <c r="DA251" s="172"/>
      <c r="DB251" s="172"/>
      <c r="DC251" s="172"/>
      <c r="DD251" s="172"/>
    </row>
    <row r="252" spans="1:108" x14ac:dyDescent="0.2">
      <c r="A252" s="272"/>
      <c r="B252" s="272"/>
      <c r="C252" s="272"/>
      <c r="D252" s="272"/>
      <c r="E252" s="52">
        <v>0</v>
      </c>
      <c r="F252" s="52">
        <v>1</v>
      </c>
      <c r="G252" s="52">
        <v>2</v>
      </c>
      <c r="H252" s="52">
        <v>3</v>
      </c>
      <c r="I252" s="52">
        <v>4</v>
      </c>
      <c r="J252" s="52">
        <v>5</v>
      </c>
      <c r="K252" s="52">
        <v>6</v>
      </c>
      <c r="L252" s="52">
        <v>7</v>
      </c>
      <c r="M252" s="52">
        <v>8</v>
      </c>
      <c r="N252" s="52">
        <v>9</v>
      </c>
      <c r="O252" s="52">
        <v>10</v>
      </c>
      <c r="P252" s="52">
        <v>11</v>
      </c>
      <c r="Q252" s="52">
        <v>12</v>
      </c>
      <c r="R252" s="52">
        <v>13</v>
      </c>
      <c r="S252" s="52">
        <v>14</v>
      </c>
      <c r="T252" s="52">
        <v>15</v>
      </c>
      <c r="U252" s="52">
        <v>16</v>
      </c>
      <c r="V252" s="52">
        <v>17</v>
      </c>
      <c r="W252" s="52">
        <v>18</v>
      </c>
      <c r="X252" s="52">
        <v>19</v>
      </c>
      <c r="Y252" s="52">
        <v>20</v>
      </c>
      <c r="Z252" s="52">
        <v>21</v>
      </c>
      <c r="AA252" s="52">
        <v>22</v>
      </c>
      <c r="AB252" s="52">
        <v>23</v>
      </c>
      <c r="AC252" s="52">
        <v>24</v>
      </c>
      <c r="AD252" s="52">
        <v>25</v>
      </c>
      <c r="AE252" s="52">
        <v>26</v>
      </c>
      <c r="AF252" s="52">
        <v>27</v>
      </c>
      <c r="AG252" s="52">
        <v>28</v>
      </c>
      <c r="AH252" s="52">
        <v>29</v>
      </c>
      <c r="AI252" s="52">
        <v>30</v>
      </c>
      <c r="AJ252" s="52">
        <v>31</v>
      </c>
      <c r="AK252" s="52">
        <v>32</v>
      </c>
      <c r="AL252" s="52">
        <v>33</v>
      </c>
      <c r="AM252" s="52">
        <v>34</v>
      </c>
      <c r="AN252" s="52">
        <v>35</v>
      </c>
      <c r="AO252" s="52">
        <v>36</v>
      </c>
      <c r="AP252" s="52">
        <v>37</v>
      </c>
      <c r="AQ252" s="52">
        <v>38</v>
      </c>
      <c r="AR252" s="52">
        <v>39</v>
      </c>
      <c r="AS252" s="52">
        <v>40</v>
      </c>
      <c r="AT252" s="52">
        <v>41</v>
      </c>
      <c r="AU252" s="52">
        <v>42</v>
      </c>
      <c r="AV252" s="52">
        <v>43</v>
      </c>
      <c r="AW252" s="52">
        <v>44</v>
      </c>
      <c r="AX252" s="52">
        <v>45</v>
      </c>
      <c r="AY252" s="52">
        <v>46</v>
      </c>
      <c r="AZ252" s="52">
        <v>47</v>
      </c>
      <c r="BA252" s="52">
        <v>48</v>
      </c>
      <c r="BB252" s="52">
        <v>49</v>
      </c>
      <c r="BC252" s="52">
        <v>50</v>
      </c>
      <c r="BD252" s="52">
        <v>51</v>
      </c>
      <c r="BE252" s="52">
        <v>52</v>
      </c>
      <c r="BF252" s="52">
        <v>53</v>
      </c>
      <c r="BG252" s="52">
        <v>54</v>
      </c>
      <c r="BH252" s="52">
        <v>55</v>
      </c>
      <c r="BI252" s="52">
        <v>56</v>
      </c>
      <c r="BJ252" s="52">
        <v>57</v>
      </c>
      <c r="BK252" s="52">
        <v>58</v>
      </c>
      <c r="BL252" s="52">
        <v>59</v>
      </c>
      <c r="BM252" s="52">
        <v>60</v>
      </c>
      <c r="BN252" s="52">
        <v>61</v>
      </c>
      <c r="BO252" s="52">
        <v>62</v>
      </c>
      <c r="BP252" s="52">
        <v>63</v>
      </c>
      <c r="BQ252" s="52">
        <v>64</v>
      </c>
      <c r="BR252" s="52">
        <v>65</v>
      </c>
      <c r="BS252" s="52">
        <v>66</v>
      </c>
      <c r="BT252" s="52">
        <v>67</v>
      </c>
      <c r="BU252" s="52">
        <v>68</v>
      </c>
      <c r="BV252" s="52">
        <v>69</v>
      </c>
      <c r="BW252" s="52">
        <v>70</v>
      </c>
      <c r="BX252" s="52">
        <v>71</v>
      </c>
      <c r="BY252" s="52">
        <v>72</v>
      </c>
      <c r="BZ252" s="52">
        <v>73</v>
      </c>
      <c r="CA252" s="52">
        <v>74</v>
      </c>
      <c r="CB252" s="52">
        <v>75</v>
      </c>
      <c r="CC252" s="52">
        <v>76</v>
      </c>
      <c r="CD252" s="52">
        <v>77</v>
      </c>
      <c r="CE252" s="52">
        <v>78</v>
      </c>
      <c r="CF252" s="52">
        <v>79</v>
      </c>
      <c r="CG252" s="52">
        <v>80</v>
      </c>
      <c r="CH252" s="52">
        <v>81</v>
      </c>
      <c r="CI252" s="52">
        <v>82</v>
      </c>
      <c r="CJ252" s="52">
        <v>83</v>
      </c>
      <c r="CK252" s="52">
        <v>84</v>
      </c>
      <c r="CL252" s="52">
        <v>85</v>
      </c>
      <c r="CM252" s="52">
        <v>86</v>
      </c>
      <c r="CN252" s="52">
        <v>87</v>
      </c>
      <c r="CO252" s="52">
        <v>88</v>
      </c>
      <c r="CP252" s="52">
        <v>89</v>
      </c>
      <c r="CQ252" s="52">
        <v>90</v>
      </c>
      <c r="CR252" s="52">
        <v>91</v>
      </c>
      <c r="CS252" s="52">
        <v>92</v>
      </c>
      <c r="CT252" s="52">
        <v>93</v>
      </c>
      <c r="CU252" s="52">
        <v>94</v>
      </c>
      <c r="CV252" s="52">
        <v>95</v>
      </c>
      <c r="CW252" s="52">
        <v>96</v>
      </c>
      <c r="CX252" s="52">
        <v>97</v>
      </c>
      <c r="CY252" s="52">
        <v>98</v>
      </c>
      <c r="CZ252" s="52">
        <v>99</v>
      </c>
      <c r="DA252" s="52">
        <v>100</v>
      </c>
      <c r="DB252" s="70" t="s">
        <v>76</v>
      </c>
      <c r="DC252" s="70" t="s">
        <v>335</v>
      </c>
      <c r="DD252" s="70" t="s">
        <v>336</v>
      </c>
    </row>
    <row r="253" spans="1:108" x14ac:dyDescent="0.2">
      <c r="A253" s="273"/>
      <c r="B253" s="273"/>
      <c r="C253" s="273"/>
      <c r="D253" s="274">
        <v>2012</v>
      </c>
      <c r="E253" s="275">
        <v>148342</v>
      </c>
      <c r="F253" s="275">
        <v>142692</v>
      </c>
      <c r="G253" s="275">
        <v>145149</v>
      </c>
      <c r="H253" s="275">
        <v>144412</v>
      </c>
      <c r="I253" s="275">
        <v>144080</v>
      </c>
      <c r="J253" s="275">
        <v>141791</v>
      </c>
      <c r="K253" s="275">
        <v>141988</v>
      </c>
      <c r="L253" s="275">
        <v>137197</v>
      </c>
      <c r="M253" s="275">
        <v>135064</v>
      </c>
      <c r="N253" s="275">
        <v>134140</v>
      </c>
      <c r="O253" s="275">
        <v>133925</v>
      </c>
      <c r="P253" s="275">
        <v>135423</v>
      </c>
      <c r="Q253" s="275">
        <v>136313</v>
      </c>
      <c r="R253" s="275">
        <v>136590</v>
      </c>
      <c r="S253" s="275">
        <v>136050</v>
      </c>
      <c r="T253" s="275">
        <v>138210</v>
      </c>
      <c r="U253" s="275">
        <v>139015</v>
      </c>
      <c r="V253" s="275">
        <v>142527</v>
      </c>
      <c r="W253" s="275">
        <v>143110</v>
      </c>
      <c r="X253" s="275">
        <v>146422</v>
      </c>
      <c r="Y253" s="275">
        <v>150446</v>
      </c>
      <c r="Z253" s="275">
        <v>157013</v>
      </c>
      <c r="AA253" s="275">
        <v>161993</v>
      </c>
      <c r="AB253" s="275">
        <v>162831</v>
      </c>
      <c r="AC253" s="275">
        <v>163251</v>
      </c>
      <c r="AD253" s="275">
        <v>163949</v>
      </c>
      <c r="AE253" s="275">
        <v>166354</v>
      </c>
      <c r="AF253" s="275">
        <v>168714</v>
      </c>
      <c r="AG253" s="275">
        <v>168311</v>
      </c>
      <c r="AH253" s="275">
        <v>169095</v>
      </c>
      <c r="AI253" s="275">
        <v>165094</v>
      </c>
      <c r="AJ253" s="275">
        <v>162735</v>
      </c>
      <c r="AK253" s="275">
        <v>157273</v>
      </c>
      <c r="AL253" s="275">
        <v>154571</v>
      </c>
      <c r="AM253" s="275">
        <v>152199</v>
      </c>
      <c r="AN253" s="275">
        <v>151814</v>
      </c>
      <c r="AO253" s="275">
        <v>152234</v>
      </c>
      <c r="AP253" s="275">
        <v>154749</v>
      </c>
      <c r="AQ253" s="275">
        <v>158683</v>
      </c>
      <c r="AR253" s="275">
        <v>163381</v>
      </c>
      <c r="AS253" s="275">
        <v>170640</v>
      </c>
      <c r="AT253" s="275">
        <v>173676</v>
      </c>
      <c r="AU253" s="275">
        <v>163449</v>
      </c>
      <c r="AV253" s="275">
        <v>161854</v>
      </c>
      <c r="AW253" s="275">
        <v>155221</v>
      </c>
      <c r="AX253" s="275">
        <v>151639</v>
      </c>
      <c r="AY253" s="275">
        <v>151473</v>
      </c>
      <c r="AZ253" s="275">
        <v>153263</v>
      </c>
      <c r="BA253" s="275">
        <v>157143</v>
      </c>
      <c r="BB253" s="275">
        <v>159202</v>
      </c>
      <c r="BC253" s="275">
        <v>158727</v>
      </c>
      <c r="BD253" s="275">
        <v>158672</v>
      </c>
      <c r="BE253" s="275">
        <v>153537</v>
      </c>
      <c r="BF253" s="275">
        <v>151034</v>
      </c>
      <c r="BG253" s="275">
        <v>147845</v>
      </c>
      <c r="BH253" s="275">
        <v>144068</v>
      </c>
      <c r="BI253" s="275">
        <v>141605</v>
      </c>
      <c r="BJ253" s="275">
        <v>138186</v>
      </c>
      <c r="BK253" s="275">
        <v>134082</v>
      </c>
      <c r="BL253" s="275">
        <v>132241</v>
      </c>
      <c r="BM253" s="275">
        <v>127324</v>
      </c>
      <c r="BN253" s="275">
        <v>125683</v>
      </c>
      <c r="BO253" s="275">
        <v>123276</v>
      </c>
      <c r="BP253" s="275">
        <v>119415</v>
      </c>
      <c r="BQ253" s="275">
        <v>119884</v>
      </c>
      <c r="BR253" s="275">
        <v>124284</v>
      </c>
      <c r="BS253" s="275">
        <v>105058</v>
      </c>
      <c r="BT253" s="275">
        <v>101561</v>
      </c>
      <c r="BU253" s="275">
        <v>96890</v>
      </c>
      <c r="BV253" s="275">
        <v>87626</v>
      </c>
      <c r="BW253" s="275">
        <v>85414</v>
      </c>
      <c r="BX253" s="275">
        <v>79636</v>
      </c>
      <c r="BY253" s="275">
        <v>76578</v>
      </c>
      <c r="BZ253" s="275">
        <v>73299</v>
      </c>
      <c r="CA253" s="275">
        <v>69368</v>
      </c>
      <c r="CB253" s="275">
        <v>66425</v>
      </c>
      <c r="CC253" s="275">
        <v>64680</v>
      </c>
      <c r="CD253" s="275">
        <v>60969</v>
      </c>
      <c r="CE253" s="275">
        <v>57623</v>
      </c>
      <c r="CF253" s="275">
        <v>55927</v>
      </c>
      <c r="CG253" s="275">
        <v>53599</v>
      </c>
      <c r="CH253" s="275">
        <v>53865</v>
      </c>
      <c r="CI253" s="275">
        <v>51591</v>
      </c>
      <c r="CJ253" s="275">
        <v>48343</v>
      </c>
      <c r="CK253" s="275">
        <v>45698</v>
      </c>
      <c r="CL253" s="275">
        <v>42194</v>
      </c>
      <c r="CM253" s="275">
        <v>38855</v>
      </c>
      <c r="CN253" s="275">
        <v>35299</v>
      </c>
      <c r="CO253" s="275">
        <v>31092</v>
      </c>
      <c r="CP253" s="275">
        <v>26994</v>
      </c>
      <c r="CQ253" s="275">
        <v>23366</v>
      </c>
      <c r="CR253" s="275">
        <v>19364</v>
      </c>
      <c r="CS253" s="275">
        <v>14973</v>
      </c>
      <c r="CT253" s="275">
        <v>10535</v>
      </c>
      <c r="CU253" s="275">
        <v>8498</v>
      </c>
      <c r="CV253" s="275">
        <v>6663</v>
      </c>
      <c r="CW253" s="275">
        <v>4983</v>
      </c>
      <c r="CX253" s="275">
        <v>3769</v>
      </c>
      <c r="CY253" s="275">
        <v>2496</v>
      </c>
      <c r="CZ253" s="275">
        <v>1660</v>
      </c>
      <c r="DA253" s="275">
        <v>2660</v>
      </c>
      <c r="DB253" s="276">
        <f t="shared" ref="DB253:DB269" si="72">SUM(E253:DA253)</f>
        <v>11412104</v>
      </c>
      <c r="DC253" s="277">
        <f t="shared" ref="DC253:DC269" si="73">DB253/1000000</f>
        <v>11.412103999999999</v>
      </c>
      <c r="DD253" s="278"/>
    </row>
    <row r="254" spans="1:108" x14ac:dyDescent="0.2">
      <c r="A254" s="273"/>
      <c r="B254" s="273"/>
      <c r="C254" s="273"/>
      <c r="D254" s="274">
        <v>2013</v>
      </c>
      <c r="E254" s="275">
        <v>150654</v>
      </c>
      <c r="F254" s="275">
        <v>149326</v>
      </c>
      <c r="G254" s="275">
        <v>144519</v>
      </c>
      <c r="H254" s="275">
        <v>147067</v>
      </c>
      <c r="I254" s="275">
        <v>146306</v>
      </c>
      <c r="J254" s="275">
        <v>145897</v>
      </c>
      <c r="K254" s="275">
        <v>143470</v>
      </c>
      <c r="L254" s="275">
        <v>143512</v>
      </c>
      <c r="M254" s="275">
        <v>138649</v>
      </c>
      <c r="N254" s="275">
        <v>136489</v>
      </c>
      <c r="O254" s="275">
        <v>135513</v>
      </c>
      <c r="P254" s="275">
        <v>135252</v>
      </c>
      <c r="Q254" s="275">
        <v>136741</v>
      </c>
      <c r="R254" s="275">
        <v>137613</v>
      </c>
      <c r="S254" s="275">
        <v>137903</v>
      </c>
      <c r="T254" s="275">
        <v>137607</v>
      </c>
      <c r="U254" s="275">
        <v>140189</v>
      </c>
      <c r="V254" s="275">
        <v>141469</v>
      </c>
      <c r="W254" s="275">
        <v>145884</v>
      </c>
      <c r="X254" s="275">
        <v>147632</v>
      </c>
      <c r="Y254" s="275">
        <v>151372</v>
      </c>
      <c r="Z254" s="275">
        <v>155026</v>
      </c>
      <c r="AA254" s="275">
        <v>161567</v>
      </c>
      <c r="AB254" s="275">
        <v>166834</v>
      </c>
      <c r="AC254" s="275">
        <v>167225</v>
      </c>
      <c r="AD254" s="275">
        <v>167041</v>
      </c>
      <c r="AE254" s="275">
        <v>167645</v>
      </c>
      <c r="AF254" s="275">
        <v>170136</v>
      </c>
      <c r="AG254" s="275">
        <v>172574</v>
      </c>
      <c r="AH254" s="275">
        <v>172178</v>
      </c>
      <c r="AI254" s="275">
        <v>172795</v>
      </c>
      <c r="AJ254" s="275">
        <v>168334</v>
      </c>
      <c r="AK254" s="275">
        <v>165489</v>
      </c>
      <c r="AL254" s="275">
        <v>159771</v>
      </c>
      <c r="AM254" s="275">
        <v>156885</v>
      </c>
      <c r="AN254" s="275">
        <v>154336</v>
      </c>
      <c r="AO254" s="275">
        <v>153810</v>
      </c>
      <c r="AP254" s="275">
        <v>154075</v>
      </c>
      <c r="AQ254" s="275">
        <v>156479</v>
      </c>
      <c r="AR254" s="275">
        <v>160349</v>
      </c>
      <c r="AS254" s="275">
        <v>164961</v>
      </c>
      <c r="AT254" s="275">
        <v>172098</v>
      </c>
      <c r="AU254" s="275">
        <v>175001</v>
      </c>
      <c r="AV254" s="275">
        <v>164644</v>
      </c>
      <c r="AW254" s="275">
        <v>162833</v>
      </c>
      <c r="AX254" s="275">
        <v>155979</v>
      </c>
      <c r="AY254" s="275">
        <v>152281</v>
      </c>
      <c r="AZ254" s="275">
        <v>152040</v>
      </c>
      <c r="BA254" s="275">
        <v>153752</v>
      </c>
      <c r="BB254" s="275">
        <v>157541</v>
      </c>
      <c r="BC254" s="275">
        <v>159524</v>
      </c>
      <c r="BD254" s="275">
        <v>158982</v>
      </c>
      <c r="BE254" s="275">
        <v>158865</v>
      </c>
      <c r="BF254" s="275">
        <v>153714</v>
      </c>
      <c r="BG254" s="275">
        <v>151172</v>
      </c>
      <c r="BH254" s="275">
        <v>147890</v>
      </c>
      <c r="BI254" s="275">
        <v>144036</v>
      </c>
      <c r="BJ254" s="275">
        <v>141539</v>
      </c>
      <c r="BK254" s="275">
        <v>138087</v>
      </c>
      <c r="BL254" s="275">
        <v>133943</v>
      </c>
      <c r="BM254" s="275">
        <v>132047</v>
      </c>
      <c r="BN254" s="275">
        <v>127079</v>
      </c>
      <c r="BO254" s="275">
        <v>125364</v>
      </c>
      <c r="BP254" s="275">
        <v>122897</v>
      </c>
      <c r="BQ254" s="275">
        <v>118962</v>
      </c>
      <c r="BR254" s="275">
        <v>119325</v>
      </c>
      <c r="BS254" s="275">
        <v>123603</v>
      </c>
      <c r="BT254" s="275">
        <v>104430</v>
      </c>
      <c r="BU254" s="275">
        <v>100877</v>
      </c>
      <c r="BV254" s="275">
        <v>96142</v>
      </c>
      <c r="BW254" s="275">
        <v>86856</v>
      </c>
      <c r="BX254" s="275">
        <v>84564</v>
      </c>
      <c r="BY254" s="275">
        <v>78737</v>
      </c>
      <c r="BZ254" s="275">
        <v>75599</v>
      </c>
      <c r="CA254" s="275">
        <v>72248</v>
      </c>
      <c r="CB254" s="275">
        <v>68250</v>
      </c>
      <c r="CC254" s="275">
        <v>65218</v>
      </c>
      <c r="CD254" s="275">
        <v>63353</v>
      </c>
      <c r="CE254" s="275">
        <v>59555</v>
      </c>
      <c r="CF254" s="275">
        <v>56093</v>
      </c>
      <c r="CG254" s="275">
        <v>54223</v>
      </c>
      <c r="CH254" s="275">
        <v>51723</v>
      </c>
      <c r="CI254" s="275">
        <v>51690</v>
      </c>
      <c r="CJ254" s="275">
        <v>49184</v>
      </c>
      <c r="CK254" s="275">
        <v>45754</v>
      </c>
      <c r="CL254" s="275">
        <v>42892</v>
      </c>
      <c r="CM254" s="275">
        <v>39214</v>
      </c>
      <c r="CN254" s="275">
        <v>35706</v>
      </c>
      <c r="CO254" s="275">
        <v>32038</v>
      </c>
      <c r="CP254" s="275">
        <v>27834</v>
      </c>
      <c r="CQ254" s="275">
        <v>23799</v>
      </c>
      <c r="CR254" s="275">
        <v>20264</v>
      </c>
      <c r="CS254" s="275">
        <v>16505</v>
      </c>
      <c r="CT254" s="275">
        <v>12513</v>
      </c>
      <c r="CU254" s="275">
        <v>8596</v>
      </c>
      <c r="CV254" s="275">
        <v>6765</v>
      </c>
      <c r="CW254" s="275">
        <v>5184</v>
      </c>
      <c r="CX254" s="275">
        <v>3794</v>
      </c>
      <c r="CY254" s="275">
        <v>2813</v>
      </c>
      <c r="CZ254" s="275">
        <v>1826</v>
      </c>
      <c r="DA254" s="275">
        <v>3156</v>
      </c>
      <c r="DB254" s="276">
        <f t="shared" si="72"/>
        <v>11611167</v>
      </c>
      <c r="DC254" s="277">
        <f t="shared" si="73"/>
        <v>11.611167</v>
      </c>
      <c r="DD254" s="279">
        <f>(DC254-DC253)/DC253</f>
        <v>1.7443146329546303E-2</v>
      </c>
    </row>
    <row r="255" spans="1:108" x14ac:dyDescent="0.2">
      <c r="A255" s="273"/>
      <c r="B255" s="273"/>
      <c r="C255" s="273"/>
      <c r="D255" s="274">
        <v>2014</v>
      </c>
      <c r="E255" s="275">
        <v>152933</v>
      </c>
      <c r="F255" s="275">
        <v>151661</v>
      </c>
      <c r="G255" s="275">
        <v>151193</v>
      </c>
      <c r="H255" s="275">
        <v>146478</v>
      </c>
      <c r="I255" s="275">
        <v>149000</v>
      </c>
      <c r="J255" s="275">
        <v>148161</v>
      </c>
      <c r="K255" s="275">
        <v>147613</v>
      </c>
      <c r="L255" s="275">
        <v>145026</v>
      </c>
      <c r="M255" s="275">
        <v>144995</v>
      </c>
      <c r="N255" s="275">
        <v>140105</v>
      </c>
      <c r="O255" s="275">
        <v>137892</v>
      </c>
      <c r="P255" s="275">
        <v>136869</v>
      </c>
      <c r="Q255" s="275">
        <v>136601</v>
      </c>
      <c r="R255" s="275">
        <v>138067</v>
      </c>
      <c r="S255" s="275">
        <v>138954</v>
      </c>
      <c r="T255" s="275">
        <v>139494</v>
      </c>
      <c r="U255" s="275">
        <v>139629</v>
      </c>
      <c r="V255" s="275">
        <v>142695</v>
      </c>
      <c r="W255" s="275">
        <v>144900</v>
      </c>
      <c r="X255" s="275">
        <v>150504</v>
      </c>
      <c r="Y255" s="275">
        <v>152688</v>
      </c>
      <c r="Z255" s="275">
        <v>156050</v>
      </c>
      <c r="AA255" s="275">
        <v>159678</v>
      </c>
      <c r="AB255" s="275">
        <v>166512</v>
      </c>
      <c r="AC255" s="275">
        <v>171323</v>
      </c>
      <c r="AD255" s="275">
        <v>171096</v>
      </c>
      <c r="AE255" s="275">
        <v>170817</v>
      </c>
      <c r="AF255" s="275">
        <v>171508</v>
      </c>
      <c r="AG255" s="275">
        <v>174080</v>
      </c>
      <c r="AH255" s="275">
        <v>176524</v>
      </c>
      <c r="AI255" s="275">
        <v>175958</v>
      </c>
      <c r="AJ255" s="275">
        <v>176104</v>
      </c>
      <c r="AK255" s="275">
        <v>171147</v>
      </c>
      <c r="AL255" s="275">
        <v>168041</v>
      </c>
      <c r="AM255" s="275">
        <v>162133</v>
      </c>
      <c r="AN255" s="275">
        <v>159069</v>
      </c>
      <c r="AO255" s="275">
        <v>156374</v>
      </c>
      <c r="AP255" s="275">
        <v>155692</v>
      </c>
      <c r="AQ255" s="275">
        <v>155846</v>
      </c>
      <c r="AR255" s="275">
        <v>158188</v>
      </c>
      <c r="AS255" s="275">
        <v>161968</v>
      </c>
      <c r="AT255" s="275">
        <v>166459</v>
      </c>
      <c r="AU255" s="275">
        <v>173457</v>
      </c>
      <c r="AV255" s="275">
        <v>176217</v>
      </c>
      <c r="AW255" s="275">
        <v>165645</v>
      </c>
      <c r="AX255" s="275">
        <v>163603</v>
      </c>
      <c r="AY255" s="275">
        <v>156636</v>
      </c>
      <c r="AZ255" s="275">
        <v>152865</v>
      </c>
      <c r="BA255" s="275">
        <v>152549</v>
      </c>
      <c r="BB255" s="275">
        <v>154173</v>
      </c>
      <c r="BC255" s="275">
        <v>157882</v>
      </c>
      <c r="BD255" s="275">
        <v>159794</v>
      </c>
      <c r="BE255" s="275">
        <v>159192</v>
      </c>
      <c r="BF255" s="275">
        <v>159049</v>
      </c>
      <c r="BG255" s="275">
        <v>153866</v>
      </c>
      <c r="BH255" s="275">
        <v>151227</v>
      </c>
      <c r="BI255" s="275">
        <v>147863</v>
      </c>
      <c r="BJ255" s="275">
        <v>143982</v>
      </c>
      <c r="BK255" s="275">
        <v>141447</v>
      </c>
      <c r="BL255" s="275">
        <v>137953</v>
      </c>
      <c r="BM255" s="275">
        <v>133764</v>
      </c>
      <c r="BN255" s="275">
        <v>131801</v>
      </c>
      <c r="BO255" s="275">
        <v>126778</v>
      </c>
      <c r="BP255" s="275">
        <v>124996</v>
      </c>
      <c r="BQ255" s="275">
        <v>122449</v>
      </c>
      <c r="BR255" s="275">
        <v>118430</v>
      </c>
      <c r="BS255" s="275">
        <v>118701</v>
      </c>
      <c r="BT255" s="275">
        <v>122872</v>
      </c>
      <c r="BU255" s="275">
        <v>103751</v>
      </c>
      <c r="BV255" s="275">
        <v>100123</v>
      </c>
      <c r="BW255" s="275">
        <v>95321</v>
      </c>
      <c r="BX255" s="275">
        <v>86020</v>
      </c>
      <c r="BY255" s="275">
        <v>83638</v>
      </c>
      <c r="BZ255" s="275">
        <v>77761</v>
      </c>
      <c r="CA255" s="275">
        <v>74546</v>
      </c>
      <c r="CB255" s="275">
        <v>71116</v>
      </c>
      <c r="CC255" s="275">
        <v>67043</v>
      </c>
      <c r="CD255" s="275">
        <v>63915</v>
      </c>
      <c r="CE255" s="275">
        <v>61919</v>
      </c>
      <c r="CF255" s="275">
        <v>58013</v>
      </c>
      <c r="CG255" s="275">
        <v>54424</v>
      </c>
      <c r="CH255" s="275">
        <v>52369</v>
      </c>
      <c r="CI255" s="275">
        <v>49679</v>
      </c>
      <c r="CJ255" s="275">
        <v>49327</v>
      </c>
      <c r="CK255" s="275">
        <v>46599</v>
      </c>
      <c r="CL255" s="275">
        <v>42992</v>
      </c>
      <c r="CM255" s="275">
        <v>39910</v>
      </c>
      <c r="CN255" s="275">
        <v>36080</v>
      </c>
      <c r="CO255" s="275">
        <v>32449</v>
      </c>
      <c r="CP255" s="275">
        <v>28718</v>
      </c>
      <c r="CQ255" s="275">
        <v>24571</v>
      </c>
      <c r="CR255" s="275">
        <v>20666</v>
      </c>
      <c r="CS255" s="275">
        <v>17294</v>
      </c>
      <c r="CT255" s="275">
        <v>13809</v>
      </c>
      <c r="CU255" s="275">
        <v>10220</v>
      </c>
      <c r="CV255" s="275">
        <v>6847</v>
      </c>
      <c r="CW255" s="275">
        <v>5265</v>
      </c>
      <c r="CX255" s="275">
        <v>3948</v>
      </c>
      <c r="CY255" s="275">
        <v>2832</v>
      </c>
      <c r="CZ255" s="275">
        <v>2058</v>
      </c>
      <c r="DA255" s="275">
        <v>3646</v>
      </c>
      <c r="DB255" s="276">
        <f t="shared" si="72"/>
        <v>11814085</v>
      </c>
      <c r="DC255" s="277">
        <f t="shared" si="73"/>
        <v>11.814085</v>
      </c>
      <c r="DD255" s="279">
        <f t="shared" ref="DD255:DD269" si="74">(DC255-DC254)/DC254</f>
        <v>1.7476107268115288E-2</v>
      </c>
    </row>
    <row r="256" spans="1:108" x14ac:dyDescent="0.2">
      <c r="A256" s="273"/>
      <c r="B256" s="273"/>
      <c r="C256" s="273"/>
      <c r="D256" s="274">
        <v>2015</v>
      </c>
      <c r="E256" s="275">
        <v>155275</v>
      </c>
      <c r="F256" s="275">
        <v>153982</v>
      </c>
      <c r="G256" s="275">
        <v>153598</v>
      </c>
      <c r="H256" s="275">
        <v>153228</v>
      </c>
      <c r="I256" s="275">
        <v>148484</v>
      </c>
      <c r="J256" s="275">
        <v>150924</v>
      </c>
      <c r="K256" s="275">
        <v>149940</v>
      </c>
      <c r="L256" s="275">
        <v>149227</v>
      </c>
      <c r="M256" s="275">
        <v>146565</v>
      </c>
      <c r="N256" s="275">
        <v>146506</v>
      </c>
      <c r="O256" s="275">
        <v>141561</v>
      </c>
      <c r="P256" s="275">
        <v>139298</v>
      </c>
      <c r="Q256" s="275">
        <v>138268</v>
      </c>
      <c r="R256" s="275">
        <v>137977</v>
      </c>
      <c r="S256" s="275">
        <v>139460</v>
      </c>
      <c r="T256" s="275">
        <v>140607</v>
      </c>
      <c r="U256" s="275">
        <v>141591</v>
      </c>
      <c r="V256" s="275">
        <v>142232</v>
      </c>
      <c r="W256" s="275">
        <v>146255</v>
      </c>
      <c r="X256" s="275">
        <v>149693</v>
      </c>
      <c r="Y256" s="275">
        <v>155750</v>
      </c>
      <c r="Z256" s="275">
        <v>157542</v>
      </c>
      <c r="AA256" s="275">
        <v>160876</v>
      </c>
      <c r="AB256" s="275">
        <v>164807</v>
      </c>
      <c r="AC256" s="275">
        <v>171169</v>
      </c>
      <c r="AD256" s="275">
        <v>175341</v>
      </c>
      <c r="AE256" s="275">
        <v>175013</v>
      </c>
      <c r="AF256" s="275">
        <v>174824</v>
      </c>
      <c r="AG256" s="275">
        <v>175598</v>
      </c>
      <c r="AH256" s="275">
        <v>178180</v>
      </c>
      <c r="AI256" s="275">
        <v>180445</v>
      </c>
      <c r="AJ256" s="275">
        <v>179391</v>
      </c>
      <c r="AK256" s="275">
        <v>179021</v>
      </c>
      <c r="AL256" s="275">
        <v>173794</v>
      </c>
      <c r="AM256" s="275">
        <v>170490</v>
      </c>
      <c r="AN256" s="275">
        <v>164397</v>
      </c>
      <c r="AO256" s="275">
        <v>161185</v>
      </c>
      <c r="AP256" s="275">
        <v>158329</v>
      </c>
      <c r="AQ256" s="275">
        <v>157533</v>
      </c>
      <c r="AR256" s="275">
        <v>157624</v>
      </c>
      <c r="AS256" s="275">
        <v>159876</v>
      </c>
      <c r="AT256" s="275">
        <v>163529</v>
      </c>
      <c r="AU256" s="275">
        <v>167881</v>
      </c>
      <c r="AV256" s="275">
        <v>174727</v>
      </c>
      <c r="AW256" s="275">
        <v>177252</v>
      </c>
      <c r="AX256" s="275">
        <v>166449</v>
      </c>
      <c r="AY256" s="275">
        <v>164284</v>
      </c>
      <c r="AZ256" s="275">
        <v>157248</v>
      </c>
      <c r="BA256" s="275">
        <v>153403</v>
      </c>
      <c r="BB256" s="275">
        <v>153002</v>
      </c>
      <c r="BC256" s="275">
        <v>154546</v>
      </c>
      <c r="BD256" s="275">
        <v>158181</v>
      </c>
      <c r="BE256" s="275">
        <v>160028</v>
      </c>
      <c r="BF256" s="275">
        <v>159401</v>
      </c>
      <c r="BG256" s="275">
        <v>159214</v>
      </c>
      <c r="BH256" s="275">
        <v>153938</v>
      </c>
      <c r="BI256" s="275">
        <v>151215</v>
      </c>
      <c r="BJ256" s="275">
        <v>147820</v>
      </c>
      <c r="BK256" s="275">
        <v>143906</v>
      </c>
      <c r="BL256" s="275">
        <v>141327</v>
      </c>
      <c r="BM256" s="275">
        <v>137782</v>
      </c>
      <c r="BN256" s="275">
        <v>133538</v>
      </c>
      <c r="BO256" s="275">
        <v>131504</v>
      </c>
      <c r="BP256" s="275">
        <v>126430</v>
      </c>
      <c r="BQ256" s="275">
        <v>124561</v>
      </c>
      <c r="BR256" s="275">
        <v>121923</v>
      </c>
      <c r="BS256" s="275">
        <v>117836</v>
      </c>
      <c r="BT256" s="275">
        <v>118030</v>
      </c>
      <c r="BU256" s="275">
        <v>122085</v>
      </c>
      <c r="BV256" s="275">
        <v>103002</v>
      </c>
      <c r="BW256" s="275">
        <v>99294</v>
      </c>
      <c r="BX256" s="275">
        <v>94429</v>
      </c>
      <c r="BY256" s="275">
        <v>85109</v>
      </c>
      <c r="BZ256" s="275">
        <v>82631</v>
      </c>
      <c r="CA256" s="275">
        <v>76710</v>
      </c>
      <c r="CB256" s="275">
        <v>73411</v>
      </c>
      <c r="CC256" s="275">
        <v>69893</v>
      </c>
      <c r="CD256" s="275">
        <v>65738</v>
      </c>
      <c r="CE256" s="275">
        <v>62505</v>
      </c>
      <c r="CF256" s="275">
        <v>60353</v>
      </c>
      <c r="CG256" s="275">
        <v>56328</v>
      </c>
      <c r="CH256" s="275">
        <v>52604</v>
      </c>
      <c r="CI256" s="275">
        <v>50344</v>
      </c>
      <c r="CJ256" s="275">
        <v>47454</v>
      </c>
      <c r="CK256" s="275">
        <v>46783</v>
      </c>
      <c r="CL256" s="275">
        <v>43835</v>
      </c>
      <c r="CM256" s="275">
        <v>40049</v>
      </c>
      <c r="CN256" s="275">
        <v>36765</v>
      </c>
      <c r="CO256" s="275">
        <v>32828</v>
      </c>
      <c r="CP256" s="275">
        <v>29124</v>
      </c>
      <c r="CQ256" s="275">
        <v>25385</v>
      </c>
      <c r="CR256" s="275">
        <v>21363</v>
      </c>
      <c r="CS256" s="275">
        <v>17658</v>
      </c>
      <c r="CT256" s="275">
        <v>14486</v>
      </c>
      <c r="CU256" s="275">
        <v>11289</v>
      </c>
      <c r="CV256" s="275">
        <v>8147</v>
      </c>
      <c r="CW256" s="275">
        <v>5332</v>
      </c>
      <c r="CX256" s="275">
        <v>4011</v>
      </c>
      <c r="CY256" s="275">
        <v>2947</v>
      </c>
      <c r="CZ256" s="275">
        <v>2072</v>
      </c>
      <c r="DA256" s="275">
        <v>4179</v>
      </c>
      <c r="DB256" s="276">
        <f t="shared" si="72"/>
        <v>12022954</v>
      </c>
      <c r="DC256" s="277">
        <f t="shared" si="73"/>
        <v>12.022954</v>
      </c>
      <c r="DD256" s="279">
        <f t="shared" si="74"/>
        <v>1.7679659491192077E-2</v>
      </c>
    </row>
    <row r="257" spans="1:108" x14ac:dyDescent="0.2">
      <c r="A257" s="273"/>
      <c r="B257" s="273"/>
      <c r="C257" s="273"/>
      <c r="D257" s="274">
        <v>2016</v>
      </c>
      <c r="E257" s="275">
        <v>157593</v>
      </c>
      <c r="F257" s="275">
        <v>156326</v>
      </c>
      <c r="G257" s="275">
        <v>155918</v>
      </c>
      <c r="H257" s="275">
        <v>155632</v>
      </c>
      <c r="I257" s="275">
        <v>155235</v>
      </c>
      <c r="J257" s="275">
        <v>150410</v>
      </c>
      <c r="K257" s="275">
        <v>152703</v>
      </c>
      <c r="L257" s="275">
        <v>151553</v>
      </c>
      <c r="M257" s="275">
        <v>150766</v>
      </c>
      <c r="N257" s="275">
        <v>148076</v>
      </c>
      <c r="O257" s="275">
        <v>147961</v>
      </c>
      <c r="P257" s="275">
        <v>142967</v>
      </c>
      <c r="Q257" s="275">
        <v>140697</v>
      </c>
      <c r="R257" s="275">
        <v>139645</v>
      </c>
      <c r="S257" s="275">
        <v>139369</v>
      </c>
      <c r="T257" s="275">
        <v>141114</v>
      </c>
      <c r="U257" s="275">
        <v>142706</v>
      </c>
      <c r="V257" s="275">
        <v>144194</v>
      </c>
      <c r="W257" s="275">
        <v>145794</v>
      </c>
      <c r="X257" s="275">
        <v>151051</v>
      </c>
      <c r="Y257" s="275">
        <v>154939</v>
      </c>
      <c r="Z257" s="275">
        <v>160604</v>
      </c>
      <c r="AA257" s="275">
        <v>162369</v>
      </c>
      <c r="AB257" s="275">
        <v>166008</v>
      </c>
      <c r="AC257" s="275">
        <v>169467</v>
      </c>
      <c r="AD257" s="275">
        <v>175187</v>
      </c>
      <c r="AE257" s="275">
        <v>179258</v>
      </c>
      <c r="AF257" s="275">
        <v>179022</v>
      </c>
      <c r="AG257" s="275">
        <v>178915</v>
      </c>
      <c r="AH257" s="275">
        <v>179698</v>
      </c>
      <c r="AI257" s="275">
        <v>182104</v>
      </c>
      <c r="AJ257" s="275">
        <v>183878</v>
      </c>
      <c r="AK257" s="275">
        <v>182307</v>
      </c>
      <c r="AL257" s="275">
        <v>181666</v>
      </c>
      <c r="AM257" s="275">
        <v>176242</v>
      </c>
      <c r="AN257" s="275">
        <v>172754</v>
      </c>
      <c r="AO257" s="275">
        <v>166510</v>
      </c>
      <c r="AP257" s="275">
        <v>163137</v>
      </c>
      <c r="AQ257" s="275">
        <v>160168</v>
      </c>
      <c r="AR257" s="275">
        <v>159312</v>
      </c>
      <c r="AS257" s="275">
        <v>159313</v>
      </c>
      <c r="AT257" s="275">
        <v>161442</v>
      </c>
      <c r="AU257" s="275">
        <v>164955</v>
      </c>
      <c r="AV257" s="275">
        <v>169158</v>
      </c>
      <c r="AW257" s="275">
        <v>175765</v>
      </c>
      <c r="AX257" s="275">
        <v>178047</v>
      </c>
      <c r="AY257" s="275">
        <v>167128</v>
      </c>
      <c r="AZ257" s="275">
        <v>164885</v>
      </c>
      <c r="BA257" s="275">
        <v>157783</v>
      </c>
      <c r="BB257" s="275">
        <v>153858</v>
      </c>
      <c r="BC257" s="275">
        <v>153381</v>
      </c>
      <c r="BD257" s="275">
        <v>154854</v>
      </c>
      <c r="BE257" s="275">
        <v>158425</v>
      </c>
      <c r="BF257" s="275">
        <v>160240</v>
      </c>
      <c r="BG257" s="275">
        <v>159571</v>
      </c>
      <c r="BH257" s="275">
        <v>159281</v>
      </c>
      <c r="BI257" s="275">
        <v>153927</v>
      </c>
      <c r="BJ257" s="275">
        <v>151173</v>
      </c>
      <c r="BK257" s="275">
        <v>147741</v>
      </c>
      <c r="BL257" s="275">
        <v>143789</v>
      </c>
      <c r="BM257" s="275">
        <v>141158</v>
      </c>
      <c r="BN257" s="275">
        <v>137556</v>
      </c>
      <c r="BO257" s="275">
        <v>133249</v>
      </c>
      <c r="BP257" s="275">
        <v>131150</v>
      </c>
      <c r="BQ257" s="275">
        <v>126007</v>
      </c>
      <c r="BR257" s="275">
        <v>124043</v>
      </c>
      <c r="BS257" s="275">
        <v>121329</v>
      </c>
      <c r="BT257" s="275">
        <v>117193</v>
      </c>
      <c r="BU257" s="275">
        <v>117303</v>
      </c>
      <c r="BV257" s="275">
        <v>121216</v>
      </c>
      <c r="BW257" s="275">
        <v>102175</v>
      </c>
      <c r="BX257" s="275">
        <v>98391</v>
      </c>
      <c r="BY257" s="275">
        <v>93454</v>
      </c>
      <c r="BZ257" s="275">
        <v>84115</v>
      </c>
      <c r="CA257" s="275">
        <v>81544</v>
      </c>
      <c r="CB257" s="275">
        <v>75574</v>
      </c>
      <c r="CC257" s="275">
        <v>72181</v>
      </c>
      <c r="CD257" s="275">
        <v>68567</v>
      </c>
      <c r="CE257" s="275">
        <v>64324</v>
      </c>
      <c r="CF257" s="275">
        <v>60962</v>
      </c>
      <c r="CG257" s="275">
        <v>58640</v>
      </c>
      <c r="CH257" s="275">
        <v>54488</v>
      </c>
      <c r="CI257" s="275">
        <v>50614</v>
      </c>
      <c r="CJ257" s="275">
        <v>48135</v>
      </c>
      <c r="CK257" s="275">
        <v>45053</v>
      </c>
      <c r="CL257" s="275">
        <v>44055</v>
      </c>
      <c r="CM257" s="275">
        <v>40881</v>
      </c>
      <c r="CN257" s="275">
        <v>36936</v>
      </c>
      <c r="CO257" s="275">
        <v>33494</v>
      </c>
      <c r="CP257" s="275">
        <v>29500</v>
      </c>
      <c r="CQ257" s="275">
        <v>25777</v>
      </c>
      <c r="CR257" s="275">
        <v>22099</v>
      </c>
      <c r="CS257" s="275">
        <v>18275</v>
      </c>
      <c r="CT257" s="275">
        <v>14806</v>
      </c>
      <c r="CU257" s="275">
        <v>11853</v>
      </c>
      <c r="CV257" s="275">
        <v>9006</v>
      </c>
      <c r="CW257" s="275">
        <v>6347</v>
      </c>
      <c r="CX257" s="275">
        <v>4063</v>
      </c>
      <c r="CY257" s="275">
        <v>2996</v>
      </c>
      <c r="CZ257" s="275">
        <v>2157</v>
      </c>
      <c r="DA257" s="275">
        <v>4587</v>
      </c>
      <c r="DB257" s="276">
        <f t="shared" si="72"/>
        <v>12233224</v>
      </c>
      <c r="DC257" s="277">
        <f t="shared" si="73"/>
        <v>12.233224</v>
      </c>
      <c r="DD257" s="279">
        <f t="shared" si="74"/>
        <v>1.7489046369136861E-2</v>
      </c>
    </row>
    <row r="258" spans="1:108" x14ac:dyDescent="0.2">
      <c r="A258" s="273"/>
      <c r="B258" s="273"/>
      <c r="C258" s="273"/>
      <c r="D258" s="274">
        <v>2017</v>
      </c>
      <c r="E258" s="280">
        <v>148888</v>
      </c>
      <c r="F258" s="280">
        <v>155891</v>
      </c>
      <c r="G258" s="280">
        <v>153630</v>
      </c>
      <c r="H258" s="280">
        <v>153641</v>
      </c>
      <c r="I258" s="280">
        <v>155834</v>
      </c>
      <c r="J258" s="280">
        <v>154840</v>
      </c>
      <c r="K258" s="280">
        <v>154837</v>
      </c>
      <c r="L258" s="280">
        <v>155930</v>
      </c>
      <c r="M258" s="280">
        <v>153423</v>
      </c>
      <c r="N258" s="280">
        <v>153819</v>
      </c>
      <c r="O258" s="280">
        <v>151923</v>
      </c>
      <c r="P258" s="280">
        <v>146709</v>
      </c>
      <c r="Q258" s="280">
        <v>140755</v>
      </c>
      <c r="R258" s="280">
        <v>138650</v>
      </c>
      <c r="S258" s="280">
        <v>137974</v>
      </c>
      <c r="T258" s="280">
        <v>138070</v>
      </c>
      <c r="U258" s="280">
        <v>141236</v>
      </c>
      <c r="V258" s="280">
        <v>143999</v>
      </c>
      <c r="W258" s="280">
        <v>146779</v>
      </c>
      <c r="X258" s="280">
        <v>152396</v>
      </c>
      <c r="Y258" s="280">
        <v>157807</v>
      </c>
      <c r="Z258" s="280">
        <v>161737</v>
      </c>
      <c r="AA258" s="280">
        <v>169096</v>
      </c>
      <c r="AB258" s="280">
        <v>174801</v>
      </c>
      <c r="AC258" s="280">
        <v>177131</v>
      </c>
      <c r="AD258" s="280">
        <v>179467</v>
      </c>
      <c r="AE258" s="280">
        <v>184352</v>
      </c>
      <c r="AF258" s="280">
        <v>188130</v>
      </c>
      <c r="AG258" s="280">
        <v>185959</v>
      </c>
      <c r="AH258" s="280">
        <v>186295</v>
      </c>
      <c r="AI258" s="280">
        <v>185302</v>
      </c>
      <c r="AJ258" s="280">
        <v>187167</v>
      </c>
      <c r="AK258" s="280">
        <v>185246</v>
      </c>
      <c r="AL258" s="280">
        <v>184223</v>
      </c>
      <c r="AM258" s="280">
        <v>182378</v>
      </c>
      <c r="AN258" s="280">
        <v>176401</v>
      </c>
      <c r="AO258" s="280">
        <v>171988</v>
      </c>
      <c r="AP258" s="280">
        <v>165609</v>
      </c>
      <c r="AQ258" s="280">
        <v>160935</v>
      </c>
      <c r="AR258" s="280">
        <v>158049</v>
      </c>
      <c r="AS258" s="280">
        <v>157005</v>
      </c>
      <c r="AT258" s="280">
        <v>158292</v>
      </c>
      <c r="AU258" s="280">
        <v>159086</v>
      </c>
      <c r="AV258" s="280">
        <v>163895</v>
      </c>
      <c r="AW258" s="280">
        <v>168024</v>
      </c>
      <c r="AX258" s="280">
        <v>174518</v>
      </c>
      <c r="AY258" s="280">
        <v>177661</v>
      </c>
      <c r="AZ258" s="280">
        <v>166171</v>
      </c>
      <c r="BA258" s="280">
        <v>164240</v>
      </c>
      <c r="BB258" s="280">
        <v>158630</v>
      </c>
      <c r="BC258" s="280">
        <v>154110</v>
      </c>
      <c r="BD258" s="280">
        <v>154021</v>
      </c>
      <c r="BE258" s="280">
        <v>153624</v>
      </c>
      <c r="BF258" s="280">
        <v>159188</v>
      </c>
      <c r="BG258" s="280">
        <v>160191</v>
      </c>
      <c r="BH258" s="280">
        <v>158959</v>
      </c>
      <c r="BI258" s="280">
        <v>158441</v>
      </c>
      <c r="BJ258" s="280">
        <v>153637</v>
      </c>
      <c r="BK258" s="280">
        <v>149372</v>
      </c>
      <c r="BL258" s="280">
        <v>147382</v>
      </c>
      <c r="BM258" s="280">
        <v>143075</v>
      </c>
      <c r="BN258" s="280">
        <v>140398</v>
      </c>
      <c r="BO258" s="280">
        <v>135905</v>
      </c>
      <c r="BP258" s="280">
        <v>132867</v>
      </c>
      <c r="BQ258" s="280">
        <v>130562</v>
      </c>
      <c r="BR258" s="280">
        <v>126193</v>
      </c>
      <c r="BS258" s="280">
        <v>124817</v>
      </c>
      <c r="BT258" s="280">
        <v>121677</v>
      </c>
      <c r="BU258" s="280">
        <v>117125</v>
      </c>
      <c r="BV258" s="280">
        <v>116998</v>
      </c>
      <c r="BW258" s="280">
        <v>119627</v>
      </c>
      <c r="BX258" s="280">
        <v>100374</v>
      </c>
      <c r="BY258" s="280">
        <v>95446</v>
      </c>
      <c r="BZ258" s="280">
        <v>90669</v>
      </c>
      <c r="CA258" s="280">
        <v>81506</v>
      </c>
      <c r="CB258" s="280">
        <v>79834</v>
      </c>
      <c r="CC258" s="280">
        <v>74430</v>
      </c>
      <c r="CD258" s="280">
        <v>70884</v>
      </c>
      <c r="CE258" s="280">
        <v>67116</v>
      </c>
      <c r="CF258" s="280">
        <v>63178</v>
      </c>
      <c r="CG258" s="280">
        <v>59666</v>
      </c>
      <c r="CH258" s="280">
        <v>55940</v>
      </c>
      <c r="CI258" s="280">
        <v>51106</v>
      </c>
      <c r="CJ258" s="280">
        <v>47603</v>
      </c>
      <c r="CK258" s="280">
        <v>44961</v>
      </c>
      <c r="CL258" s="280">
        <v>42043</v>
      </c>
      <c r="CM258" s="280">
        <v>40616</v>
      </c>
      <c r="CN258" s="280">
        <v>37459</v>
      </c>
      <c r="CO258" s="280">
        <v>33017</v>
      </c>
      <c r="CP258" s="280">
        <v>29820</v>
      </c>
      <c r="CQ258" s="280">
        <v>26251</v>
      </c>
      <c r="CR258" s="280">
        <v>22717</v>
      </c>
      <c r="CS258" s="280">
        <v>18885</v>
      </c>
      <c r="CT258" s="280">
        <v>15389</v>
      </c>
      <c r="CU258" s="280">
        <v>12197</v>
      </c>
      <c r="CV258" s="280">
        <v>9516</v>
      </c>
      <c r="CW258" s="280">
        <v>7182</v>
      </c>
      <c r="CX258" s="280">
        <v>4808</v>
      </c>
      <c r="CY258" s="280">
        <v>2829</v>
      </c>
      <c r="CZ258" s="280">
        <v>2174</v>
      </c>
      <c r="DA258" s="280">
        <v>2970</v>
      </c>
      <c r="DB258" s="276">
        <f t="shared" si="72"/>
        <v>12397574</v>
      </c>
      <c r="DC258" s="277">
        <f t="shared" si="73"/>
        <v>12.397574000000001</v>
      </c>
      <c r="DD258" s="279">
        <f t="shared" si="74"/>
        <v>1.3434724975198743E-2</v>
      </c>
    </row>
    <row r="259" spans="1:108" x14ac:dyDescent="0.2">
      <c r="A259" s="273"/>
      <c r="B259" s="273"/>
      <c r="C259" s="273"/>
      <c r="D259" s="274">
        <v>2018</v>
      </c>
      <c r="E259" s="280">
        <v>157102</v>
      </c>
      <c r="F259" s="280">
        <v>149640</v>
      </c>
      <c r="G259" s="280">
        <v>157467</v>
      </c>
      <c r="H259" s="280">
        <v>155447</v>
      </c>
      <c r="I259" s="280">
        <v>155512</v>
      </c>
      <c r="J259" s="280">
        <v>157651</v>
      </c>
      <c r="K259" s="280">
        <v>156467</v>
      </c>
      <c r="L259" s="280">
        <v>156247</v>
      </c>
      <c r="M259" s="280">
        <v>157223</v>
      </c>
      <c r="N259" s="280">
        <v>154666</v>
      </c>
      <c r="O259" s="280">
        <v>155008</v>
      </c>
      <c r="P259" s="280">
        <v>153051</v>
      </c>
      <c r="Q259" s="280">
        <v>147817</v>
      </c>
      <c r="R259" s="280">
        <v>141880</v>
      </c>
      <c r="S259" s="280">
        <v>139930</v>
      </c>
      <c r="T259" s="280">
        <v>139674</v>
      </c>
      <c r="U259" s="280">
        <v>140203</v>
      </c>
      <c r="V259" s="280">
        <v>144166</v>
      </c>
      <c r="W259" s="280">
        <v>149078</v>
      </c>
      <c r="X259" s="280">
        <v>153836</v>
      </c>
      <c r="Y259" s="280">
        <v>159189</v>
      </c>
      <c r="Z259" s="280">
        <v>163707</v>
      </c>
      <c r="AA259" s="280">
        <v>168741</v>
      </c>
      <c r="AB259" s="280">
        <v>177479</v>
      </c>
      <c r="AC259" s="280">
        <v>182066</v>
      </c>
      <c r="AD259" s="280">
        <v>182694</v>
      </c>
      <c r="AE259" s="280">
        <v>184407</v>
      </c>
      <c r="AF259" s="280">
        <v>188991</v>
      </c>
      <c r="AG259" s="280">
        <v>192400</v>
      </c>
      <c r="AH259" s="280">
        <v>189827</v>
      </c>
      <c r="AI259" s="280">
        <v>189799</v>
      </c>
      <c r="AJ259" s="280">
        <v>188304</v>
      </c>
      <c r="AK259" s="280">
        <v>189775</v>
      </c>
      <c r="AL259" s="280">
        <v>187761</v>
      </c>
      <c r="AM259" s="280">
        <v>186611</v>
      </c>
      <c r="AN259" s="280">
        <v>184465</v>
      </c>
      <c r="AO259" s="280">
        <v>178227</v>
      </c>
      <c r="AP259" s="280">
        <v>173622</v>
      </c>
      <c r="AQ259" s="280">
        <v>167064</v>
      </c>
      <c r="AR259" s="280">
        <v>162261</v>
      </c>
      <c r="AS259" s="280">
        <v>159267</v>
      </c>
      <c r="AT259" s="280">
        <v>158069</v>
      </c>
      <c r="AU259" s="280">
        <v>159205</v>
      </c>
      <c r="AV259" s="280">
        <v>159889</v>
      </c>
      <c r="AW259" s="280">
        <v>164595</v>
      </c>
      <c r="AX259" s="280">
        <v>168582</v>
      </c>
      <c r="AY259" s="280">
        <v>174945</v>
      </c>
      <c r="AZ259" s="280">
        <v>177967</v>
      </c>
      <c r="BA259" s="280">
        <v>166360</v>
      </c>
      <c r="BB259" s="280">
        <v>164345</v>
      </c>
      <c r="BC259" s="280">
        <v>158667</v>
      </c>
      <c r="BD259" s="280">
        <v>154081</v>
      </c>
      <c r="BE259" s="280">
        <v>153974</v>
      </c>
      <c r="BF259" s="280">
        <v>153554</v>
      </c>
      <c r="BG259" s="280">
        <v>159074</v>
      </c>
      <c r="BH259" s="280">
        <v>160026</v>
      </c>
      <c r="BI259" s="280">
        <v>158739</v>
      </c>
      <c r="BJ259" s="280">
        <v>158218</v>
      </c>
      <c r="BK259" s="280">
        <v>153433</v>
      </c>
      <c r="BL259" s="280">
        <v>149169</v>
      </c>
      <c r="BM259" s="280">
        <v>147163</v>
      </c>
      <c r="BN259" s="280">
        <v>142839</v>
      </c>
      <c r="BO259" s="280">
        <v>140114</v>
      </c>
      <c r="BP259" s="280">
        <v>135560</v>
      </c>
      <c r="BQ259" s="280">
        <v>132458</v>
      </c>
      <c r="BR259" s="280">
        <v>130048</v>
      </c>
      <c r="BS259" s="280">
        <v>125596</v>
      </c>
      <c r="BT259" s="280">
        <v>124136</v>
      </c>
      <c r="BU259" s="280">
        <v>120909</v>
      </c>
      <c r="BV259" s="280">
        <v>116274</v>
      </c>
      <c r="BW259" s="280">
        <v>116018</v>
      </c>
      <c r="BX259" s="280">
        <v>118479</v>
      </c>
      <c r="BY259" s="280">
        <v>99288</v>
      </c>
      <c r="BZ259" s="280">
        <v>94273</v>
      </c>
      <c r="CA259" s="280">
        <v>89397</v>
      </c>
      <c r="CB259" s="280">
        <v>80219</v>
      </c>
      <c r="CC259" s="280">
        <v>78412</v>
      </c>
      <c r="CD259" s="280">
        <v>72927</v>
      </c>
      <c r="CE259" s="280">
        <v>69270</v>
      </c>
      <c r="CF259" s="280">
        <v>65386</v>
      </c>
      <c r="CG259" s="280">
        <v>61327</v>
      </c>
      <c r="CH259" s="280">
        <v>57671</v>
      </c>
      <c r="CI259" s="280">
        <v>53791</v>
      </c>
      <c r="CJ259" s="280">
        <v>48844</v>
      </c>
      <c r="CK259" s="280">
        <v>45175</v>
      </c>
      <c r="CL259" s="280">
        <v>42306</v>
      </c>
      <c r="CM259" s="280">
        <v>39197</v>
      </c>
      <c r="CN259" s="280">
        <v>37470</v>
      </c>
      <c r="CO259" s="280">
        <v>34121</v>
      </c>
      <c r="CP259" s="280">
        <v>29662</v>
      </c>
      <c r="CQ259" s="280">
        <v>26373</v>
      </c>
      <c r="CR259" s="280">
        <v>22817</v>
      </c>
      <c r="CS259" s="280">
        <v>19369</v>
      </c>
      <c r="CT259" s="280">
        <v>15753</v>
      </c>
      <c r="CU259" s="280">
        <v>12540</v>
      </c>
      <c r="CV259" s="280">
        <v>9691</v>
      </c>
      <c r="CW259" s="280">
        <v>7359</v>
      </c>
      <c r="CX259" s="280">
        <v>5393</v>
      </c>
      <c r="CY259" s="280">
        <v>3505</v>
      </c>
      <c r="CZ259" s="280">
        <v>2008</v>
      </c>
      <c r="DA259" s="280">
        <v>3676</v>
      </c>
      <c r="DB259" s="276">
        <f t="shared" si="72"/>
        <v>12608428</v>
      </c>
      <c r="DC259" s="277">
        <f t="shared" si="73"/>
        <v>12.608428</v>
      </c>
      <c r="DD259" s="279">
        <f t="shared" si="74"/>
        <v>1.700768230945824E-2</v>
      </c>
    </row>
    <row r="260" spans="1:108" x14ac:dyDescent="0.2">
      <c r="A260" s="273"/>
      <c r="B260" s="273"/>
      <c r="C260" s="273"/>
      <c r="D260" s="274">
        <v>2019</v>
      </c>
      <c r="E260" s="280">
        <v>160396</v>
      </c>
      <c r="F260" s="280">
        <v>157883</v>
      </c>
      <c r="G260" s="280">
        <v>151278</v>
      </c>
      <c r="H260" s="280">
        <v>159356</v>
      </c>
      <c r="I260" s="280">
        <v>157390</v>
      </c>
      <c r="J260" s="280">
        <v>157399</v>
      </c>
      <c r="K260" s="280">
        <v>159341</v>
      </c>
      <c r="L260" s="280">
        <v>157931</v>
      </c>
      <c r="M260" s="280">
        <v>157590</v>
      </c>
      <c r="N260" s="280">
        <v>158514</v>
      </c>
      <c r="O260" s="280">
        <v>155901</v>
      </c>
      <c r="P260" s="280">
        <v>156180</v>
      </c>
      <c r="Q260" s="280">
        <v>154201</v>
      </c>
      <c r="R260" s="280">
        <v>148985</v>
      </c>
      <c r="S260" s="280">
        <v>143210</v>
      </c>
      <c r="T260" s="280">
        <v>141697</v>
      </c>
      <c r="U260" s="280">
        <v>141890</v>
      </c>
      <c r="V260" s="280">
        <v>143247</v>
      </c>
      <c r="W260" s="280">
        <v>149441</v>
      </c>
      <c r="X260" s="280">
        <v>156409</v>
      </c>
      <c r="Y260" s="280">
        <v>160892</v>
      </c>
      <c r="Z260" s="280">
        <v>165318</v>
      </c>
      <c r="AA260" s="280">
        <v>170981</v>
      </c>
      <c r="AB260" s="280">
        <v>177447</v>
      </c>
      <c r="AC260" s="280">
        <v>185025</v>
      </c>
      <c r="AD260" s="280">
        <v>187846</v>
      </c>
      <c r="AE260" s="280">
        <v>187824</v>
      </c>
      <c r="AF260" s="280">
        <v>189226</v>
      </c>
      <c r="AG260" s="280">
        <v>193427</v>
      </c>
      <c r="AH260" s="280">
        <v>196417</v>
      </c>
      <c r="AI260" s="280">
        <v>193467</v>
      </c>
      <c r="AJ260" s="280">
        <v>192918</v>
      </c>
      <c r="AK260" s="280">
        <v>191015</v>
      </c>
      <c r="AL260" s="280">
        <v>192390</v>
      </c>
      <c r="AM260" s="280">
        <v>190243</v>
      </c>
      <c r="AN260" s="280">
        <v>188786</v>
      </c>
      <c r="AO260" s="280">
        <v>186361</v>
      </c>
      <c r="AP260" s="280">
        <v>179924</v>
      </c>
      <c r="AQ260" s="280">
        <v>175132</v>
      </c>
      <c r="AR260" s="280">
        <v>168441</v>
      </c>
      <c r="AS260" s="280">
        <v>163527</v>
      </c>
      <c r="AT260" s="280">
        <v>160375</v>
      </c>
      <c r="AU260" s="280">
        <v>159022</v>
      </c>
      <c r="AV260" s="280">
        <v>160046</v>
      </c>
      <c r="AW260" s="280">
        <v>160628</v>
      </c>
      <c r="AX260" s="280">
        <v>165188</v>
      </c>
      <c r="AY260" s="280">
        <v>169041</v>
      </c>
      <c r="AZ260" s="280">
        <v>175276</v>
      </c>
      <c r="BA260" s="280">
        <v>178154</v>
      </c>
      <c r="BB260" s="280">
        <v>166475</v>
      </c>
      <c r="BC260" s="280">
        <v>164385</v>
      </c>
      <c r="BD260" s="280">
        <v>158643</v>
      </c>
      <c r="BE260" s="280">
        <v>154042</v>
      </c>
      <c r="BF260" s="280">
        <v>153917</v>
      </c>
      <c r="BG260" s="280">
        <v>153466</v>
      </c>
      <c r="BH260" s="280">
        <v>158923</v>
      </c>
      <c r="BI260" s="280">
        <v>159812</v>
      </c>
      <c r="BJ260" s="280">
        <v>158526</v>
      </c>
      <c r="BK260" s="280">
        <v>158014</v>
      </c>
      <c r="BL260" s="280">
        <v>153231</v>
      </c>
      <c r="BM260" s="280">
        <v>148959</v>
      </c>
      <c r="BN260" s="280">
        <v>146926</v>
      </c>
      <c r="BO260" s="280">
        <v>142562</v>
      </c>
      <c r="BP260" s="280">
        <v>139766</v>
      </c>
      <c r="BQ260" s="280">
        <v>135151</v>
      </c>
      <c r="BR260" s="280">
        <v>131948</v>
      </c>
      <c r="BS260" s="280">
        <v>129442</v>
      </c>
      <c r="BT260" s="280">
        <v>124923</v>
      </c>
      <c r="BU260" s="280">
        <v>123363</v>
      </c>
      <c r="BV260" s="280">
        <v>120041</v>
      </c>
      <c r="BW260" s="280">
        <v>115314</v>
      </c>
      <c r="BX260" s="280">
        <v>114921</v>
      </c>
      <c r="BY260" s="280">
        <v>117200</v>
      </c>
      <c r="BZ260" s="280">
        <v>98078</v>
      </c>
      <c r="CA260" s="280">
        <v>92962</v>
      </c>
      <c r="CB260" s="280">
        <v>87994</v>
      </c>
      <c r="CC260" s="280">
        <v>78803</v>
      </c>
      <c r="CD260" s="280">
        <v>76841</v>
      </c>
      <c r="CE260" s="280">
        <v>71280</v>
      </c>
      <c r="CF260" s="280">
        <v>67497</v>
      </c>
      <c r="CG260" s="280">
        <v>63484</v>
      </c>
      <c r="CH260" s="280">
        <v>59289</v>
      </c>
      <c r="CI260" s="280">
        <v>55469</v>
      </c>
      <c r="CJ260" s="280">
        <v>51424</v>
      </c>
      <c r="CK260" s="280">
        <v>46366</v>
      </c>
      <c r="CL260" s="280">
        <v>42522</v>
      </c>
      <c r="CM260" s="280">
        <v>39456</v>
      </c>
      <c r="CN260" s="280">
        <v>36174</v>
      </c>
      <c r="CO260" s="280">
        <v>34144</v>
      </c>
      <c r="CP260" s="280">
        <v>30669</v>
      </c>
      <c r="CQ260" s="280">
        <v>26246</v>
      </c>
      <c r="CR260" s="280">
        <v>22936</v>
      </c>
      <c r="CS260" s="280">
        <v>19466</v>
      </c>
      <c r="CT260" s="280">
        <v>16166</v>
      </c>
      <c r="CU260" s="280">
        <v>12842</v>
      </c>
      <c r="CV260" s="280">
        <v>9967</v>
      </c>
      <c r="CW260" s="280">
        <v>7496</v>
      </c>
      <c r="CX260" s="280">
        <v>5527</v>
      </c>
      <c r="CY260" s="280">
        <v>3932</v>
      </c>
      <c r="CZ260" s="280">
        <v>2492</v>
      </c>
      <c r="DA260" s="280">
        <v>4084</v>
      </c>
      <c r="DB260" s="276">
        <f t="shared" si="72"/>
        <v>12826132</v>
      </c>
      <c r="DC260" s="277">
        <f t="shared" si="73"/>
        <v>12.826131999999999</v>
      </c>
      <c r="DD260" s="279">
        <f t="shared" si="74"/>
        <v>1.7266545837435043E-2</v>
      </c>
    </row>
    <row r="261" spans="1:108" x14ac:dyDescent="0.2">
      <c r="A261" s="273"/>
      <c r="B261" s="273"/>
      <c r="C261" s="273"/>
      <c r="D261" s="274">
        <v>2020</v>
      </c>
      <c r="E261" s="280">
        <v>163605</v>
      </c>
      <c r="F261" s="280">
        <v>161172</v>
      </c>
      <c r="G261" s="280">
        <v>159507</v>
      </c>
      <c r="H261" s="280">
        <v>153154</v>
      </c>
      <c r="I261" s="280">
        <v>161286</v>
      </c>
      <c r="J261" s="280">
        <v>159263</v>
      </c>
      <c r="K261" s="280">
        <v>159076</v>
      </c>
      <c r="L261" s="280">
        <v>160794</v>
      </c>
      <c r="M261" s="280">
        <v>159264</v>
      </c>
      <c r="N261" s="280">
        <v>158871</v>
      </c>
      <c r="O261" s="280">
        <v>159740</v>
      </c>
      <c r="P261" s="280">
        <v>157065</v>
      </c>
      <c r="Q261" s="280">
        <v>157321</v>
      </c>
      <c r="R261" s="280">
        <v>155359</v>
      </c>
      <c r="S261" s="280">
        <v>150304</v>
      </c>
      <c r="T261" s="280">
        <v>144961</v>
      </c>
      <c r="U261" s="280">
        <v>143898</v>
      </c>
      <c r="V261" s="280">
        <v>144912</v>
      </c>
      <c r="W261" s="280">
        <v>148483</v>
      </c>
      <c r="X261" s="280">
        <v>156719</v>
      </c>
      <c r="Y261" s="280">
        <v>163412</v>
      </c>
      <c r="Z261" s="280">
        <v>166975</v>
      </c>
      <c r="AA261" s="280">
        <v>172538</v>
      </c>
      <c r="AB261" s="280">
        <v>179621</v>
      </c>
      <c r="AC261" s="280">
        <v>184937</v>
      </c>
      <c r="AD261" s="280">
        <v>190761</v>
      </c>
      <c r="AE261" s="280">
        <v>192936</v>
      </c>
      <c r="AF261" s="280">
        <v>192606</v>
      </c>
      <c r="AG261" s="280">
        <v>193629</v>
      </c>
      <c r="AH261" s="280">
        <v>197414</v>
      </c>
      <c r="AI261" s="280">
        <v>200028</v>
      </c>
      <c r="AJ261" s="280">
        <v>196561</v>
      </c>
      <c r="AK261" s="280">
        <v>195607</v>
      </c>
      <c r="AL261" s="280">
        <v>193609</v>
      </c>
      <c r="AM261" s="280">
        <v>194850</v>
      </c>
      <c r="AN261" s="280">
        <v>192397</v>
      </c>
      <c r="AO261" s="280">
        <v>190666</v>
      </c>
      <c r="AP261" s="280">
        <v>188044</v>
      </c>
      <c r="AQ261" s="280">
        <v>181420</v>
      </c>
      <c r="AR261" s="280">
        <v>176493</v>
      </c>
      <c r="AS261" s="280">
        <v>169694</v>
      </c>
      <c r="AT261" s="280">
        <v>164625</v>
      </c>
      <c r="AU261" s="280">
        <v>161318</v>
      </c>
      <c r="AV261" s="280">
        <v>159855</v>
      </c>
      <c r="AW261" s="280">
        <v>160778</v>
      </c>
      <c r="AX261" s="280">
        <v>161219</v>
      </c>
      <c r="AY261" s="280">
        <v>165645</v>
      </c>
      <c r="AZ261" s="280">
        <v>169375</v>
      </c>
      <c r="BA261" s="280">
        <v>175465</v>
      </c>
      <c r="BB261" s="280">
        <v>178248</v>
      </c>
      <c r="BC261" s="280">
        <v>166510</v>
      </c>
      <c r="BD261" s="280">
        <v>164348</v>
      </c>
      <c r="BE261" s="280">
        <v>158596</v>
      </c>
      <c r="BF261" s="280">
        <v>153982</v>
      </c>
      <c r="BG261" s="280">
        <v>153827</v>
      </c>
      <c r="BH261" s="280">
        <v>153329</v>
      </c>
      <c r="BI261" s="280">
        <v>158711</v>
      </c>
      <c r="BJ261" s="280">
        <v>159595</v>
      </c>
      <c r="BK261" s="280">
        <v>158319</v>
      </c>
      <c r="BL261" s="280">
        <v>157798</v>
      </c>
      <c r="BM261" s="280">
        <v>153005</v>
      </c>
      <c r="BN261" s="280">
        <v>148717</v>
      </c>
      <c r="BO261" s="280">
        <v>146632</v>
      </c>
      <c r="BP261" s="280">
        <v>142205</v>
      </c>
      <c r="BQ261" s="280">
        <v>139339</v>
      </c>
      <c r="BR261" s="280">
        <v>134630</v>
      </c>
      <c r="BS261" s="280">
        <v>131335</v>
      </c>
      <c r="BT261" s="280">
        <v>128749</v>
      </c>
      <c r="BU261" s="280">
        <v>124152</v>
      </c>
      <c r="BV261" s="280">
        <v>122482</v>
      </c>
      <c r="BW261" s="280">
        <v>119057</v>
      </c>
      <c r="BX261" s="280">
        <v>114233</v>
      </c>
      <c r="BY261" s="280">
        <v>113693</v>
      </c>
      <c r="BZ261" s="280">
        <v>115776</v>
      </c>
      <c r="CA261" s="280">
        <v>96724</v>
      </c>
      <c r="CB261" s="280">
        <v>91515</v>
      </c>
      <c r="CC261" s="280">
        <v>86451</v>
      </c>
      <c r="CD261" s="280">
        <v>77236</v>
      </c>
      <c r="CE261" s="280">
        <v>75117</v>
      </c>
      <c r="CF261" s="280">
        <v>69469</v>
      </c>
      <c r="CG261" s="280">
        <v>65547</v>
      </c>
      <c r="CH261" s="280">
        <v>61389</v>
      </c>
      <c r="CI261" s="280">
        <v>57039</v>
      </c>
      <c r="CJ261" s="280">
        <v>53042</v>
      </c>
      <c r="CK261" s="280">
        <v>48828</v>
      </c>
      <c r="CL261" s="280">
        <v>43657</v>
      </c>
      <c r="CM261" s="280">
        <v>39671</v>
      </c>
      <c r="CN261" s="280">
        <v>36425</v>
      </c>
      <c r="CO261" s="280">
        <v>32974</v>
      </c>
      <c r="CP261" s="280">
        <v>30703</v>
      </c>
      <c r="CQ261" s="280">
        <v>27152</v>
      </c>
      <c r="CR261" s="280">
        <v>22838</v>
      </c>
      <c r="CS261" s="280">
        <v>19578</v>
      </c>
      <c r="CT261" s="280">
        <v>16256</v>
      </c>
      <c r="CU261" s="280">
        <v>13185</v>
      </c>
      <c r="CV261" s="280">
        <v>10211</v>
      </c>
      <c r="CW261" s="280">
        <v>7710</v>
      </c>
      <c r="CX261" s="280">
        <v>5631</v>
      </c>
      <c r="CY261" s="280">
        <v>4030</v>
      </c>
      <c r="CZ261" s="280">
        <v>2800</v>
      </c>
      <c r="DA261" s="280">
        <v>4723</v>
      </c>
      <c r="DB261" s="276">
        <f t="shared" si="72"/>
        <v>13044401</v>
      </c>
      <c r="DC261" s="277">
        <f t="shared" si="73"/>
        <v>13.044401000000001</v>
      </c>
      <c r="DD261" s="279">
        <f t="shared" si="74"/>
        <v>1.7017523287613225E-2</v>
      </c>
    </row>
    <row r="262" spans="1:108" x14ac:dyDescent="0.2">
      <c r="A262" s="273"/>
      <c r="B262" s="273"/>
      <c r="C262" s="273"/>
      <c r="D262" s="274">
        <v>2021</v>
      </c>
      <c r="E262" s="280">
        <v>166625</v>
      </c>
      <c r="F262" s="280">
        <v>164366</v>
      </c>
      <c r="G262" s="280">
        <v>162765</v>
      </c>
      <c r="H262" s="280">
        <v>161346</v>
      </c>
      <c r="I262" s="280">
        <v>155050</v>
      </c>
      <c r="J262" s="280">
        <v>163123</v>
      </c>
      <c r="K262" s="280">
        <v>160909</v>
      </c>
      <c r="L262" s="280">
        <v>160502</v>
      </c>
      <c r="M262" s="280">
        <v>162102</v>
      </c>
      <c r="N262" s="280">
        <v>160521</v>
      </c>
      <c r="O262" s="280">
        <v>160074</v>
      </c>
      <c r="P262" s="280">
        <v>160881</v>
      </c>
      <c r="Q262" s="280">
        <v>158185</v>
      </c>
      <c r="R262" s="280">
        <v>158457</v>
      </c>
      <c r="S262" s="280">
        <v>156652</v>
      </c>
      <c r="T262" s="280">
        <v>152023</v>
      </c>
      <c r="U262" s="280">
        <v>147121</v>
      </c>
      <c r="V262" s="280">
        <v>146862</v>
      </c>
      <c r="W262" s="280">
        <v>150049</v>
      </c>
      <c r="X262" s="280">
        <v>155624</v>
      </c>
      <c r="Y262" s="280">
        <v>163590</v>
      </c>
      <c r="Z262" s="280">
        <v>169381</v>
      </c>
      <c r="AA262" s="280">
        <v>174059</v>
      </c>
      <c r="AB262" s="280">
        <v>181016</v>
      </c>
      <c r="AC262" s="280">
        <v>186971</v>
      </c>
      <c r="AD262" s="280">
        <v>190566</v>
      </c>
      <c r="AE262" s="280">
        <v>195755</v>
      </c>
      <c r="AF262" s="280">
        <v>197630</v>
      </c>
      <c r="AG262" s="280">
        <v>196925</v>
      </c>
      <c r="AH262" s="280">
        <v>197540</v>
      </c>
      <c r="AI262" s="280">
        <v>200955</v>
      </c>
      <c r="AJ262" s="280">
        <v>203060</v>
      </c>
      <c r="AK262" s="280">
        <v>199195</v>
      </c>
      <c r="AL262" s="280">
        <v>198149</v>
      </c>
      <c r="AM262" s="280">
        <v>196023</v>
      </c>
      <c r="AN262" s="280">
        <v>196960</v>
      </c>
      <c r="AO262" s="280">
        <v>194238</v>
      </c>
      <c r="AP262" s="280">
        <v>192310</v>
      </c>
      <c r="AQ262" s="280">
        <v>189506</v>
      </c>
      <c r="AR262" s="280">
        <v>182749</v>
      </c>
      <c r="AS262" s="280">
        <v>177715</v>
      </c>
      <c r="AT262" s="280">
        <v>170765</v>
      </c>
      <c r="AU262" s="280">
        <v>165544</v>
      </c>
      <c r="AV262" s="280">
        <v>162131</v>
      </c>
      <c r="AW262" s="280">
        <v>160571</v>
      </c>
      <c r="AX262" s="280">
        <v>161355</v>
      </c>
      <c r="AY262" s="280">
        <v>161669</v>
      </c>
      <c r="AZ262" s="280">
        <v>165975</v>
      </c>
      <c r="BA262" s="280">
        <v>169564</v>
      </c>
      <c r="BB262" s="280">
        <v>175559</v>
      </c>
      <c r="BC262" s="280">
        <v>178256</v>
      </c>
      <c r="BD262" s="280">
        <v>166464</v>
      </c>
      <c r="BE262" s="280">
        <v>164286</v>
      </c>
      <c r="BF262" s="280">
        <v>158523</v>
      </c>
      <c r="BG262" s="280">
        <v>153890</v>
      </c>
      <c r="BH262" s="280">
        <v>153686</v>
      </c>
      <c r="BI262" s="280">
        <v>153130</v>
      </c>
      <c r="BJ262" s="280">
        <v>158498</v>
      </c>
      <c r="BK262" s="280">
        <v>159384</v>
      </c>
      <c r="BL262" s="280">
        <v>158098</v>
      </c>
      <c r="BM262" s="280">
        <v>157553</v>
      </c>
      <c r="BN262" s="280">
        <v>152746</v>
      </c>
      <c r="BO262" s="280">
        <v>148416</v>
      </c>
      <c r="BP262" s="280">
        <v>146257</v>
      </c>
      <c r="BQ262" s="280">
        <v>141769</v>
      </c>
      <c r="BR262" s="280">
        <v>138800</v>
      </c>
      <c r="BS262" s="280">
        <v>134006</v>
      </c>
      <c r="BT262" s="280">
        <v>130636</v>
      </c>
      <c r="BU262" s="280">
        <v>127960</v>
      </c>
      <c r="BV262" s="280">
        <v>123277</v>
      </c>
      <c r="BW262" s="280">
        <v>121489</v>
      </c>
      <c r="BX262" s="280">
        <v>117954</v>
      </c>
      <c r="BY262" s="280">
        <v>113029</v>
      </c>
      <c r="BZ262" s="280">
        <v>112331</v>
      </c>
      <c r="CA262" s="280">
        <v>114195</v>
      </c>
      <c r="CB262" s="280">
        <v>95237</v>
      </c>
      <c r="CC262" s="280">
        <v>89929</v>
      </c>
      <c r="CD262" s="280">
        <v>84751</v>
      </c>
      <c r="CE262" s="280">
        <v>75523</v>
      </c>
      <c r="CF262" s="280">
        <v>73230</v>
      </c>
      <c r="CG262" s="280">
        <v>67482</v>
      </c>
      <c r="CH262" s="280">
        <v>63405</v>
      </c>
      <c r="CI262" s="280">
        <v>59081</v>
      </c>
      <c r="CJ262" s="280">
        <v>54566</v>
      </c>
      <c r="CK262" s="280">
        <v>50388</v>
      </c>
      <c r="CL262" s="280">
        <v>45998</v>
      </c>
      <c r="CM262" s="280">
        <v>40750</v>
      </c>
      <c r="CN262" s="280">
        <v>36644</v>
      </c>
      <c r="CO262" s="280">
        <v>33223</v>
      </c>
      <c r="CP262" s="280">
        <v>29669</v>
      </c>
      <c r="CQ262" s="280">
        <v>27201</v>
      </c>
      <c r="CR262" s="280">
        <v>23645</v>
      </c>
      <c r="CS262" s="280">
        <v>19511</v>
      </c>
      <c r="CT262" s="280">
        <v>16363</v>
      </c>
      <c r="CU262" s="280">
        <v>13268</v>
      </c>
      <c r="CV262" s="280">
        <v>10489</v>
      </c>
      <c r="CW262" s="280">
        <v>7901</v>
      </c>
      <c r="CX262" s="280">
        <v>5793</v>
      </c>
      <c r="CY262" s="280">
        <v>4107</v>
      </c>
      <c r="CZ262" s="280">
        <v>2877</v>
      </c>
      <c r="DA262" s="280">
        <v>5415</v>
      </c>
      <c r="DB262" s="276">
        <f t="shared" si="72"/>
        <v>13261742</v>
      </c>
      <c r="DC262" s="277">
        <f t="shared" si="73"/>
        <v>13.261742</v>
      </c>
      <c r="DD262" s="279">
        <f t="shared" si="74"/>
        <v>1.666163130066297E-2</v>
      </c>
    </row>
    <row r="263" spans="1:108" x14ac:dyDescent="0.2">
      <c r="A263" s="273"/>
      <c r="B263" s="273"/>
      <c r="C263" s="273"/>
      <c r="D263" s="274">
        <v>2022</v>
      </c>
      <c r="E263" s="280">
        <v>169428</v>
      </c>
      <c r="F263" s="280">
        <v>167373</v>
      </c>
      <c r="G263" s="280">
        <v>165934</v>
      </c>
      <c r="H263" s="280">
        <v>164576</v>
      </c>
      <c r="I263" s="280">
        <v>163212</v>
      </c>
      <c r="J263" s="280">
        <v>156860</v>
      </c>
      <c r="K263" s="280">
        <v>164745</v>
      </c>
      <c r="L263" s="280">
        <v>162313</v>
      </c>
      <c r="M263" s="280">
        <v>161790</v>
      </c>
      <c r="N263" s="280">
        <v>163340</v>
      </c>
      <c r="O263" s="280">
        <v>161705</v>
      </c>
      <c r="P263" s="280">
        <v>161198</v>
      </c>
      <c r="Q263" s="280">
        <v>161983</v>
      </c>
      <c r="R263" s="280">
        <v>159303</v>
      </c>
      <c r="S263" s="280">
        <v>159730</v>
      </c>
      <c r="T263" s="280">
        <v>158346</v>
      </c>
      <c r="U263" s="280">
        <v>154149</v>
      </c>
      <c r="V263" s="280">
        <v>150040</v>
      </c>
      <c r="W263" s="280">
        <v>151921</v>
      </c>
      <c r="X263" s="280">
        <v>157081</v>
      </c>
      <c r="Y263" s="280">
        <v>162391</v>
      </c>
      <c r="Z263" s="280">
        <v>169467</v>
      </c>
      <c r="AA263" s="280">
        <v>176356</v>
      </c>
      <c r="AB263" s="280">
        <v>182410</v>
      </c>
      <c r="AC263" s="280">
        <v>188254</v>
      </c>
      <c r="AD263" s="280">
        <v>192514</v>
      </c>
      <c r="AE263" s="280">
        <v>195483</v>
      </c>
      <c r="AF263" s="280">
        <v>200376</v>
      </c>
      <c r="AG263" s="280">
        <v>201883</v>
      </c>
      <c r="AH263" s="280">
        <v>200774</v>
      </c>
      <c r="AI263" s="280">
        <v>201028</v>
      </c>
      <c r="AJ263" s="280">
        <v>203942</v>
      </c>
      <c r="AK263" s="280">
        <v>205650</v>
      </c>
      <c r="AL263" s="280">
        <v>201696</v>
      </c>
      <c r="AM263" s="280">
        <v>200523</v>
      </c>
      <c r="AN263" s="280">
        <v>198099</v>
      </c>
      <c r="AO263" s="280">
        <v>198769</v>
      </c>
      <c r="AP263" s="280">
        <v>195853</v>
      </c>
      <c r="AQ263" s="280">
        <v>193745</v>
      </c>
      <c r="AR263" s="280">
        <v>190807</v>
      </c>
      <c r="AS263" s="280">
        <v>183945</v>
      </c>
      <c r="AT263" s="280">
        <v>178759</v>
      </c>
      <c r="AU263" s="280">
        <v>171664</v>
      </c>
      <c r="AV263" s="280">
        <v>166337</v>
      </c>
      <c r="AW263" s="280">
        <v>162831</v>
      </c>
      <c r="AX263" s="280">
        <v>161136</v>
      </c>
      <c r="AY263" s="280">
        <v>161796</v>
      </c>
      <c r="AZ263" s="280">
        <v>161996</v>
      </c>
      <c r="BA263" s="280">
        <v>166164</v>
      </c>
      <c r="BB263" s="280">
        <v>169662</v>
      </c>
      <c r="BC263" s="280">
        <v>175567</v>
      </c>
      <c r="BD263" s="280">
        <v>178186</v>
      </c>
      <c r="BE263" s="280">
        <v>166394</v>
      </c>
      <c r="BF263" s="280">
        <v>164196</v>
      </c>
      <c r="BG263" s="280">
        <v>158416</v>
      </c>
      <c r="BH263" s="280">
        <v>153748</v>
      </c>
      <c r="BI263" s="280">
        <v>153486</v>
      </c>
      <c r="BJ263" s="280">
        <v>152930</v>
      </c>
      <c r="BK263" s="280">
        <v>158286</v>
      </c>
      <c r="BL263" s="280">
        <v>159157</v>
      </c>
      <c r="BM263" s="280">
        <v>157849</v>
      </c>
      <c r="BN263" s="280">
        <v>157272</v>
      </c>
      <c r="BO263" s="280">
        <v>152425</v>
      </c>
      <c r="BP263" s="280">
        <v>148033</v>
      </c>
      <c r="BQ263" s="280">
        <v>145800</v>
      </c>
      <c r="BR263" s="280">
        <v>141218</v>
      </c>
      <c r="BS263" s="280">
        <v>138158</v>
      </c>
      <c r="BT263" s="280">
        <v>133296</v>
      </c>
      <c r="BU263" s="280">
        <v>129837</v>
      </c>
      <c r="BV263" s="280">
        <v>127061</v>
      </c>
      <c r="BW263" s="280">
        <v>122283</v>
      </c>
      <c r="BX263" s="280">
        <v>120369</v>
      </c>
      <c r="BY263" s="280">
        <v>116717</v>
      </c>
      <c r="BZ263" s="280">
        <v>111684</v>
      </c>
      <c r="CA263" s="280">
        <v>110808</v>
      </c>
      <c r="CB263" s="280">
        <v>112447</v>
      </c>
      <c r="CC263" s="280">
        <v>93596</v>
      </c>
      <c r="CD263" s="280">
        <v>88173</v>
      </c>
      <c r="CE263" s="280">
        <v>82884</v>
      </c>
      <c r="CF263" s="280">
        <v>73638</v>
      </c>
      <c r="CG263" s="280">
        <v>71149</v>
      </c>
      <c r="CH263" s="280">
        <v>65289</v>
      </c>
      <c r="CI263" s="280">
        <v>61035</v>
      </c>
      <c r="CJ263" s="280">
        <v>56532</v>
      </c>
      <c r="CK263" s="280">
        <v>51848</v>
      </c>
      <c r="CL263" s="280">
        <v>47480</v>
      </c>
      <c r="CM263" s="280">
        <v>42949</v>
      </c>
      <c r="CN263" s="280">
        <v>37654</v>
      </c>
      <c r="CO263" s="280">
        <v>33434</v>
      </c>
      <c r="CP263" s="280">
        <v>29904</v>
      </c>
      <c r="CQ263" s="280">
        <v>26296</v>
      </c>
      <c r="CR263" s="280">
        <v>23700</v>
      </c>
      <c r="CS263" s="280">
        <v>20209</v>
      </c>
      <c r="CT263" s="280">
        <v>16314</v>
      </c>
      <c r="CU263" s="280">
        <v>13362</v>
      </c>
      <c r="CV263" s="280">
        <v>10558</v>
      </c>
      <c r="CW263" s="280">
        <v>8117</v>
      </c>
      <c r="CX263" s="280">
        <v>5937</v>
      </c>
      <c r="CY263" s="280">
        <v>4225</v>
      </c>
      <c r="CZ263" s="280">
        <v>2932</v>
      </c>
      <c r="DA263" s="280">
        <v>5978</v>
      </c>
      <c r="DB263" s="276">
        <f t="shared" si="72"/>
        <v>13478153</v>
      </c>
      <c r="DC263" s="277">
        <f t="shared" si="73"/>
        <v>13.478153000000001</v>
      </c>
      <c r="DD263" s="279">
        <f t="shared" si="74"/>
        <v>1.6318444439652104E-2</v>
      </c>
    </row>
    <row r="264" spans="1:108" x14ac:dyDescent="0.2">
      <c r="A264" s="273"/>
      <c r="B264" s="273"/>
      <c r="C264" s="273"/>
      <c r="D264" s="274">
        <v>2023</v>
      </c>
      <c r="E264" s="280">
        <v>172007</v>
      </c>
      <c r="F264" s="280">
        <v>170154</v>
      </c>
      <c r="G264" s="280">
        <v>168899</v>
      </c>
      <c r="H264" s="280">
        <v>167695</v>
      </c>
      <c r="I264" s="280">
        <v>166391</v>
      </c>
      <c r="J264" s="280">
        <v>164972</v>
      </c>
      <c r="K264" s="280">
        <v>158438</v>
      </c>
      <c r="L264" s="280">
        <v>166110</v>
      </c>
      <c r="M264" s="280">
        <v>163565</v>
      </c>
      <c r="N264" s="280">
        <v>162994</v>
      </c>
      <c r="O264" s="280">
        <v>164492</v>
      </c>
      <c r="P264" s="280">
        <v>162798</v>
      </c>
      <c r="Q264" s="280">
        <v>162270</v>
      </c>
      <c r="R264" s="280">
        <v>163070</v>
      </c>
      <c r="S264" s="280">
        <v>160541</v>
      </c>
      <c r="T264" s="280">
        <v>161377</v>
      </c>
      <c r="U264" s="280">
        <v>160413</v>
      </c>
      <c r="V264" s="280">
        <v>156986</v>
      </c>
      <c r="W264" s="280">
        <v>154960</v>
      </c>
      <c r="X264" s="280">
        <v>158761</v>
      </c>
      <c r="Y264" s="280">
        <v>163663</v>
      </c>
      <c r="Z264" s="280">
        <v>168110</v>
      </c>
      <c r="AA264" s="280">
        <v>176252</v>
      </c>
      <c r="AB264" s="280">
        <v>184480</v>
      </c>
      <c r="AC264" s="280">
        <v>189448</v>
      </c>
      <c r="AD264" s="280">
        <v>193645</v>
      </c>
      <c r="AE264" s="280">
        <v>197298</v>
      </c>
      <c r="AF264" s="280">
        <v>199978</v>
      </c>
      <c r="AG264" s="280">
        <v>204511</v>
      </c>
      <c r="AH264" s="280">
        <v>205625</v>
      </c>
      <c r="AI264" s="280">
        <v>204165</v>
      </c>
      <c r="AJ264" s="280">
        <v>203934</v>
      </c>
      <c r="AK264" s="280">
        <v>206461</v>
      </c>
      <c r="AL264" s="280">
        <v>208078</v>
      </c>
      <c r="AM264" s="280">
        <v>204002</v>
      </c>
      <c r="AN264" s="280">
        <v>202538</v>
      </c>
      <c r="AO264" s="280">
        <v>199855</v>
      </c>
      <c r="AP264" s="280">
        <v>200335</v>
      </c>
      <c r="AQ264" s="280">
        <v>197244</v>
      </c>
      <c r="AR264" s="280">
        <v>195005</v>
      </c>
      <c r="AS264" s="280">
        <v>191960</v>
      </c>
      <c r="AT264" s="280">
        <v>184954</v>
      </c>
      <c r="AU264" s="280">
        <v>179623</v>
      </c>
      <c r="AV264" s="280">
        <v>172425</v>
      </c>
      <c r="AW264" s="280">
        <v>167009</v>
      </c>
      <c r="AX264" s="280">
        <v>163375</v>
      </c>
      <c r="AY264" s="280">
        <v>161559</v>
      </c>
      <c r="AZ264" s="280">
        <v>162108</v>
      </c>
      <c r="BA264" s="280">
        <v>162178</v>
      </c>
      <c r="BB264" s="280">
        <v>166259</v>
      </c>
      <c r="BC264" s="280">
        <v>169673</v>
      </c>
      <c r="BD264" s="280">
        <v>175494</v>
      </c>
      <c r="BE264" s="280">
        <v>178085</v>
      </c>
      <c r="BF264" s="280">
        <v>166294</v>
      </c>
      <c r="BG264" s="280">
        <v>164068</v>
      </c>
      <c r="BH264" s="280">
        <v>158255</v>
      </c>
      <c r="BI264" s="280">
        <v>153541</v>
      </c>
      <c r="BJ264" s="280">
        <v>153279</v>
      </c>
      <c r="BK264" s="280">
        <v>152731</v>
      </c>
      <c r="BL264" s="280">
        <v>158058</v>
      </c>
      <c r="BM264" s="280">
        <v>158899</v>
      </c>
      <c r="BN264" s="280">
        <v>157561</v>
      </c>
      <c r="BO264" s="280">
        <v>156927</v>
      </c>
      <c r="BP264" s="280">
        <v>152018</v>
      </c>
      <c r="BQ264" s="280">
        <v>147566</v>
      </c>
      <c r="BR264" s="280">
        <v>145227</v>
      </c>
      <c r="BS264" s="280">
        <v>140561</v>
      </c>
      <c r="BT264" s="280">
        <v>137423</v>
      </c>
      <c r="BU264" s="280">
        <v>132482</v>
      </c>
      <c r="BV264" s="280">
        <v>128928</v>
      </c>
      <c r="BW264" s="280">
        <v>126040</v>
      </c>
      <c r="BX264" s="280">
        <v>121162</v>
      </c>
      <c r="BY264" s="280">
        <v>119113</v>
      </c>
      <c r="BZ264" s="280">
        <v>115336</v>
      </c>
      <c r="CA264" s="280">
        <v>110182</v>
      </c>
      <c r="CB264" s="280">
        <v>109124</v>
      </c>
      <c r="CC264" s="280">
        <v>110520</v>
      </c>
      <c r="CD264" s="280">
        <v>91782</v>
      </c>
      <c r="CE264" s="280">
        <v>86242</v>
      </c>
      <c r="CF264" s="280">
        <v>80827</v>
      </c>
      <c r="CG264" s="280">
        <v>71558</v>
      </c>
      <c r="CH264" s="280">
        <v>68850</v>
      </c>
      <c r="CI264" s="280">
        <v>62862</v>
      </c>
      <c r="CJ264" s="280">
        <v>58415</v>
      </c>
      <c r="CK264" s="280">
        <v>53730</v>
      </c>
      <c r="CL264" s="280">
        <v>48870</v>
      </c>
      <c r="CM264" s="280">
        <v>44346</v>
      </c>
      <c r="CN264" s="280">
        <v>39699</v>
      </c>
      <c r="CO264" s="280">
        <v>34369</v>
      </c>
      <c r="CP264" s="280">
        <v>30106</v>
      </c>
      <c r="CQ264" s="280">
        <v>26515</v>
      </c>
      <c r="CR264" s="280">
        <v>22922</v>
      </c>
      <c r="CS264" s="280">
        <v>20267</v>
      </c>
      <c r="CT264" s="280">
        <v>16906</v>
      </c>
      <c r="CU264" s="280">
        <v>13326</v>
      </c>
      <c r="CV264" s="280">
        <v>10636</v>
      </c>
      <c r="CW264" s="280">
        <v>8173</v>
      </c>
      <c r="CX264" s="280">
        <v>6100</v>
      </c>
      <c r="CY264" s="280">
        <v>4330</v>
      </c>
      <c r="CZ264" s="280">
        <v>3017</v>
      </c>
      <c r="DA264" s="280">
        <v>6431</v>
      </c>
      <c r="DB264" s="276">
        <f t="shared" si="72"/>
        <v>13691796</v>
      </c>
      <c r="DC264" s="277">
        <f t="shared" si="73"/>
        <v>13.691796</v>
      </c>
      <c r="DD264" s="279">
        <f t="shared" si="74"/>
        <v>1.5851059117669857E-2</v>
      </c>
    </row>
    <row r="265" spans="1:108" x14ac:dyDescent="0.2">
      <c r="A265" s="273"/>
      <c r="B265" s="273"/>
      <c r="C265" s="273"/>
      <c r="D265" s="274">
        <v>2024</v>
      </c>
      <c r="E265" s="280">
        <v>174363</v>
      </c>
      <c r="F265" s="280">
        <v>172713</v>
      </c>
      <c r="G265" s="280">
        <v>171643</v>
      </c>
      <c r="H265" s="280">
        <v>170617</v>
      </c>
      <c r="I265" s="280">
        <v>169466</v>
      </c>
      <c r="J265" s="280">
        <v>168108</v>
      </c>
      <c r="K265" s="280">
        <v>166513</v>
      </c>
      <c r="L265" s="280">
        <v>159771</v>
      </c>
      <c r="M265" s="280">
        <v>167332</v>
      </c>
      <c r="N265" s="280">
        <v>164739</v>
      </c>
      <c r="O265" s="280">
        <v>164118</v>
      </c>
      <c r="P265" s="280">
        <v>165558</v>
      </c>
      <c r="Q265" s="280">
        <v>163844</v>
      </c>
      <c r="R265" s="280">
        <v>163333</v>
      </c>
      <c r="S265" s="280">
        <v>164278</v>
      </c>
      <c r="T265" s="280">
        <v>162146</v>
      </c>
      <c r="U265" s="280">
        <v>163393</v>
      </c>
      <c r="V265" s="280">
        <v>163183</v>
      </c>
      <c r="W265" s="280">
        <v>161787</v>
      </c>
      <c r="X265" s="280">
        <v>161636</v>
      </c>
      <c r="Y265" s="280">
        <v>165186</v>
      </c>
      <c r="Z265" s="280">
        <v>169244</v>
      </c>
      <c r="AA265" s="280">
        <v>174733</v>
      </c>
      <c r="AB265" s="280">
        <v>184181</v>
      </c>
      <c r="AC265" s="280">
        <v>191349</v>
      </c>
      <c r="AD265" s="280">
        <v>194709</v>
      </c>
      <c r="AE265" s="280">
        <v>198314</v>
      </c>
      <c r="AF265" s="280">
        <v>201684</v>
      </c>
      <c r="AG265" s="280">
        <v>204013</v>
      </c>
      <c r="AH265" s="280">
        <v>208162</v>
      </c>
      <c r="AI265" s="280">
        <v>208932</v>
      </c>
      <c r="AJ265" s="280">
        <v>206999</v>
      </c>
      <c r="AK265" s="280">
        <v>206391</v>
      </c>
      <c r="AL265" s="280">
        <v>208831</v>
      </c>
      <c r="AM265" s="280">
        <v>210323</v>
      </c>
      <c r="AN265" s="280">
        <v>205964</v>
      </c>
      <c r="AO265" s="280">
        <v>204248</v>
      </c>
      <c r="AP265" s="280">
        <v>201380</v>
      </c>
      <c r="AQ265" s="280">
        <v>201685</v>
      </c>
      <c r="AR265" s="280">
        <v>198468</v>
      </c>
      <c r="AS265" s="280">
        <v>196126</v>
      </c>
      <c r="AT265" s="280">
        <v>192935</v>
      </c>
      <c r="AU265" s="280">
        <v>185787</v>
      </c>
      <c r="AV265" s="280">
        <v>180356</v>
      </c>
      <c r="AW265" s="280">
        <v>173070</v>
      </c>
      <c r="AX265" s="280">
        <v>167531</v>
      </c>
      <c r="AY265" s="280">
        <v>163781</v>
      </c>
      <c r="AZ265" s="280">
        <v>161859</v>
      </c>
      <c r="BA265" s="280">
        <v>162281</v>
      </c>
      <c r="BB265" s="280">
        <v>162271</v>
      </c>
      <c r="BC265" s="280">
        <v>166269</v>
      </c>
      <c r="BD265" s="280">
        <v>169607</v>
      </c>
      <c r="BE265" s="280">
        <v>175394</v>
      </c>
      <c r="BF265" s="280">
        <v>177953</v>
      </c>
      <c r="BG265" s="280">
        <v>166157</v>
      </c>
      <c r="BH265" s="280">
        <v>163889</v>
      </c>
      <c r="BI265" s="280">
        <v>158033</v>
      </c>
      <c r="BJ265" s="280">
        <v>153331</v>
      </c>
      <c r="BK265" s="280">
        <v>153072</v>
      </c>
      <c r="BL265" s="280">
        <v>152516</v>
      </c>
      <c r="BM265" s="280">
        <v>157799</v>
      </c>
      <c r="BN265" s="280">
        <v>158602</v>
      </c>
      <c r="BO265" s="280">
        <v>157211</v>
      </c>
      <c r="BP265" s="280">
        <v>156497</v>
      </c>
      <c r="BQ265" s="280">
        <v>151528</v>
      </c>
      <c r="BR265" s="280">
        <v>146985</v>
      </c>
      <c r="BS265" s="280">
        <v>144548</v>
      </c>
      <c r="BT265" s="280">
        <v>139814</v>
      </c>
      <c r="BU265" s="280">
        <v>136586</v>
      </c>
      <c r="BV265" s="280">
        <v>131557</v>
      </c>
      <c r="BW265" s="280">
        <v>127896</v>
      </c>
      <c r="BX265" s="280">
        <v>124890</v>
      </c>
      <c r="BY265" s="280">
        <v>119909</v>
      </c>
      <c r="BZ265" s="280">
        <v>117713</v>
      </c>
      <c r="CA265" s="280">
        <v>113794</v>
      </c>
      <c r="CB265" s="280">
        <v>108521</v>
      </c>
      <c r="CC265" s="280">
        <v>107268</v>
      </c>
      <c r="CD265" s="280">
        <v>108390</v>
      </c>
      <c r="CE265" s="280">
        <v>89785</v>
      </c>
      <c r="CF265" s="280">
        <v>84116</v>
      </c>
      <c r="CG265" s="280">
        <v>78558</v>
      </c>
      <c r="CH265" s="280">
        <v>69259</v>
      </c>
      <c r="CI265" s="280">
        <v>66303</v>
      </c>
      <c r="CJ265" s="280">
        <v>60178</v>
      </c>
      <c r="CK265" s="280">
        <v>55535</v>
      </c>
      <c r="CL265" s="280">
        <v>50658</v>
      </c>
      <c r="CM265" s="280">
        <v>45658</v>
      </c>
      <c r="CN265" s="280">
        <v>41003</v>
      </c>
      <c r="CO265" s="280">
        <v>36249</v>
      </c>
      <c r="CP265" s="280">
        <v>30960</v>
      </c>
      <c r="CQ265" s="280">
        <v>26706</v>
      </c>
      <c r="CR265" s="280">
        <v>23124</v>
      </c>
      <c r="CS265" s="280">
        <v>19611</v>
      </c>
      <c r="CT265" s="280">
        <v>16962</v>
      </c>
      <c r="CU265" s="280">
        <v>13816</v>
      </c>
      <c r="CV265" s="280">
        <v>10610</v>
      </c>
      <c r="CW265" s="280">
        <v>8235</v>
      </c>
      <c r="CX265" s="280">
        <v>6143</v>
      </c>
      <c r="CY265" s="280">
        <v>4450</v>
      </c>
      <c r="CZ265" s="280">
        <v>3091</v>
      </c>
      <c r="DA265" s="280">
        <v>6824</v>
      </c>
      <c r="DB265" s="276">
        <f t="shared" si="72"/>
        <v>13902897</v>
      </c>
      <c r="DC265" s="277">
        <f t="shared" si="73"/>
        <v>13.902896999999999</v>
      </c>
      <c r="DD265" s="279">
        <f t="shared" si="74"/>
        <v>1.5418064949258615E-2</v>
      </c>
    </row>
    <row r="266" spans="1:108" x14ac:dyDescent="0.2">
      <c r="A266" s="273"/>
      <c r="B266" s="273"/>
      <c r="C266" s="273"/>
      <c r="D266" s="274">
        <v>2025</v>
      </c>
      <c r="E266" s="280">
        <v>176503</v>
      </c>
      <c r="F266" s="280">
        <v>175047</v>
      </c>
      <c r="G266" s="280">
        <v>174161</v>
      </c>
      <c r="H266" s="280">
        <v>173312</v>
      </c>
      <c r="I266" s="280">
        <v>172337</v>
      </c>
      <c r="J266" s="280">
        <v>171133</v>
      </c>
      <c r="K266" s="280">
        <v>169605</v>
      </c>
      <c r="L266" s="280">
        <v>167807</v>
      </c>
      <c r="M266" s="280">
        <v>160958</v>
      </c>
      <c r="N266" s="280">
        <v>168472</v>
      </c>
      <c r="O266" s="280">
        <v>165830</v>
      </c>
      <c r="P266" s="280">
        <v>165153</v>
      </c>
      <c r="Q266" s="280">
        <v>166574</v>
      </c>
      <c r="R266" s="280">
        <v>164878</v>
      </c>
      <c r="S266" s="280">
        <v>164506</v>
      </c>
      <c r="T266" s="280">
        <v>165837</v>
      </c>
      <c r="U266" s="280">
        <v>164104</v>
      </c>
      <c r="V266" s="280">
        <v>166082</v>
      </c>
      <c r="W266" s="280">
        <v>167845</v>
      </c>
      <c r="X266" s="280">
        <v>168270</v>
      </c>
      <c r="Y266" s="280">
        <v>167879</v>
      </c>
      <c r="Z266" s="280">
        <v>170607</v>
      </c>
      <c r="AA266" s="280">
        <v>175677</v>
      </c>
      <c r="AB266" s="280">
        <v>182436</v>
      </c>
      <c r="AC266" s="280">
        <v>190853</v>
      </c>
      <c r="AD266" s="280">
        <v>196458</v>
      </c>
      <c r="AE266" s="280">
        <v>199243</v>
      </c>
      <c r="AF266" s="280">
        <v>202573</v>
      </c>
      <c r="AG266" s="280">
        <v>205602</v>
      </c>
      <c r="AH266" s="280">
        <v>207558</v>
      </c>
      <c r="AI266" s="280">
        <v>211372</v>
      </c>
      <c r="AJ266" s="280">
        <v>211682</v>
      </c>
      <c r="AK266" s="280">
        <v>209383</v>
      </c>
      <c r="AL266" s="280">
        <v>208691</v>
      </c>
      <c r="AM266" s="280">
        <v>211009</v>
      </c>
      <c r="AN266" s="280">
        <v>212225</v>
      </c>
      <c r="AO266" s="280">
        <v>207618</v>
      </c>
      <c r="AP266" s="280">
        <v>205725</v>
      </c>
      <c r="AQ266" s="280">
        <v>202687</v>
      </c>
      <c r="AR266" s="280">
        <v>202867</v>
      </c>
      <c r="AS266" s="280">
        <v>199550</v>
      </c>
      <c r="AT266" s="280">
        <v>197065</v>
      </c>
      <c r="AU266" s="280">
        <v>193732</v>
      </c>
      <c r="AV266" s="280">
        <v>186488</v>
      </c>
      <c r="AW266" s="280">
        <v>180971</v>
      </c>
      <c r="AX266" s="280">
        <v>173565</v>
      </c>
      <c r="AY266" s="280">
        <v>167915</v>
      </c>
      <c r="AZ266" s="280">
        <v>164064</v>
      </c>
      <c r="BA266" s="280">
        <v>162021</v>
      </c>
      <c r="BB266" s="280">
        <v>162364</v>
      </c>
      <c r="BC266" s="280">
        <v>162280</v>
      </c>
      <c r="BD266" s="280">
        <v>166203</v>
      </c>
      <c r="BE266" s="280">
        <v>169512</v>
      </c>
      <c r="BF266" s="280">
        <v>175261</v>
      </c>
      <c r="BG266" s="280">
        <v>177782</v>
      </c>
      <c r="BH266" s="280">
        <v>165967</v>
      </c>
      <c r="BI266" s="280">
        <v>163647</v>
      </c>
      <c r="BJ266" s="280">
        <v>157803</v>
      </c>
      <c r="BK266" s="280">
        <v>153119</v>
      </c>
      <c r="BL266" s="280">
        <v>152850</v>
      </c>
      <c r="BM266" s="280">
        <v>152270</v>
      </c>
      <c r="BN266" s="280">
        <v>157500</v>
      </c>
      <c r="BO266" s="280">
        <v>158242</v>
      </c>
      <c r="BP266" s="280">
        <v>156778</v>
      </c>
      <c r="BQ266" s="280">
        <v>155984</v>
      </c>
      <c r="BR266" s="280">
        <v>150926</v>
      </c>
      <c r="BS266" s="280">
        <v>146298</v>
      </c>
      <c r="BT266" s="280">
        <v>143778</v>
      </c>
      <c r="BU266" s="280">
        <v>138963</v>
      </c>
      <c r="BV266" s="280">
        <v>135633</v>
      </c>
      <c r="BW266" s="280">
        <v>130509</v>
      </c>
      <c r="BX266" s="280">
        <v>126735</v>
      </c>
      <c r="BY266" s="280">
        <v>123605</v>
      </c>
      <c r="BZ266" s="280">
        <v>118509</v>
      </c>
      <c r="CA266" s="280">
        <v>116148</v>
      </c>
      <c r="CB266" s="280">
        <v>112089</v>
      </c>
      <c r="CC266" s="280">
        <v>106688</v>
      </c>
      <c r="CD266" s="280">
        <v>105216</v>
      </c>
      <c r="CE266" s="280">
        <v>106046</v>
      </c>
      <c r="CF266" s="280">
        <v>87585</v>
      </c>
      <c r="CG266" s="280">
        <v>81770</v>
      </c>
      <c r="CH266" s="280">
        <v>76048</v>
      </c>
      <c r="CI266" s="280">
        <v>66712</v>
      </c>
      <c r="CJ266" s="280">
        <v>63487</v>
      </c>
      <c r="CK266" s="280">
        <v>57224</v>
      </c>
      <c r="CL266" s="280">
        <v>52375</v>
      </c>
      <c r="CM266" s="280">
        <v>47343</v>
      </c>
      <c r="CN266" s="280">
        <v>42229</v>
      </c>
      <c r="CO266" s="280">
        <v>37455</v>
      </c>
      <c r="CP266" s="280">
        <v>32668</v>
      </c>
      <c r="CQ266" s="280">
        <v>27477</v>
      </c>
      <c r="CR266" s="280">
        <v>23301</v>
      </c>
      <c r="CS266" s="280">
        <v>19793</v>
      </c>
      <c r="CT266" s="280">
        <v>16420</v>
      </c>
      <c r="CU266" s="280">
        <v>13866</v>
      </c>
      <c r="CV266" s="280">
        <v>11004</v>
      </c>
      <c r="CW266" s="280">
        <v>8215</v>
      </c>
      <c r="CX266" s="280">
        <v>6190</v>
      </c>
      <c r="CY266" s="280">
        <v>4481</v>
      </c>
      <c r="CZ266" s="280">
        <v>3177</v>
      </c>
      <c r="DA266" s="280">
        <v>7167</v>
      </c>
      <c r="DB266" s="276">
        <f t="shared" si="72"/>
        <v>14110622</v>
      </c>
      <c r="DC266" s="277">
        <f t="shared" si="73"/>
        <v>14.110621999999999</v>
      </c>
      <c r="DD266" s="279">
        <f t="shared" si="74"/>
        <v>1.4941130614720079E-2</v>
      </c>
    </row>
    <row r="267" spans="1:108" x14ac:dyDescent="0.2">
      <c r="A267" s="273"/>
      <c r="B267" s="273"/>
      <c r="C267" s="273"/>
      <c r="D267" s="274">
        <v>2026</v>
      </c>
      <c r="E267" s="280">
        <v>178440</v>
      </c>
      <c r="F267" s="280">
        <v>177167</v>
      </c>
      <c r="G267" s="280">
        <v>176457</v>
      </c>
      <c r="H267" s="280">
        <v>175787</v>
      </c>
      <c r="I267" s="280">
        <v>174988</v>
      </c>
      <c r="J267" s="280">
        <v>173962</v>
      </c>
      <c r="K267" s="280">
        <v>172592</v>
      </c>
      <c r="L267" s="280">
        <v>170867</v>
      </c>
      <c r="M267" s="280">
        <v>168965</v>
      </c>
      <c r="N267" s="280">
        <v>162072</v>
      </c>
      <c r="O267" s="280">
        <v>169536</v>
      </c>
      <c r="P267" s="280">
        <v>166841</v>
      </c>
      <c r="Q267" s="280">
        <v>166143</v>
      </c>
      <c r="R267" s="280">
        <v>167581</v>
      </c>
      <c r="S267" s="280">
        <v>166021</v>
      </c>
      <c r="T267" s="280">
        <v>166025</v>
      </c>
      <c r="U267" s="280">
        <v>167744</v>
      </c>
      <c r="V267" s="280">
        <v>166725</v>
      </c>
      <c r="W267" s="280">
        <v>170625</v>
      </c>
      <c r="X267" s="280">
        <v>174163</v>
      </c>
      <c r="Y267" s="280">
        <v>174353</v>
      </c>
      <c r="Z267" s="280">
        <v>173163</v>
      </c>
      <c r="AA267" s="280">
        <v>176877</v>
      </c>
      <c r="AB267" s="280">
        <v>183185</v>
      </c>
      <c r="AC267" s="280">
        <v>188944</v>
      </c>
      <c r="AD267" s="280">
        <v>195833</v>
      </c>
      <c r="AE267" s="280">
        <v>200878</v>
      </c>
      <c r="AF267" s="280">
        <v>203396</v>
      </c>
      <c r="AG267" s="280">
        <v>206393</v>
      </c>
      <c r="AH267" s="280">
        <v>209058</v>
      </c>
      <c r="AI267" s="280">
        <v>210684</v>
      </c>
      <c r="AJ267" s="280">
        <v>214050</v>
      </c>
      <c r="AK267" s="280">
        <v>214005</v>
      </c>
      <c r="AL267" s="280">
        <v>211619</v>
      </c>
      <c r="AM267" s="280">
        <v>210814</v>
      </c>
      <c r="AN267" s="280">
        <v>212861</v>
      </c>
      <c r="AO267" s="280">
        <v>213833</v>
      </c>
      <c r="AP267" s="280">
        <v>209053</v>
      </c>
      <c r="AQ267" s="280">
        <v>206993</v>
      </c>
      <c r="AR267" s="280">
        <v>203835</v>
      </c>
      <c r="AS267" s="280">
        <v>203915</v>
      </c>
      <c r="AT267" s="280">
        <v>200459</v>
      </c>
      <c r="AU267" s="280">
        <v>197834</v>
      </c>
      <c r="AV267" s="280">
        <v>194404</v>
      </c>
      <c r="AW267" s="280">
        <v>187078</v>
      </c>
      <c r="AX267" s="280">
        <v>181439</v>
      </c>
      <c r="AY267" s="280">
        <v>173926</v>
      </c>
      <c r="AZ267" s="280">
        <v>168179</v>
      </c>
      <c r="BA267" s="280">
        <v>164214</v>
      </c>
      <c r="BB267" s="280">
        <v>162096</v>
      </c>
      <c r="BC267" s="280">
        <v>162365</v>
      </c>
      <c r="BD267" s="280">
        <v>162215</v>
      </c>
      <c r="BE267" s="280">
        <v>166110</v>
      </c>
      <c r="BF267" s="280">
        <v>169389</v>
      </c>
      <c r="BG267" s="280">
        <v>175091</v>
      </c>
      <c r="BH267" s="280">
        <v>177557</v>
      </c>
      <c r="BI267" s="280">
        <v>165714</v>
      </c>
      <c r="BJ267" s="280">
        <v>163396</v>
      </c>
      <c r="BK267" s="280">
        <v>157573</v>
      </c>
      <c r="BL267" s="280">
        <v>152889</v>
      </c>
      <c r="BM267" s="280">
        <v>152598</v>
      </c>
      <c r="BN267" s="280">
        <v>151988</v>
      </c>
      <c r="BO267" s="280">
        <v>157140</v>
      </c>
      <c r="BP267" s="280">
        <v>157799</v>
      </c>
      <c r="BQ267" s="280">
        <v>156263</v>
      </c>
      <c r="BR267" s="280">
        <v>155358</v>
      </c>
      <c r="BS267" s="280">
        <v>150219</v>
      </c>
      <c r="BT267" s="280">
        <v>145519</v>
      </c>
      <c r="BU267" s="280">
        <v>142903</v>
      </c>
      <c r="BV267" s="280">
        <v>137998</v>
      </c>
      <c r="BW267" s="280">
        <v>134556</v>
      </c>
      <c r="BX267" s="280">
        <v>129330</v>
      </c>
      <c r="BY267" s="280">
        <v>125438</v>
      </c>
      <c r="BZ267" s="280">
        <v>122169</v>
      </c>
      <c r="CA267" s="280">
        <v>116946</v>
      </c>
      <c r="CB267" s="280">
        <v>114420</v>
      </c>
      <c r="CC267" s="280">
        <v>110209</v>
      </c>
      <c r="CD267" s="280">
        <v>104661</v>
      </c>
      <c r="CE267" s="280">
        <v>102958</v>
      </c>
      <c r="CF267" s="280">
        <v>103463</v>
      </c>
      <c r="CG267" s="280">
        <v>85155</v>
      </c>
      <c r="CH267" s="280">
        <v>79173</v>
      </c>
      <c r="CI267" s="280">
        <v>73266</v>
      </c>
      <c r="CJ267" s="280">
        <v>63893</v>
      </c>
      <c r="CK267" s="280">
        <v>60386</v>
      </c>
      <c r="CL267" s="280">
        <v>53982</v>
      </c>
      <c r="CM267" s="280">
        <v>48962</v>
      </c>
      <c r="CN267" s="280">
        <v>43803</v>
      </c>
      <c r="CO267" s="280">
        <v>38589</v>
      </c>
      <c r="CP267" s="280">
        <v>33769</v>
      </c>
      <c r="CQ267" s="280">
        <v>29005</v>
      </c>
      <c r="CR267" s="280">
        <v>23985</v>
      </c>
      <c r="CS267" s="280">
        <v>19955</v>
      </c>
      <c r="CT267" s="280">
        <v>16580</v>
      </c>
      <c r="CU267" s="280">
        <v>13428</v>
      </c>
      <c r="CV267" s="280">
        <v>11046</v>
      </c>
      <c r="CW267" s="280">
        <v>8522</v>
      </c>
      <c r="CX267" s="280">
        <v>6176</v>
      </c>
      <c r="CY267" s="280">
        <v>4516</v>
      </c>
      <c r="CZ267" s="280">
        <v>3200</v>
      </c>
      <c r="DA267" s="280">
        <v>7480</v>
      </c>
      <c r="DB267" s="276">
        <f t="shared" si="72"/>
        <v>14315177</v>
      </c>
      <c r="DC267" s="277">
        <f t="shared" si="73"/>
        <v>14.315177</v>
      </c>
      <c r="DD267" s="279">
        <f t="shared" si="74"/>
        <v>1.4496526092187923E-2</v>
      </c>
    </row>
    <row r="268" spans="1:108" x14ac:dyDescent="0.2">
      <c r="A268" s="273"/>
      <c r="B268" s="273"/>
      <c r="C268" s="273"/>
      <c r="D268" s="274">
        <v>2027</v>
      </c>
      <c r="E268" s="280">
        <v>180176</v>
      </c>
      <c r="F268" s="280">
        <v>179085</v>
      </c>
      <c r="G268" s="280">
        <v>178534</v>
      </c>
      <c r="H268" s="280">
        <v>178034</v>
      </c>
      <c r="I268" s="280">
        <v>177412</v>
      </c>
      <c r="J268" s="280">
        <v>176563</v>
      </c>
      <c r="K268" s="280">
        <v>175376</v>
      </c>
      <c r="L268" s="280">
        <v>173815</v>
      </c>
      <c r="M268" s="280">
        <v>171990</v>
      </c>
      <c r="N268" s="280">
        <v>170044</v>
      </c>
      <c r="O268" s="280">
        <v>163105</v>
      </c>
      <c r="P268" s="280">
        <v>170516</v>
      </c>
      <c r="Q268" s="280">
        <v>167801</v>
      </c>
      <c r="R268" s="280">
        <v>167119</v>
      </c>
      <c r="S268" s="280">
        <v>168689</v>
      </c>
      <c r="T268" s="280">
        <v>167493</v>
      </c>
      <c r="U268" s="280">
        <v>167874</v>
      </c>
      <c r="V268" s="280">
        <v>170285</v>
      </c>
      <c r="W268" s="280">
        <v>171130</v>
      </c>
      <c r="X268" s="280">
        <v>176752</v>
      </c>
      <c r="Y268" s="280">
        <v>180061</v>
      </c>
      <c r="Z268" s="280">
        <v>179475</v>
      </c>
      <c r="AA268" s="280">
        <v>179242</v>
      </c>
      <c r="AB268" s="280">
        <v>184157</v>
      </c>
      <c r="AC268" s="280">
        <v>189495</v>
      </c>
      <c r="AD268" s="280">
        <v>193774</v>
      </c>
      <c r="AE268" s="280">
        <v>200120</v>
      </c>
      <c r="AF268" s="280">
        <v>204904</v>
      </c>
      <c r="AG268" s="280">
        <v>207100</v>
      </c>
      <c r="AH268" s="280">
        <v>209743</v>
      </c>
      <c r="AI268" s="280">
        <v>212090</v>
      </c>
      <c r="AJ268" s="280">
        <v>213279</v>
      </c>
      <c r="AK268" s="280">
        <v>216299</v>
      </c>
      <c r="AL268" s="280">
        <v>216170</v>
      </c>
      <c r="AM268" s="280">
        <v>213674</v>
      </c>
      <c r="AN268" s="280">
        <v>212607</v>
      </c>
      <c r="AO268" s="280">
        <v>214416</v>
      </c>
      <c r="AP268" s="280">
        <v>215218</v>
      </c>
      <c r="AQ268" s="280">
        <v>210277</v>
      </c>
      <c r="AR268" s="280">
        <v>208099</v>
      </c>
      <c r="AS268" s="280">
        <v>204846</v>
      </c>
      <c r="AT268" s="280">
        <v>204788</v>
      </c>
      <c r="AU268" s="280">
        <v>201197</v>
      </c>
      <c r="AV268" s="280">
        <v>198478</v>
      </c>
      <c r="AW268" s="280">
        <v>194960</v>
      </c>
      <c r="AX268" s="280">
        <v>187519</v>
      </c>
      <c r="AY268" s="280">
        <v>181773</v>
      </c>
      <c r="AZ268" s="280">
        <v>174171</v>
      </c>
      <c r="BA268" s="280">
        <v>168310</v>
      </c>
      <c r="BB268" s="280">
        <v>164276</v>
      </c>
      <c r="BC268" s="280">
        <v>162091</v>
      </c>
      <c r="BD268" s="280">
        <v>162294</v>
      </c>
      <c r="BE268" s="280">
        <v>162122</v>
      </c>
      <c r="BF268" s="280">
        <v>165985</v>
      </c>
      <c r="BG268" s="280">
        <v>169227</v>
      </c>
      <c r="BH268" s="280">
        <v>174868</v>
      </c>
      <c r="BI268" s="280">
        <v>177270</v>
      </c>
      <c r="BJ268" s="280">
        <v>165450</v>
      </c>
      <c r="BK268" s="280">
        <v>163141</v>
      </c>
      <c r="BL268" s="280">
        <v>157321</v>
      </c>
      <c r="BM268" s="280">
        <v>152629</v>
      </c>
      <c r="BN268" s="280">
        <v>152308</v>
      </c>
      <c r="BO268" s="280">
        <v>151645</v>
      </c>
      <c r="BP268" s="280">
        <v>156697</v>
      </c>
      <c r="BQ268" s="280">
        <v>157273</v>
      </c>
      <c r="BR268" s="280">
        <v>155633</v>
      </c>
      <c r="BS268" s="280">
        <v>154624</v>
      </c>
      <c r="BT268" s="280">
        <v>149416</v>
      </c>
      <c r="BU268" s="280">
        <v>144633</v>
      </c>
      <c r="BV268" s="280">
        <v>141908</v>
      </c>
      <c r="BW268" s="280">
        <v>136903</v>
      </c>
      <c r="BX268" s="280">
        <v>133343</v>
      </c>
      <c r="BY268" s="280">
        <v>128009</v>
      </c>
      <c r="BZ268" s="280">
        <v>123987</v>
      </c>
      <c r="CA268" s="280">
        <v>120564</v>
      </c>
      <c r="CB268" s="280">
        <v>115211</v>
      </c>
      <c r="CC268" s="280">
        <v>112508</v>
      </c>
      <c r="CD268" s="280">
        <v>108121</v>
      </c>
      <c r="CE268" s="280">
        <v>102421</v>
      </c>
      <c r="CF268" s="280">
        <v>100460</v>
      </c>
      <c r="CG268" s="280">
        <v>100600</v>
      </c>
      <c r="CH268" s="280">
        <v>82458</v>
      </c>
      <c r="CI268" s="280">
        <v>76286</v>
      </c>
      <c r="CJ268" s="280">
        <v>70178</v>
      </c>
      <c r="CK268" s="280">
        <v>60780</v>
      </c>
      <c r="CL268" s="280">
        <v>56974</v>
      </c>
      <c r="CM268" s="280">
        <v>50473</v>
      </c>
      <c r="CN268" s="280">
        <v>45309</v>
      </c>
      <c r="CO268" s="280">
        <v>40036</v>
      </c>
      <c r="CP268" s="280">
        <v>34799</v>
      </c>
      <c r="CQ268" s="280">
        <v>29991</v>
      </c>
      <c r="CR268" s="280">
        <v>25326</v>
      </c>
      <c r="CS268" s="280">
        <v>20546</v>
      </c>
      <c r="CT268" s="280">
        <v>16721</v>
      </c>
      <c r="CU268" s="280">
        <v>13562</v>
      </c>
      <c r="CV268" s="280">
        <v>10699</v>
      </c>
      <c r="CW268" s="280">
        <v>8556</v>
      </c>
      <c r="CX268" s="280">
        <v>6407</v>
      </c>
      <c r="CY268" s="280">
        <v>4506</v>
      </c>
      <c r="CZ268" s="280">
        <v>3225</v>
      </c>
      <c r="DA268" s="280">
        <v>7726</v>
      </c>
      <c r="DB268" s="276">
        <f t="shared" si="72"/>
        <v>14515531</v>
      </c>
      <c r="DC268" s="277">
        <f t="shared" si="73"/>
        <v>14.515530999999999</v>
      </c>
      <c r="DD268" s="279">
        <f t="shared" si="74"/>
        <v>1.3995914964935399E-2</v>
      </c>
    </row>
    <row r="269" spans="1:108" x14ac:dyDescent="0.2">
      <c r="A269" s="273"/>
      <c r="B269" s="273"/>
      <c r="C269" s="273"/>
      <c r="D269" s="274">
        <v>2028</v>
      </c>
      <c r="E269" s="280">
        <v>181725</v>
      </c>
      <c r="F269" s="280">
        <v>180822</v>
      </c>
      <c r="G269" s="280">
        <v>180452</v>
      </c>
      <c r="H269" s="280">
        <v>180110</v>
      </c>
      <c r="I269" s="280">
        <v>179659</v>
      </c>
      <c r="J269" s="280">
        <v>178987</v>
      </c>
      <c r="K269" s="280">
        <v>177977</v>
      </c>
      <c r="L269" s="280">
        <v>176599</v>
      </c>
      <c r="M269" s="280">
        <v>174938</v>
      </c>
      <c r="N269" s="280">
        <v>173069</v>
      </c>
      <c r="O269" s="280">
        <v>171076</v>
      </c>
      <c r="P269" s="280">
        <v>164087</v>
      </c>
      <c r="Q269" s="280">
        <v>171475</v>
      </c>
      <c r="R269" s="280">
        <v>168777</v>
      </c>
      <c r="S269" s="280">
        <v>168227</v>
      </c>
      <c r="T269" s="280">
        <v>170161</v>
      </c>
      <c r="U269" s="280">
        <v>169342</v>
      </c>
      <c r="V269" s="280">
        <v>170413</v>
      </c>
      <c r="W269" s="280">
        <v>174693</v>
      </c>
      <c r="X269" s="280">
        <v>177257</v>
      </c>
      <c r="Y269" s="280">
        <v>182650</v>
      </c>
      <c r="Z269" s="280">
        <v>185182</v>
      </c>
      <c r="AA269" s="280">
        <v>185555</v>
      </c>
      <c r="AB269" s="280">
        <v>186522</v>
      </c>
      <c r="AC269" s="280">
        <v>190467</v>
      </c>
      <c r="AD269" s="280">
        <v>194324</v>
      </c>
      <c r="AE269" s="280">
        <v>198061</v>
      </c>
      <c r="AF269" s="280">
        <v>204146</v>
      </c>
      <c r="AG269" s="280">
        <v>208607</v>
      </c>
      <c r="AH269" s="280">
        <v>210450</v>
      </c>
      <c r="AI269" s="280">
        <v>212774</v>
      </c>
      <c r="AJ269" s="280">
        <v>214685</v>
      </c>
      <c r="AK269" s="280">
        <v>215528</v>
      </c>
      <c r="AL269" s="280">
        <v>218463</v>
      </c>
      <c r="AM269" s="280">
        <v>218223</v>
      </c>
      <c r="AN269" s="280">
        <v>215465</v>
      </c>
      <c r="AO269" s="280">
        <v>214167</v>
      </c>
      <c r="AP269" s="280">
        <v>215801</v>
      </c>
      <c r="AQ269" s="280">
        <v>216438</v>
      </c>
      <c r="AR269" s="280">
        <v>211381</v>
      </c>
      <c r="AS269" s="280">
        <v>209107</v>
      </c>
      <c r="AT269" s="280">
        <v>205718</v>
      </c>
      <c r="AU269" s="280">
        <v>205522</v>
      </c>
      <c r="AV269" s="280">
        <v>201837</v>
      </c>
      <c r="AW269" s="280">
        <v>199030</v>
      </c>
      <c r="AX269" s="280">
        <v>195392</v>
      </c>
      <c r="AY269" s="280">
        <v>187846</v>
      </c>
      <c r="AZ269" s="280">
        <v>182007</v>
      </c>
      <c r="BA269" s="280">
        <v>174294</v>
      </c>
      <c r="BB269" s="280">
        <v>168366</v>
      </c>
      <c r="BC269" s="280">
        <v>164269</v>
      </c>
      <c r="BD269" s="280">
        <v>162021</v>
      </c>
      <c r="BE269" s="280">
        <v>162201</v>
      </c>
      <c r="BF269" s="280">
        <v>162006</v>
      </c>
      <c r="BG269" s="280">
        <v>165831</v>
      </c>
      <c r="BH269" s="280">
        <v>169019</v>
      </c>
      <c r="BI269" s="280">
        <v>174590</v>
      </c>
      <c r="BJ269" s="280">
        <v>176974</v>
      </c>
      <c r="BK269" s="280">
        <v>165188</v>
      </c>
      <c r="BL269" s="280">
        <v>162872</v>
      </c>
      <c r="BM269" s="280">
        <v>157045</v>
      </c>
      <c r="BN269" s="280">
        <v>152340</v>
      </c>
      <c r="BO269" s="280">
        <v>151965</v>
      </c>
      <c r="BP269" s="280">
        <v>151229</v>
      </c>
      <c r="BQ269" s="280">
        <v>156179</v>
      </c>
      <c r="BR269" s="280">
        <v>156644</v>
      </c>
      <c r="BS269" s="280">
        <v>154901</v>
      </c>
      <c r="BT269" s="280">
        <v>153797</v>
      </c>
      <c r="BU269" s="280">
        <v>148506</v>
      </c>
      <c r="BV269" s="280">
        <v>143629</v>
      </c>
      <c r="BW269" s="280">
        <v>140784</v>
      </c>
      <c r="BX269" s="280">
        <v>135674</v>
      </c>
      <c r="BY269" s="280">
        <v>131985</v>
      </c>
      <c r="BZ269" s="280">
        <v>126534</v>
      </c>
      <c r="CA269" s="280">
        <v>122363</v>
      </c>
      <c r="CB269" s="280">
        <v>118783</v>
      </c>
      <c r="CC269" s="280">
        <v>113292</v>
      </c>
      <c r="CD269" s="280">
        <v>110384</v>
      </c>
      <c r="CE269" s="280">
        <v>105816</v>
      </c>
      <c r="CF269" s="280">
        <v>99944</v>
      </c>
      <c r="CG269" s="280">
        <v>97690</v>
      </c>
      <c r="CH269" s="280">
        <v>97424</v>
      </c>
      <c r="CI269" s="280">
        <v>79460</v>
      </c>
      <c r="CJ269" s="280">
        <v>73080</v>
      </c>
      <c r="CK269" s="280">
        <v>66767</v>
      </c>
      <c r="CL269" s="280">
        <v>57355</v>
      </c>
      <c r="CM269" s="280">
        <v>53280</v>
      </c>
      <c r="CN269" s="280">
        <v>46716</v>
      </c>
      <c r="CO269" s="280">
        <v>41422</v>
      </c>
      <c r="CP269" s="280">
        <v>36112</v>
      </c>
      <c r="CQ269" s="280">
        <v>30914</v>
      </c>
      <c r="CR269" s="280">
        <v>26194</v>
      </c>
      <c r="CS269" s="280">
        <v>21702</v>
      </c>
      <c r="CT269" s="280">
        <v>17220</v>
      </c>
      <c r="CU269" s="280">
        <v>13681</v>
      </c>
      <c r="CV269" s="280">
        <v>10807</v>
      </c>
      <c r="CW269" s="280">
        <v>8287</v>
      </c>
      <c r="CX269" s="280">
        <v>6433</v>
      </c>
      <c r="CY269" s="280">
        <v>4675</v>
      </c>
      <c r="CZ269" s="280">
        <v>3217</v>
      </c>
      <c r="DA269" s="280">
        <v>7926</v>
      </c>
      <c r="DB269" s="276">
        <f t="shared" si="72"/>
        <v>14714981</v>
      </c>
      <c r="DC269" s="277">
        <f t="shared" si="73"/>
        <v>14.714981</v>
      </c>
      <c r="DD269" s="279">
        <f t="shared" si="74"/>
        <v>1.3740454965099147E-2</v>
      </c>
    </row>
    <row r="270" spans="1:108" ht="12.75" customHeight="1" x14ac:dyDescent="0.2">
      <c r="D270" s="274">
        <v>2029</v>
      </c>
      <c r="E270" s="280">
        <v>183132</v>
      </c>
      <c r="F270" s="280">
        <v>182372</v>
      </c>
      <c r="G270" s="280">
        <v>182189</v>
      </c>
      <c r="H270" s="280">
        <v>182028</v>
      </c>
      <c r="I270" s="280">
        <v>181735</v>
      </c>
      <c r="J270" s="280">
        <v>181234</v>
      </c>
      <c r="K270" s="280">
        <v>180400</v>
      </c>
      <c r="L270" s="280">
        <v>179200</v>
      </c>
      <c r="M270" s="280">
        <v>177722</v>
      </c>
      <c r="N270" s="280">
        <v>176017</v>
      </c>
      <c r="O270" s="280">
        <v>174101</v>
      </c>
      <c r="P270" s="280">
        <v>172057</v>
      </c>
      <c r="Q270" s="280">
        <v>165047</v>
      </c>
      <c r="R270" s="280">
        <v>172451</v>
      </c>
      <c r="S270" s="280">
        <v>169884</v>
      </c>
      <c r="T270" s="280">
        <v>169699</v>
      </c>
      <c r="U270" s="280">
        <v>172010</v>
      </c>
      <c r="V270" s="280">
        <v>171881</v>
      </c>
      <c r="W270" s="280">
        <v>174821</v>
      </c>
      <c r="X270" s="280">
        <v>180819</v>
      </c>
      <c r="Y270" s="280">
        <v>183154</v>
      </c>
      <c r="Z270" s="280">
        <v>187770</v>
      </c>
      <c r="AA270" s="280">
        <v>191260</v>
      </c>
      <c r="AB270" s="280">
        <v>192833</v>
      </c>
      <c r="AC270" s="280">
        <v>192831</v>
      </c>
      <c r="AD270" s="280">
        <v>195296</v>
      </c>
      <c r="AE270" s="280">
        <v>198611</v>
      </c>
      <c r="AF270" s="280">
        <v>202087</v>
      </c>
      <c r="AG270" s="280">
        <v>207849</v>
      </c>
      <c r="AH270" s="280">
        <v>211957</v>
      </c>
      <c r="AI270" s="280">
        <v>213483</v>
      </c>
      <c r="AJ270" s="280">
        <v>215369</v>
      </c>
      <c r="AK270" s="280">
        <v>216934</v>
      </c>
      <c r="AL270" s="280">
        <v>217692</v>
      </c>
      <c r="AM270" s="280">
        <v>220515</v>
      </c>
      <c r="AN270" s="280">
        <v>220012</v>
      </c>
      <c r="AO270" s="280">
        <v>217023</v>
      </c>
      <c r="AP270" s="280">
        <v>215552</v>
      </c>
      <c r="AQ270" s="280">
        <v>217021</v>
      </c>
      <c r="AR270" s="280">
        <v>217538</v>
      </c>
      <c r="AS270" s="280">
        <v>212386</v>
      </c>
      <c r="AT270" s="280">
        <v>209976</v>
      </c>
      <c r="AU270" s="280">
        <v>206453</v>
      </c>
      <c r="AV270" s="280">
        <v>206158</v>
      </c>
      <c r="AW270" s="280">
        <v>202385</v>
      </c>
      <c r="AX270" s="280">
        <v>199457</v>
      </c>
      <c r="AY270" s="280">
        <v>195709</v>
      </c>
      <c r="AZ270" s="280">
        <v>188072</v>
      </c>
      <c r="BA270" s="280">
        <v>182120</v>
      </c>
      <c r="BB270" s="280">
        <v>174340</v>
      </c>
      <c r="BC270" s="280">
        <v>168352</v>
      </c>
      <c r="BD270" s="280">
        <v>164195</v>
      </c>
      <c r="BE270" s="280">
        <v>161930</v>
      </c>
      <c r="BF270" s="280">
        <v>162086</v>
      </c>
      <c r="BG270" s="280">
        <v>161861</v>
      </c>
      <c r="BH270" s="280">
        <v>165631</v>
      </c>
      <c r="BI270" s="280">
        <v>168757</v>
      </c>
      <c r="BJ270" s="280">
        <v>174304</v>
      </c>
      <c r="BK270" s="280">
        <v>176676</v>
      </c>
      <c r="BL270" s="280">
        <v>164915</v>
      </c>
      <c r="BM270" s="280">
        <v>162578</v>
      </c>
      <c r="BN270" s="280">
        <v>156741</v>
      </c>
      <c r="BO270" s="280">
        <v>151999</v>
      </c>
      <c r="BP270" s="280">
        <v>151550</v>
      </c>
      <c r="BQ270" s="280">
        <v>150741</v>
      </c>
      <c r="BR270" s="280">
        <v>155557</v>
      </c>
      <c r="BS270" s="280">
        <v>155911</v>
      </c>
      <c r="BT270" s="280">
        <v>154075</v>
      </c>
      <c r="BU270" s="280">
        <v>152860</v>
      </c>
      <c r="BV270" s="280">
        <v>147479</v>
      </c>
      <c r="BW270" s="280">
        <v>142496</v>
      </c>
      <c r="BX270" s="280">
        <v>139523</v>
      </c>
      <c r="BY270" s="280">
        <v>134298</v>
      </c>
      <c r="BZ270" s="280">
        <v>130470</v>
      </c>
      <c r="CA270" s="280">
        <v>124884</v>
      </c>
      <c r="CB270" s="280">
        <v>120563</v>
      </c>
      <c r="CC270" s="280">
        <v>116810</v>
      </c>
      <c r="CD270" s="280">
        <v>111161</v>
      </c>
      <c r="CE270" s="280">
        <v>108040</v>
      </c>
      <c r="CF270" s="280">
        <v>103265</v>
      </c>
      <c r="CG270" s="280">
        <v>97198</v>
      </c>
      <c r="CH270" s="280">
        <v>94616</v>
      </c>
      <c r="CI270" s="280">
        <v>93892</v>
      </c>
      <c r="CJ270" s="280">
        <v>76130</v>
      </c>
      <c r="CK270" s="280">
        <v>69537</v>
      </c>
      <c r="CL270" s="280">
        <v>63016</v>
      </c>
      <c r="CM270" s="280">
        <v>53644</v>
      </c>
      <c r="CN270" s="280">
        <v>49324</v>
      </c>
      <c r="CO270" s="280">
        <v>42717</v>
      </c>
      <c r="CP270" s="280">
        <v>37372</v>
      </c>
      <c r="CQ270" s="280">
        <v>32089</v>
      </c>
      <c r="CR270" s="280">
        <v>27008</v>
      </c>
      <c r="CS270" s="280">
        <v>22451</v>
      </c>
      <c r="CT270" s="280">
        <v>18195</v>
      </c>
      <c r="CU270" s="280">
        <v>14092</v>
      </c>
      <c r="CV270" s="280">
        <v>10904</v>
      </c>
      <c r="CW270" s="280">
        <v>8372</v>
      </c>
      <c r="CX270" s="280">
        <v>6231</v>
      </c>
      <c r="CY270" s="280">
        <v>4693</v>
      </c>
      <c r="CZ270" s="280">
        <v>3339</v>
      </c>
      <c r="DA270" s="280">
        <v>8069</v>
      </c>
      <c r="DB270" s="276">
        <f t="shared" ref="DB270:DB271" si="75">SUM(E270:DA270)</f>
        <v>14913239</v>
      </c>
      <c r="DC270" s="277">
        <f t="shared" ref="DC270:DC271" si="76">DB270/1000000</f>
        <v>14.913239000000001</v>
      </c>
      <c r="DD270" s="279">
        <f t="shared" ref="DD270:DD271" si="77">(DC270-DC269)/DC269</f>
        <v>1.3473208018413407E-2</v>
      </c>
    </row>
    <row r="271" spans="1:108" ht="12.75" customHeight="1" x14ac:dyDescent="0.2">
      <c r="D271" s="274">
        <v>2030</v>
      </c>
      <c r="E271" s="280">
        <v>184447</v>
      </c>
      <c r="F271" s="280">
        <v>183778</v>
      </c>
      <c r="G271" s="280">
        <v>183738</v>
      </c>
      <c r="H271" s="280">
        <v>183765</v>
      </c>
      <c r="I271" s="280">
        <v>183653</v>
      </c>
      <c r="J271" s="280">
        <v>183310</v>
      </c>
      <c r="K271" s="280">
        <v>182647</v>
      </c>
      <c r="L271" s="280">
        <v>181622</v>
      </c>
      <c r="M271" s="280">
        <v>180323</v>
      </c>
      <c r="N271" s="280">
        <v>178801</v>
      </c>
      <c r="O271" s="280">
        <v>177049</v>
      </c>
      <c r="P271" s="280">
        <v>175082</v>
      </c>
      <c r="Q271" s="280">
        <v>173016</v>
      </c>
      <c r="R271" s="280">
        <v>166023</v>
      </c>
      <c r="S271" s="280">
        <v>173558</v>
      </c>
      <c r="T271" s="280">
        <v>171356</v>
      </c>
      <c r="U271" s="280">
        <v>171548</v>
      </c>
      <c r="V271" s="280">
        <v>174548</v>
      </c>
      <c r="W271" s="280">
        <v>176289</v>
      </c>
      <c r="X271" s="280">
        <v>180947</v>
      </c>
      <c r="Y271" s="280">
        <v>186716</v>
      </c>
      <c r="Z271" s="280">
        <v>188274</v>
      </c>
      <c r="AA271" s="280">
        <v>193848</v>
      </c>
      <c r="AB271" s="280">
        <v>198537</v>
      </c>
      <c r="AC271" s="280">
        <v>199141</v>
      </c>
      <c r="AD271" s="280">
        <v>197660</v>
      </c>
      <c r="AE271" s="280">
        <v>199583</v>
      </c>
      <c r="AF271" s="280">
        <v>202637</v>
      </c>
      <c r="AG271" s="280">
        <v>205791</v>
      </c>
      <c r="AH271" s="280">
        <v>211199</v>
      </c>
      <c r="AI271" s="280">
        <v>214990</v>
      </c>
      <c r="AJ271" s="280">
        <v>216079</v>
      </c>
      <c r="AK271" s="280">
        <v>217618</v>
      </c>
      <c r="AL271" s="280">
        <v>219097</v>
      </c>
      <c r="AM271" s="280">
        <v>219744</v>
      </c>
      <c r="AN271" s="280">
        <v>222303</v>
      </c>
      <c r="AO271" s="280">
        <v>221568</v>
      </c>
      <c r="AP271" s="280">
        <v>218406</v>
      </c>
      <c r="AQ271" s="280">
        <v>216774</v>
      </c>
      <c r="AR271" s="280">
        <v>218120</v>
      </c>
      <c r="AS271" s="280">
        <v>218539</v>
      </c>
      <c r="AT271" s="280">
        <v>213252</v>
      </c>
      <c r="AU271" s="280">
        <v>210707</v>
      </c>
      <c r="AV271" s="280">
        <v>207088</v>
      </c>
      <c r="AW271" s="280">
        <v>206702</v>
      </c>
      <c r="AX271" s="280">
        <v>202808</v>
      </c>
      <c r="AY271" s="280">
        <v>199769</v>
      </c>
      <c r="AZ271" s="280">
        <v>195925</v>
      </c>
      <c r="BA271" s="280">
        <v>188176</v>
      </c>
      <c r="BB271" s="280">
        <v>182156</v>
      </c>
      <c r="BC271" s="280">
        <v>174315</v>
      </c>
      <c r="BD271" s="280">
        <v>168272</v>
      </c>
      <c r="BE271" s="280">
        <v>164100</v>
      </c>
      <c r="BF271" s="280">
        <v>161816</v>
      </c>
      <c r="BG271" s="280">
        <v>161941</v>
      </c>
      <c r="BH271" s="280">
        <v>161673</v>
      </c>
      <c r="BI271" s="280">
        <v>165378</v>
      </c>
      <c r="BJ271" s="280">
        <v>168488</v>
      </c>
      <c r="BK271" s="280">
        <v>174018</v>
      </c>
      <c r="BL271" s="280">
        <v>176365</v>
      </c>
      <c r="BM271" s="280">
        <v>164615</v>
      </c>
      <c r="BN271" s="280">
        <v>162254</v>
      </c>
      <c r="BO271" s="280">
        <v>156383</v>
      </c>
      <c r="BP271" s="280">
        <v>151587</v>
      </c>
      <c r="BQ271" s="280">
        <v>151063</v>
      </c>
      <c r="BR271" s="280">
        <v>150149</v>
      </c>
      <c r="BS271" s="280">
        <v>154833</v>
      </c>
      <c r="BT271" s="280">
        <v>155083</v>
      </c>
      <c r="BU271" s="280">
        <v>153142</v>
      </c>
      <c r="BV271" s="280">
        <v>151804</v>
      </c>
      <c r="BW271" s="280">
        <v>146319</v>
      </c>
      <c r="BX271" s="280">
        <v>141223</v>
      </c>
      <c r="BY271" s="280">
        <v>138112</v>
      </c>
      <c r="BZ271" s="280">
        <v>132762</v>
      </c>
      <c r="CA271" s="280">
        <v>128774</v>
      </c>
      <c r="CB271" s="280">
        <v>123052</v>
      </c>
      <c r="CC271" s="280">
        <v>118569</v>
      </c>
      <c r="CD271" s="280">
        <v>114622</v>
      </c>
      <c r="CE271" s="280">
        <v>108809</v>
      </c>
      <c r="CF271" s="280">
        <v>105444</v>
      </c>
      <c r="CG271" s="280">
        <v>100438</v>
      </c>
      <c r="CH271" s="280">
        <v>94147</v>
      </c>
      <c r="CI271" s="280">
        <v>91195</v>
      </c>
      <c r="CJ271" s="280">
        <v>89969</v>
      </c>
      <c r="CK271" s="280">
        <v>72450</v>
      </c>
      <c r="CL271" s="280">
        <v>65640</v>
      </c>
      <c r="CM271" s="280">
        <v>58950</v>
      </c>
      <c r="CN271" s="280">
        <v>49668</v>
      </c>
      <c r="CO271" s="280">
        <v>45113</v>
      </c>
      <c r="CP271" s="280">
        <v>38550</v>
      </c>
      <c r="CQ271" s="280">
        <v>33217</v>
      </c>
      <c r="CR271" s="280">
        <v>28042</v>
      </c>
      <c r="CS271" s="280">
        <v>23155</v>
      </c>
      <c r="CT271" s="280">
        <v>18828</v>
      </c>
      <c r="CU271" s="280">
        <v>14895</v>
      </c>
      <c r="CV271" s="280">
        <v>11234</v>
      </c>
      <c r="CW271" s="280">
        <v>8447</v>
      </c>
      <c r="CX271" s="280">
        <v>6295</v>
      </c>
      <c r="CY271" s="280">
        <v>4546</v>
      </c>
      <c r="CZ271" s="280">
        <v>3352</v>
      </c>
      <c r="DA271" s="280">
        <v>8260</v>
      </c>
      <c r="DB271" s="276">
        <f t="shared" si="75"/>
        <v>15110063</v>
      </c>
      <c r="DC271" s="277">
        <f t="shared" si="76"/>
        <v>15.110063</v>
      </c>
      <c r="DD271" s="279">
        <f t="shared" si="77"/>
        <v>1.3197937751818999E-2</v>
      </c>
    </row>
  </sheetData>
  <sheetProtection selectLockedCells="1"/>
  <mergeCells count="1">
    <mergeCell ref="X1:Z1"/>
  </mergeCells>
  <conditionalFormatting sqref="H22">
    <cfRule type="expression" dxfId="104" priority="485">
      <formula>$H21=""</formula>
    </cfRule>
  </conditionalFormatting>
  <conditionalFormatting sqref="H40">
    <cfRule type="expression" dxfId="103" priority="58">
      <formula>$H39=""</formula>
    </cfRule>
  </conditionalFormatting>
  <conditionalFormatting sqref="H58">
    <cfRule type="expression" dxfId="102" priority="57">
      <formula>$H57=""</formula>
    </cfRule>
  </conditionalFormatting>
  <conditionalFormatting sqref="H76">
    <cfRule type="expression" dxfId="101" priority="53">
      <formula>$H75=""</formula>
    </cfRule>
  </conditionalFormatting>
  <conditionalFormatting sqref="H94">
    <cfRule type="expression" dxfId="100" priority="51">
      <formula>$H93=""</formula>
    </cfRule>
  </conditionalFormatting>
  <conditionalFormatting sqref="E22:F22 J22 E29:J29 E25:G25">
    <cfRule type="expression" dxfId="99" priority="486">
      <formula>$B$19=0</formula>
    </cfRule>
  </conditionalFormatting>
  <conditionalFormatting sqref="E40:F40 J40 E47:J47 E43:G43">
    <cfRule type="expression" dxfId="98" priority="487">
      <formula>$B$37=0</formula>
    </cfRule>
  </conditionalFormatting>
  <conditionalFormatting sqref="E58:F58 J58 E65:J65 E61:G61">
    <cfRule type="expression" dxfId="97" priority="488">
      <formula>$B$55=0</formula>
    </cfRule>
  </conditionalFormatting>
  <conditionalFormatting sqref="E76:F76 J76 E83:J83 E79:G79">
    <cfRule type="expression" dxfId="96" priority="489">
      <formula>$B$73=0</formula>
    </cfRule>
  </conditionalFormatting>
  <conditionalFormatting sqref="E94:F94 J94 E101:J101 E97:G97">
    <cfRule type="expression" dxfId="95" priority="490">
      <formula>$B$91=0</formula>
    </cfRule>
  </conditionalFormatting>
  <conditionalFormatting sqref="H112">
    <cfRule type="expression" dxfId="94" priority="48">
      <formula>$H111=""</formula>
    </cfRule>
  </conditionalFormatting>
  <conditionalFormatting sqref="E112:F112 J112 E115:G115 E119:J119">
    <cfRule type="expression" dxfId="93" priority="49">
      <formula>$B$109=0</formula>
    </cfRule>
  </conditionalFormatting>
  <conditionalFormatting sqref="H130">
    <cfRule type="expression" dxfId="92" priority="46">
      <formula>$H129=""</formula>
    </cfRule>
  </conditionalFormatting>
  <conditionalFormatting sqref="E130:F130 J130 E133:G133 E137:J137">
    <cfRule type="expression" dxfId="91" priority="47">
      <formula>$B$127=0</formula>
    </cfRule>
  </conditionalFormatting>
  <conditionalFormatting sqref="H148">
    <cfRule type="expression" dxfId="90" priority="44">
      <formula>$H147=""</formula>
    </cfRule>
  </conditionalFormatting>
  <conditionalFormatting sqref="E148:F148 J148 E151:G151 E155:J155">
    <cfRule type="expression" dxfId="89" priority="45">
      <formula>$B$145=0</formula>
    </cfRule>
  </conditionalFormatting>
  <conditionalFormatting sqref="H166">
    <cfRule type="expression" dxfId="88" priority="42">
      <formula>$H165=""</formula>
    </cfRule>
  </conditionalFormatting>
  <conditionalFormatting sqref="E166:F166 J166 E169:G169 E173:J173">
    <cfRule type="expression" dxfId="87" priority="43">
      <formula>$B$163=0</formula>
    </cfRule>
  </conditionalFormatting>
  <conditionalFormatting sqref="H184">
    <cfRule type="expression" dxfId="86" priority="40">
      <formula>$H183=""</formula>
    </cfRule>
  </conditionalFormatting>
  <conditionalFormatting sqref="E184:F184 J184 E187:G187 E191:J191">
    <cfRule type="expression" dxfId="85" priority="41">
      <formula>$B$181=0</formula>
    </cfRule>
  </conditionalFormatting>
  <conditionalFormatting sqref="E25:F25">
    <cfRule type="expression" dxfId="84" priority="20">
      <formula>$B$19=0</formula>
    </cfRule>
  </conditionalFormatting>
  <conditionalFormatting sqref="G25">
    <cfRule type="expression" dxfId="83" priority="19">
      <formula>$B$19=0</formula>
    </cfRule>
  </conditionalFormatting>
  <conditionalFormatting sqref="E43:F43">
    <cfRule type="expression" dxfId="82" priority="18">
      <formula>$B$19=0</formula>
    </cfRule>
  </conditionalFormatting>
  <conditionalFormatting sqref="G43">
    <cfRule type="expression" dxfId="81" priority="17">
      <formula>$B$19=0</formula>
    </cfRule>
  </conditionalFormatting>
  <conditionalFormatting sqref="E61:F61">
    <cfRule type="expression" dxfId="80" priority="16">
      <formula>$B$19=0</formula>
    </cfRule>
  </conditionalFormatting>
  <conditionalFormatting sqref="G61">
    <cfRule type="expression" dxfId="79" priority="15">
      <formula>$B$19=0</formula>
    </cfRule>
  </conditionalFormatting>
  <conditionalFormatting sqref="E79:F79">
    <cfRule type="expression" dxfId="78" priority="14">
      <formula>$B$19=0</formula>
    </cfRule>
  </conditionalFormatting>
  <conditionalFormatting sqref="G79">
    <cfRule type="expression" dxfId="77" priority="13">
      <formula>$B$19=0</formula>
    </cfRule>
  </conditionalFormatting>
  <conditionalFormatting sqref="E97:F97">
    <cfRule type="expression" dxfId="76" priority="12">
      <formula>$B$19=0</formula>
    </cfRule>
  </conditionalFormatting>
  <conditionalFormatting sqref="G97">
    <cfRule type="expression" dxfId="75" priority="11">
      <formula>$B$19=0</formula>
    </cfRule>
  </conditionalFormatting>
  <conditionalFormatting sqref="E115:F115">
    <cfRule type="expression" dxfId="74" priority="10">
      <formula>$B$19=0</formula>
    </cfRule>
  </conditionalFormatting>
  <conditionalFormatting sqref="G115">
    <cfRule type="expression" dxfId="73" priority="9">
      <formula>$B$19=0</formula>
    </cfRule>
  </conditionalFormatting>
  <conditionalFormatting sqref="E133:F133">
    <cfRule type="expression" dxfId="72" priority="8">
      <formula>$B$19=0</formula>
    </cfRule>
  </conditionalFormatting>
  <conditionalFormatting sqref="G133">
    <cfRule type="expression" dxfId="71" priority="7">
      <formula>$B$19=0</formula>
    </cfRule>
  </conditionalFormatting>
  <conditionalFormatting sqref="E151:F151">
    <cfRule type="expression" dxfId="70" priority="6">
      <formula>$B$19=0</formula>
    </cfRule>
  </conditionalFormatting>
  <conditionalFormatting sqref="G151">
    <cfRule type="expression" dxfId="69" priority="5">
      <formula>$B$19=0</formula>
    </cfRule>
  </conditionalFormatting>
  <conditionalFormatting sqref="E169:F169">
    <cfRule type="expression" dxfId="68" priority="4">
      <formula>$B$19=0</formula>
    </cfRule>
  </conditionalFormatting>
  <conditionalFormatting sqref="G169">
    <cfRule type="expression" dxfId="67" priority="3">
      <formula>$B$19=0</formula>
    </cfRule>
  </conditionalFormatting>
  <conditionalFormatting sqref="E187:F187">
    <cfRule type="expression" dxfId="66" priority="2">
      <formula>$B$19=0</formula>
    </cfRule>
  </conditionalFormatting>
  <conditionalFormatting sqref="G187">
    <cfRule type="expression" dxfId="65" priority="1">
      <formula>$B$19=0</formula>
    </cfRule>
  </conditionalFormatting>
  <dataValidations count="1">
    <dataValidation type="list" allowBlank="1" showInputMessage="1" showErrorMessage="1" sqref="H22 H40 H58 H76 H94 H112 H130 H148 H166 H184">
      <formula1>Gender</formula1>
    </dataValidation>
  </dataValidations>
  <pageMargins left="0.75" right="0.75" top="1" bottom="1" header="0.5" footer="0.5"/>
  <pageSetup paperSize="9" orientation="portrait" verticalDpi="0" r:id="rId1"/>
  <headerFooter alignWithMargins="0"/>
  <ignoredErrors>
    <ignoredError sqref="DB203:DB221 DB228:DB244 DB253:DB269 DB245:DB246 DB270:DB271"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A1:Z187"/>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 width="10.7109375" customWidth="1"/>
    <col min="11" max="11" width="3.7109375" customWidth="1"/>
    <col min="12" max="23" width="10.7109375" customWidth="1"/>
    <col min="24" max="108" width="13" customWidth="1"/>
  </cols>
  <sheetData>
    <row r="1" spans="1:26" ht="23.25" x14ac:dyDescent="0.2">
      <c r="A1" s="144">
        <f>IF((SUM(E8:J17)&lt;&gt;0),2,0)</f>
        <v>0</v>
      </c>
      <c r="B1" s="168"/>
      <c r="C1" s="168"/>
      <c r="D1" s="167" t="s">
        <v>1018</v>
      </c>
      <c r="E1" s="168"/>
      <c r="F1" s="168"/>
      <c r="G1" s="168"/>
      <c r="H1" s="168"/>
      <c r="I1" s="168"/>
      <c r="J1" s="168"/>
      <c r="K1" s="168"/>
      <c r="L1" s="168"/>
      <c r="M1" s="370"/>
      <c r="N1" s="370"/>
      <c r="O1" s="370"/>
      <c r="P1" s="370"/>
      <c r="Q1" s="370"/>
      <c r="R1" s="370"/>
      <c r="S1" s="370"/>
      <c r="T1" s="370"/>
      <c r="U1" s="370"/>
      <c r="V1" s="370"/>
      <c r="W1" s="370"/>
      <c r="X1" s="773" t="str">
        <f>IF(A1=0,MsgNotUsed,"")</f>
        <v>** NOT USED **</v>
      </c>
      <c r="Y1" s="773"/>
      <c r="Z1" s="773"/>
    </row>
    <row r="2" spans="1:26" ht="15.75" x14ac:dyDescent="0.2">
      <c r="A2" s="168"/>
      <c r="B2" s="168"/>
      <c r="C2" s="168"/>
      <c r="D2" s="147" t="str">
        <f>CONCATENATE("Name of medicine: ", MedicineBrand)</f>
        <v>Name of medicine:  (®)</v>
      </c>
      <c r="E2" s="168"/>
      <c r="F2" s="168"/>
      <c r="G2" s="168"/>
      <c r="H2" s="168"/>
      <c r="I2" s="168"/>
      <c r="J2" s="168"/>
      <c r="K2" s="168"/>
      <c r="L2" s="168"/>
      <c r="M2" s="370"/>
      <c r="N2" s="370"/>
      <c r="O2" s="370"/>
      <c r="P2" s="370"/>
      <c r="Q2" s="370"/>
      <c r="R2" s="370"/>
      <c r="S2" s="370"/>
      <c r="T2" s="370"/>
      <c r="U2" s="370"/>
      <c r="V2" s="370"/>
      <c r="W2" s="370"/>
      <c r="X2" s="370"/>
      <c r="Y2" s="370"/>
      <c r="Z2" s="370"/>
    </row>
    <row r="3" spans="1:26" ht="15.75" x14ac:dyDescent="0.2">
      <c r="A3" s="168"/>
      <c r="B3" s="168"/>
      <c r="C3" s="168"/>
      <c r="D3" s="147" t="str">
        <f>CONCATENATE("Indication: ",Indication)</f>
        <v xml:space="preserve">Indication: </v>
      </c>
      <c r="E3" s="168"/>
      <c r="F3" s="168"/>
      <c r="G3" s="168"/>
      <c r="H3" s="168"/>
      <c r="I3" s="168"/>
      <c r="J3" s="168"/>
      <c r="K3" s="168"/>
      <c r="L3" s="168"/>
      <c r="M3" s="370"/>
      <c r="N3" s="370"/>
      <c r="O3" s="370"/>
      <c r="P3" s="370"/>
      <c r="Q3" s="370"/>
      <c r="R3" s="370"/>
      <c r="S3" s="370"/>
      <c r="T3" s="370"/>
      <c r="U3" s="370"/>
      <c r="V3" s="370"/>
      <c r="W3" s="370"/>
      <c r="X3" s="370"/>
      <c r="Y3" s="370"/>
      <c r="Z3" s="370"/>
    </row>
    <row r="4" spans="1:26" x14ac:dyDescent="0.2">
      <c r="A4" s="171"/>
      <c r="B4" s="171"/>
      <c r="C4" s="171"/>
      <c r="D4" s="171"/>
      <c r="E4" s="171"/>
      <c r="F4" s="171"/>
      <c r="G4" s="171"/>
      <c r="H4" s="171"/>
      <c r="I4" s="171"/>
      <c r="J4" s="171"/>
      <c r="K4" s="171"/>
      <c r="L4" s="171"/>
      <c r="M4" s="171"/>
      <c r="N4" s="171"/>
      <c r="O4" s="171"/>
      <c r="P4" s="171"/>
      <c r="Q4" s="171"/>
      <c r="R4" s="171"/>
      <c r="S4" s="171"/>
      <c r="T4" s="171"/>
      <c r="U4" s="171"/>
      <c r="V4" s="171"/>
      <c r="W4" s="171"/>
      <c r="X4" s="592"/>
      <c r="Y4" s="592"/>
      <c r="Z4" s="592"/>
    </row>
    <row r="5" spans="1:26" ht="15.75" x14ac:dyDescent="0.2">
      <c r="A5" s="247"/>
      <c r="B5" s="247"/>
      <c r="C5" s="247"/>
      <c r="D5" s="174" t="s">
        <v>956</v>
      </c>
      <c r="E5" s="178"/>
      <c r="F5" s="178"/>
      <c r="G5" s="178"/>
      <c r="H5" s="178"/>
      <c r="I5" s="178"/>
      <c r="J5" s="178"/>
      <c r="K5" s="178"/>
      <c r="L5" s="178"/>
      <c r="M5" s="371"/>
      <c r="N5" s="371"/>
      <c r="O5" s="371"/>
      <c r="P5" s="371"/>
      <c r="Q5" s="371"/>
      <c r="R5" s="371"/>
      <c r="S5" s="371"/>
      <c r="T5" s="371"/>
      <c r="U5" s="371"/>
      <c r="V5" s="371"/>
      <c r="W5" s="371"/>
      <c r="X5" s="371"/>
      <c r="Y5" s="371"/>
      <c r="Z5" s="371"/>
    </row>
    <row r="6" spans="1:26" s="575" customFormat="1" x14ac:dyDescent="0.2">
      <c r="A6" s="572"/>
      <c r="B6" s="572"/>
      <c r="C6" s="572"/>
      <c r="D6" s="266"/>
      <c r="E6" s="572"/>
      <c r="F6" s="572"/>
      <c r="G6" s="572"/>
      <c r="H6" s="180"/>
      <c r="I6" s="572"/>
      <c r="J6" s="572"/>
      <c r="K6" s="572"/>
      <c r="L6" s="572"/>
      <c r="M6" s="571"/>
      <c r="N6" s="571"/>
      <c r="O6" s="571"/>
      <c r="P6" s="571"/>
      <c r="Q6" s="571"/>
      <c r="R6" s="571"/>
      <c r="S6" s="571"/>
      <c r="T6" s="571"/>
      <c r="U6" s="571"/>
      <c r="V6" s="571"/>
      <c r="W6" s="571"/>
      <c r="X6" s="571"/>
      <c r="Y6" s="571"/>
      <c r="Z6" s="571"/>
    </row>
    <row r="7" spans="1:26" hidden="1" x14ac:dyDescent="0.2">
      <c r="A7" s="6"/>
      <c r="B7" s="6"/>
      <c r="C7" s="6"/>
      <c r="D7" s="266"/>
      <c r="E7" s="108">
        <f>FirstYear</f>
        <v>0</v>
      </c>
      <c r="F7" s="112">
        <f>E7+1</f>
        <v>1</v>
      </c>
      <c r="G7" s="112">
        <f>F7+1</f>
        <v>2</v>
      </c>
      <c r="H7" s="112">
        <f>G7+1</f>
        <v>3</v>
      </c>
      <c r="I7" s="112">
        <f>H7+1</f>
        <v>4</v>
      </c>
      <c r="J7" s="112">
        <f>I7+1</f>
        <v>5</v>
      </c>
      <c r="K7" s="6"/>
      <c r="L7" s="6"/>
      <c r="M7" s="1"/>
      <c r="N7" s="1"/>
      <c r="O7" s="1"/>
      <c r="P7" s="1"/>
      <c r="Q7" s="1"/>
      <c r="R7" s="1"/>
      <c r="S7" s="1"/>
      <c r="T7" s="1"/>
      <c r="U7" s="1"/>
      <c r="V7" s="1"/>
      <c r="W7" s="1"/>
      <c r="X7" s="571"/>
      <c r="Y7" s="571"/>
      <c r="Z7" s="571"/>
    </row>
    <row r="8" spans="1:26" hidden="1" x14ac:dyDescent="0.2">
      <c r="A8" s="6"/>
      <c r="B8" s="6"/>
      <c r="C8" s="6"/>
      <c r="D8" s="180">
        <v>1</v>
      </c>
      <c r="E8" s="267">
        <f t="shared" ref="E8:J8" si="0">E27</f>
        <v>0</v>
      </c>
      <c r="F8" s="267">
        <f t="shared" si="0"/>
        <v>0</v>
      </c>
      <c r="G8" s="267">
        <f t="shared" si="0"/>
        <v>0</v>
      </c>
      <c r="H8" s="267">
        <f t="shared" si="0"/>
        <v>0</v>
      </c>
      <c r="I8" s="267">
        <f t="shared" si="0"/>
        <v>0</v>
      </c>
      <c r="J8" s="267">
        <f t="shared" si="0"/>
        <v>0</v>
      </c>
      <c r="K8" s="6"/>
      <c r="L8" s="6"/>
      <c r="M8" s="1"/>
      <c r="N8" s="1"/>
      <c r="O8" s="1"/>
      <c r="P8" s="1"/>
      <c r="Q8" s="1"/>
      <c r="R8" s="1"/>
      <c r="S8" s="1"/>
      <c r="T8" s="1"/>
      <c r="U8" s="1"/>
      <c r="V8" s="1"/>
      <c r="W8" s="1"/>
      <c r="X8" s="571"/>
      <c r="Y8" s="571"/>
      <c r="Z8" s="571"/>
    </row>
    <row r="9" spans="1:26" hidden="1" x14ac:dyDescent="0.2">
      <c r="A9" s="6"/>
      <c r="B9" s="6"/>
      <c r="C9" s="6"/>
      <c r="D9" s="180">
        <v>2</v>
      </c>
      <c r="E9" s="267">
        <f t="shared" ref="E9:J9" si="1">E44</f>
        <v>0</v>
      </c>
      <c r="F9" s="267">
        <f t="shared" si="1"/>
        <v>0</v>
      </c>
      <c r="G9" s="267">
        <f t="shared" si="1"/>
        <v>0</v>
      </c>
      <c r="H9" s="267">
        <f t="shared" si="1"/>
        <v>0</v>
      </c>
      <c r="I9" s="267">
        <f t="shared" si="1"/>
        <v>0</v>
      </c>
      <c r="J9" s="267">
        <f t="shared" si="1"/>
        <v>0</v>
      </c>
      <c r="K9" s="6"/>
      <c r="L9" s="6"/>
      <c r="M9" s="1"/>
      <c r="N9" s="1"/>
      <c r="O9" s="1"/>
      <c r="P9" s="1"/>
      <c r="Q9" s="1"/>
      <c r="R9" s="1"/>
      <c r="S9" s="1"/>
      <c r="T9" s="1"/>
      <c r="U9" s="1"/>
      <c r="V9" s="1"/>
      <c r="W9" s="1"/>
      <c r="X9" s="571"/>
      <c r="Y9" s="571"/>
      <c r="Z9" s="571"/>
    </row>
    <row r="10" spans="1:26" hidden="1" x14ac:dyDescent="0.2">
      <c r="A10" s="6"/>
      <c r="B10" s="6"/>
      <c r="C10" s="6"/>
      <c r="D10" s="180">
        <v>3</v>
      </c>
      <c r="E10" s="267">
        <f t="shared" ref="E10:J10" si="2">E61</f>
        <v>0</v>
      </c>
      <c r="F10" s="267">
        <f t="shared" si="2"/>
        <v>0</v>
      </c>
      <c r="G10" s="267">
        <f t="shared" si="2"/>
        <v>0</v>
      </c>
      <c r="H10" s="267">
        <f t="shared" si="2"/>
        <v>0</v>
      </c>
      <c r="I10" s="267">
        <f t="shared" si="2"/>
        <v>0</v>
      </c>
      <c r="J10" s="267">
        <f t="shared" si="2"/>
        <v>0</v>
      </c>
      <c r="K10" s="6"/>
      <c r="L10" s="6"/>
      <c r="M10" s="1"/>
      <c r="N10" s="1"/>
      <c r="O10" s="1"/>
      <c r="P10" s="1"/>
      <c r="Q10" s="1"/>
      <c r="R10" s="1"/>
      <c r="S10" s="1"/>
      <c r="T10" s="1"/>
      <c r="U10" s="1"/>
      <c r="V10" s="1"/>
      <c r="W10" s="1"/>
      <c r="X10" s="571"/>
      <c r="Y10" s="571"/>
      <c r="Z10" s="571"/>
    </row>
    <row r="11" spans="1:26" hidden="1" x14ac:dyDescent="0.2">
      <c r="A11" s="6"/>
      <c r="B11" s="6"/>
      <c r="C11" s="6"/>
      <c r="D11" s="180">
        <v>4</v>
      </c>
      <c r="E11" s="267">
        <f t="shared" ref="E11:J11" si="3">E78</f>
        <v>0</v>
      </c>
      <c r="F11" s="267">
        <f t="shared" si="3"/>
        <v>0</v>
      </c>
      <c r="G11" s="267">
        <f t="shared" si="3"/>
        <v>0</v>
      </c>
      <c r="H11" s="267">
        <f t="shared" si="3"/>
        <v>0</v>
      </c>
      <c r="I11" s="267">
        <f t="shared" si="3"/>
        <v>0</v>
      </c>
      <c r="J11" s="267">
        <f t="shared" si="3"/>
        <v>0</v>
      </c>
      <c r="K11" s="6"/>
      <c r="L11" s="6"/>
      <c r="M11" s="1"/>
      <c r="N11" s="1"/>
      <c r="O11" s="1"/>
      <c r="P11" s="1"/>
      <c r="Q11" s="1"/>
      <c r="R11" s="1"/>
      <c r="S11" s="1"/>
      <c r="T11" s="1"/>
      <c r="U11" s="1"/>
      <c r="V11" s="1"/>
      <c r="W11" s="1"/>
      <c r="X11" s="571"/>
      <c r="Y11" s="571"/>
      <c r="Z11" s="571"/>
    </row>
    <row r="12" spans="1:26" hidden="1" x14ac:dyDescent="0.2">
      <c r="A12" s="6"/>
      <c r="B12" s="6"/>
      <c r="C12" s="6"/>
      <c r="D12" s="180">
        <v>5</v>
      </c>
      <c r="E12" s="267">
        <f t="shared" ref="E12:J12" si="4">E95</f>
        <v>0</v>
      </c>
      <c r="F12" s="267">
        <f t="shared" si="4"/>
        <v>0</v>
      </c>
      <c r="G12" s="267">
        <f t="shared" si="4"/>
        <v>0</v>
      </c>
      <c r="H12" s="267">
        <f t="shared" si="4"/>
        <v>0</v>
      </c>
      <c r="I12" s="267">
        <f t="shared" si="4"/>
        <v>0</v>
      </c>
      <c r="J12" s="267">
        <f t="shared" si="4"/>
        <v>0</v>
      </c>
      <c r="K12" s="6"/>
      <c r="L12" s="6"/>
      <c r="M12" s="1"/>
      <c r="N12" s="1"/>
      <c r="O12" s="1"/>
      <c r="P12" s="1"/>
      <c r="Q12" s="1"/>
      <c r="R12" s="1"/>
      <c r="S12" s="1"/>
      <c r="T12" s="1"/>
      <c r="U12" s="1"/>
      <c r="V12" s="1"/>
      <c r="W12" s="1"/>
      <c r="X12" s="571"/>
      <c r="Y12" s="571"/>
      <c r="Z12" s="571"/>
    </row>
    <row r="13" spans="1:26" hidden="1" x14ac:dyDescent="0.2">
      <c r="A13" s="6"/>
      <c r="B13" s="6"/>
      <c r="C13" s="6"/>
      <c r="D13" s="180">
        <v>6</v>
      </c>
      <c r="E13" s="267">
        <f t="shared" ref="E13:J13" si="5">E112</f>
        <v>0</v>
      </c>
      <c r="F13" s="267">
        <f t="shared" si="5"/>
        <v>0</v>
      </c>
      <c r="G13" s="267">
        <f t="shared" si="5"/>
        <v>0</v>
      </c>
      <c r="H13" s="267">
        <f t="shared" si="5"/>
        <v>0</v>
      </c>
      <c r="I13" s="267">
        <f t="shared" si="5"/>
        <v>0</v>
      </c>
      <c r="J13" s="267">
        <f t="shared" si="5"/>
        <v>0</v>
      </c>
      <c r="K13" s="6"/>
      <c r="L13" s="6"/>
      <c r="M13" s="1"/>
      <c r="N13" s="1"/>
      <c r="O13" s="1"/>
      <c r="P13" s="1"/>
      <c r="Q13" s="1"/>
      <c r="R13" s="1"/>
      <c r="S13" s="1"/>
      <c r="T13" s="1"/>
      <c r="U13" s="1"/>
      <c r="V13" s="1"/>
      <c r="W13" s="1"/>
      <c r="X13" s="571"/>
      <c r="Y13" s="571"/>
      <c r="Z13" s="571"/>
    </row>
    <row r="14" spans="1:26" hidden="1" x14ac:dyDescent="0.2">
      <c r="A14" s="6"/>
      <c r="B14" s="6"/>
      <c r="C14" s="6"/>
      <c r="D14" s="180">
        <v>7</v>
      </c>
      <c r="E14" s="267">
        <f t="shared" ref="E14:J14" si="6">E129</f>
        <v>0</v>
      </c>
      <c r="F14" s="267">
        <f t="shared" si="6"/>
        <v>0</v>
      </c>
      <c r="G14" s="267">
        <f t="shared" si="6"/>
        <v>0</v>
      </c>
      <c r="H14" s="267">
        <f t="shared" si="6"/>
        <v>0</v>
      </c>
      <c r="I14" s="267">
        <f t="shared" si="6"/>
        <v>0</v>
      </c>
      <c r="J14" s="267">
        <f t="shared" si="6"/>
        <v>0</v>
      </c>
      <c r="K14" s="6"/>
      <c r="L14" s="6"/>
      <c r="M14" s="1"/>
      <c r="N14" s="1"/>
      <c r="O14" s="1"/>
      <c r="P14" s="1"/>
      <c r="Q14" s="1"/>
      <c r="R14" s="1"/>
      <c r="S14" s="1"/>
      <c r="T14" s="1"/>
      <c r="U14" s="1"/>
      <c r="V14" s="1"/>
      <c r="W14" s="1"/>
      <c r="X14" s="571"/>
      <c r="Y14" s="571"/>
      <c r="Z14" s="571"/>
    </row>
    <row r="15" spans="1:26" hidden="1" x14ac:dyDescent="0.2">
      <c r="A15" s="6"/>
      <c r="B15" s="6"/>
      <c r="C15" s="6"/>
      <c r="D15" s="180">
        <v>8</v>
      </c>
      <c r="E15" s="267">
        <f t="shared" ref="E15:J15" si="7">E146</f>
        <v>0</v>
      </c>
      <c r="F15" s="267">
        <f t="shared" si="7"/>
        <v>0</v>
      </c>
      <c r="G15" s="267">
        <f t="shared" si="7"/>
        <v>0</v>
      </c>
      <c r="H15" s="267">
        <f t="shared" si="7"/>
        <v>0</v>
      </c>
      <c r="I15" s="267">
        <f t="shared" si="7"/>
        <v>0</v>
      </c>
      <c r="J15" s="267">
        <f t="shared" si="7"/>
        <v>0</v>
      </c>
      <c r="K15" s="6"/>
      <c r="L15" s="6"/>
      <c r="M15" s="1"/>
      <c r="N15" s="1"/>
      <c r="O15" s="1"/>
      <c r="P15" s="1"/>
      <c r="Q15" s="1"/>
      <c r="R15" s="1"/>
      <c r="S15" s="1"/>
      <c r="T15" s="1"/>
      <c r="U15" s="1"/>
      <c r="V15" s="1"/>
      <c r="W15" s="1"/>
      <c r="X15" s="571"/>
      <c r="Y15" s="571"/>
      <c r="Z15" s="571"/>
    </row>
    <row r="16" spans="1:26" hidden="1" x14ac:dyDescent="0.2">
      <c r="A16" s="6"/>
      <c r="B16" s="6"/>
      <c r="C16" s="6"/>
      <c r="D16" s="180">
        <v>9</v>
      </c>
      <c r="E16" s="267">
        <f t="shared" ref="E16:J16" si="8">E163</f>
        <v>0</v>
      </c>
      <c r="F16" s="267">
        <f t="shared" si="8"/>
        <v>0</v>
      </c>
      <c r="G16" s="267">
        <f t="shared" si="8"/>
        <v>0</v>
      </c>
      <c r="H16" s="267">
        <f t="shared" si="8"/>
        <v>0</v>
      </c>
      <c r="I16" s="267">
        <f t="shared" si="8"/>
        <v>0</v>
      </c>
      <c r="J16" s="267">
        <f t="shared" si="8"/>
        <v>0</v>
      </c>
      <c r="K16" s="6"/>
      <c r="L16" s="6"/>
      <c r="M16" s="1"/>
      <c r="N16" s="1"/>
      <c r="O16" s="1"/>
      <c r="P16" s="1"/>
      <c r="Q16" s="1"/>
      <c r="R16" s="1"/>
      <c r="S16" s="1"/>
      <c r="T16" s="1"/>
      <c r="U16" s="1"/>
      <c r="V16" s="1"/>
      <c r="W16" s="1"/>
      <c r="X16" s="571"/>
      <c r="Y16" s="571"/>
      <c r="Z16" s="571"/>
    </row>
    <row r="17" spans="1:26" hidden="1" x14ac:dyDescent="0.2">
      <c r="A17" s="6"/>
      <c r="B17" s="6"/>
      <c r="C17" s="6"/>
      <c r="D17" s="180">
        <v>10</v>
      </c>
      <c r="E17" s="267">
        <f t="shared" ref="E17:J17" si="9">E180</f>
        <v>0</v>
      </c>
      <c r="F17" s="267">
        <f t="shared" si="9"/>
        <v>0</v>
      </c>
      <c r="G17" s="267">
        <f t="shared" si="9"/>
        <v>0</v>
      </c>
      <c r="H17" s="267">
        <f t="shared" si="9"/>
        <v>0</v>
      </c>
      <c r="I17" s="267">
        <f t="shared" si="9"/>
        <v>0</v>
      </c>
      <c r="J17" s="267">
        <f t="shared" si="9"/>
        <v>0</v>
      </c>
      <c r="K17" s="6"/>
      <c r="L17" s="6"/>
      <c r="M17" s="1"/>
      <c r="N17" s="1"/>
      <c r="O17" s="1"/>
      <c r="P17" s="1"/>
      <c r="Q17" s="1"/>
      <c r="R17" s="1"/>
      <c r="S17" s="1"/>
      <c r="T17" s="1"/>
      <c r="U17" s="1"/>
      <c r="V17" s="1"/>
      <c r="W17" s="1"/>
      <c r="X17" s="571"/>
      <c r="Y17" s="571"/>
      <c r="Z17" s="571"/>
    </row>
    <row r="18" spans="1:26" hidden="1" x14ac:dyDescent="0.2">
      <c r="A18" s="6"/>
      <c r="B18" s="6"/>
      <c r="C18" s="6"/>
      <c r="D18" s="266"/>
      <c r="E18" s="6"/>
      <c r="F18" s="6"/>
      <c r="G18" s="6"/>
      <c r="H18" s="6"/>
      <c r="I18" s="6"/>
      <c r="J18" s="6"/>
      <c r="K18" s="6"/>
      <c r="L18" s="6"/>
      <c r="M18" s="1"/>
      <c r="N18" s="1"/>
      <c r="O18" s="1"/>
      <c r="P18" s="1"/>
      <c r="Q18" s="1"/>
      <c r="R18" s="1"/>
      <c r="S18" s="1"/>
      <c r="T18" s="1"/>
      <c r="U18" s="1"/>
      <c r="V18" s="1"/>
      <c r="W18" s="1"/>
      <c r="X18" s="571"/>
      <c r="Y18" s="571"/>
      <c r="Z18" s="571"/>
    </row>
    <row r="19" spans="1:26" ht="15.75" x14ac:dyDescent="0.2">
      <c r="A19" s="287"/>
      <c r="B19" s="83">
        <f>IF(E23&lt;&gt;"",VLOOKUP(E23,GenderCode,2,FALSE),0)</f>
        <v>0</v>
      </c>
      <c r="C19" s="212">
        <v>1</v>
      </c>
      <c r="D19" s="110" t="str">
        <f>IF(B19=0,MsgNotUsed, CONCATENATE("AIHW population ", C19, ": ", E21,": ", E23, " (", E26, "-", J26, ")"))</f>
        <v>** NOT USED **</v>
      </c>
      <c r="E19" s="178"/>
      <c r="F19" s="178"/>
      <c r="G19" s="178"/>
      <c r="H19" s="178"/>
      <c r="I19" s="268"/>
      <c r="J19" s="178"/>
      <c r="K19" s="178"/>
      <c r="L19" s="178"/>
      <c r="M19" s="371"/>
      <c r="N19" s="371"/>
      <c r="O19" s="371"/>
      <c r="P19" s="371"/>
      <c r="Q19" s="371"/>
      <c r="R19" s="371"/>
      <c r="S19" s="371"/>
      <c r="T19" s="371"/>
      <c r="U19" s="371"/>
      <c r="V19" s="371"/>
      <c r="W19" s="371"/>
      <c r="X19" s="371"/>
      <c r="Y19" s="371"/>
      <c r="Z19" s="371"/>
    </row>
    <row r="20" spans="1:26" s="575" customFormat="1" outlineLevel="1" x14ac:dyDescent="0.2">
      <c r="A20" s="287"/>
      <c r="B20" s="287"/>
      <c r="C20" s="287"/>
      <c r="D20" s="266"/>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outlineLevel="1" x14ac:dyDescent="0.2">
      <c r="A21" s="287"/>
      <c r="B21" s="287"/>
      <c r="C21" s="287"/>
      <c r="D21" s="58" t="s">
        <v>314</v>
      </c>
      <c r="E21" s="870"/>
      <c r="F21" s="848"/>
      <c r="G21" s="848"/>
      <c r="H21" s="848"/>
      <c r="I21" s="848"/>
      <c r="J21" s="849"/>
      <c r="K21" s="220"/>
      <c r="L21" s="58" t="s">
        <v>305</v>
      </c>
      <c r="M21" s="870"/>
      <c r="N21" s="848"/>
      <c r="O21" s="848"/>
      <c r="P21" s="848"/>
      <c r="Q21" s="848"/>
      <c r="R21" s="849"/>
      <c r="S21" s="59"/>
      <c r="T21" s="59"/>
      <c r="U21" s="59"/>
      <c r="V21" s="59"/>
      <c r="W21" s="59"/>
      <c r="X21" s="59"/>
      <c r="Y21" s="59"/>
      <c r="Z21" s="59"/>
    </row>
    <row r="22" spans="1:26" ht="14.25" outlineLevel="1" x14ac:dyDescent="0.2">
      <c r="A22" s="287"/>
      <c r="B22" s="287"/>
      <c r="C22" s="287"/>
      <c r="D22" s="209"/>
      <c r="E22" s="220"/>
      <c r="F22" s="220"/>
      <c r="G22" s="287"/>
      <c r="H22" s="220"/>
      <c r="I22" s="220"/>
      <c r="J22" s="220"/>
      <c r="K22" s="220"/>
      <c r="L22" s="288"/>
      <c r="M22" s="59"/>
      <c r="N22" s="59"/>
      <c r="O22" s="59"/>
      <c r="P22" s="59"/>
      <c r="Q22" s="59"/>
      <c r="R22" s="59"/>
      <c r="S22" s="59"/>
      <c r="T22" s="59"/>
      <c r="U22" s="59"/>
      <c r="V22" s="59"/>
      <c r="W22" s="59"/>
      <c r="X22" s="59"/>
      <c r="Y22" s="59"/>
      <c r="Z22" s="59"/>
    </row>
    <row r="23" spans="1:26" outlineLevel="1" x14ac:dyDescent="0.2">
      <c r="A23" s="287"/>
      <c r="B23" s="287"/>
      <c r="C23" s="287"/>
      <c r="D23" s="114" t="s">
        <v>52</v>
      </c>
      <c r="E23" s="107"/>
      <c r="F23" s="220"/>
      <c r="G23" s="287"/>
      <c r="H23" s="287"/>
      <c r="I23" s="114" t="s">
        <v>405</v>
      </c>
      <c r="J23" s="107"/>
      <c r="K23" s="220"/>
      <c r="L23" s="288"/>
      <c r="M23" s="59"/>
      <c r="N23" s="59"/>
      <c r="O23" s="59"/>
      <c r="P23" s="59"/>
      <c r="Q23" s="59"/>
      <c r="R23" s="59"/>
      <c r="S23" s="59"/>
      <c r="T23" s="59"/>
      <c r="U23" s="59"/>
      <c r="V23" s="59"/>
      <c r="W23" s="59"/>
      <c r="X23" s="59"/>
      <c r="Y23" s="59"/>
      <c r="Z23" s="59"/>
    </row>
    <row r="24" spans="1:26" outlineLevel="1" x14ac:dyDescent="0.2">
      <c r="A24" s="287"/>
      <c r="B24" s="287"/>
      <c r="C24" s="287"/>
      <c r="D24" s="6"/>
      <c r="E24" s="220"/>
      <c r="F24" s="220"/>
      <c r="G24" s="220"/>
      <c r="H24" s="220"/>
      <c r="I24" s="220"/>
      <c r="J24" s="220"/>
      <c r="K24" s="220"/>
      <c r="L24" s="288"/>
      <c r="M24" s="59"/>
      <c r="N24" s="59"/>
      <c r="O24" s="59"/>
      <c r="P24" s="59"/>
      <c r="Q24" s="59"/>
      <c r="R24" s="59"/>
      <c r="S24" s="59"/>
      <c r="T24" s="59"/>
      <c r="U24" s="59"/>
      <c r="V24" s="59"/>
      <c r="W24" s="59"/>
      <c r="X24" s="59"/>
      <c r="Y24" s="59"/>
      <c r="Z24" s="59"/>
    </row>
    <row r="25" spans="1:26" outlineLevel="1" x14ac:dyDescent="0.2">
      <c r="A25" s="287"/>
      <c r="B25" s="287"/>
      <c r="C25" s="287"/>
      <c r="D25" s="220"/>
      <c r="E25" s="195" t="s">
        <v>289</v>
      </c>
      <c r="F25" s="220"/>
      <c r="G25" s="220"/>
      <c r="H25" s="220"/>
      <c r="I25" s="220"/>
      <c r="J25" s="220"/>
      <c r="K25" s="220"/>
      <c r="L25" s="288"/>
      <c r="M25" s="59"/>
      <c r="N25" s="59"/>
      <c r="O25" s="59"/>
      <c r="P25" s="59"/>
      <c r="Q25" s="59"/>
      <c r="R25" s="59"/>
      <c r="S25" s="59"/>
      <c r="T25" s="59"/>
      <c r="U25" s="59"/>
      <c r="V25" s="59"/>
      <c r="W25" s="59"/>
      <c r="X25" s="59"/>
      <c r="Y25" s="59"/>
      <c r="Z25" s="59"/>
    </row>
    <row r="26" spans="1:26" outlineLevel="1" x14ac:dyDescent="0.2">
      <c r="A26" s="287"/>
      <c r="B26" s="287"/>
      <c r="C26" s="287"/>
      <c r="D26" s="6"/>
      <c r="E26" s="108">
        <f>IF(J23&lt;&gt;"",J23,FirstYear)</f>
        <v>0</v>
      </c>
      <c r="F26" s="112">
        <f>E26+1</f>
        <v>1</v>
      </c>
      <c r="G26" s="112">
        <f>F26+1</f>
        <v>2</v>
      </c>
      <c r="H26" s="112">
        <f>G26+1</f>
        <v>3</v>
      </c>
      <c r="I26" s="112">
        <f>H26+1</f>
        <v>4</v>
      </c>
      <c r="J26" s="112">
        <f>I26+1</f>
        <v>5</v>
      </c>
      <c r="K26" s="220"/>
      <c r="L26" s="288"/>
      <c r="M26" s="59"/>
      <c r="N26" s="59"/>
      <c r="O26" s="59"/>
      <c r="P26" s="59"/>
      <c r="Q26" s="59"/>
      <c r="R26" s="59"/>
      <c r="S26" s="59"/>
      <c r="T26" s="59"/>
      <c r="U26" s="59"/>
      <c r="V26" s="59"/>
      <c r="W26" s="59"/>
      <c r="X26" s="59"/>
      <c r="Y26" s="59"/>
      <c r="Z26" s="59"/>
    </row>
    <row r="27" spans="1:26" outlineLevel="1" x14ac:dyDescent="0.2">
      <c r="A27" s="287"/>
      <c r="B27" s="287"/>
      <c r="C27" s="287"/>
      <c r="D27" s="220"/>
      <c r="E27" s="86">
        <f>IF($B$19&lt;&gt;0,VLOOKUP($B$19,$C$31:$J$33,E28),0)</f>
        <v>0</v>
      </c>
      <c r="F27" s="86">
        <f t="shared" ref="F27:J27" si="10">IF($B$19&lt;&gt;0,VLOOKUP($B$19,$C$31:$J$33,F28),0)</f>
        <v>0</v>
      </c>
      <c r="G27" s="86">
        <f t="shared" si="10"/>
        <v>0</v>
      </c>
      <c r="H27" s="86">
        <f t="shared" si="10"/>
        <v>0</v>
      </c>
      <c r="I27" s="86">
        <f t="shared" si="10"/>
        <v>0</v>
      </c>
      <c r="J27" s="86">
        <f t="shared" si="10"/>
        <v>0</v>
      </c>
      <c r="K27" s="220"/>
      <c r="L27" s="288"/>
      <c r="M27" s="59"/>
      <c r="N27" s="59"/>
      <c r="O27" s="59"/>
      <c r="P27" s="59"/>
      <c r="Q27" s="59"/>
      <c r="R27" s="59"/>
      <c r="S27" s="59"/>
      <c r="T27" s="59"/>
      <c r="U27" s="59"/>
      <c r="V27" s="59"/>
      <c r="W27" s="59"/>
      <c r="X27" s="59"/>
      <c r="Y27" s="59"/>
      <c r="Z27" s="59"/>
    </row>
    <row r="28" spans="1:26" outlineLevel="1" x14ac:dyDescent="0.2">
      <c r="A28" s="287"/>
      <c r="B28" s="287"/>
      <c r="C28" s="287"/>
      <c r="D28" s="220"/>
      <c r="E28" s="269">
        <v>3</v>
      </c>
      <c r="F28" s="269">
        <v>4</v>
      </c>
      <c r="G28" s="269">
        <v>5</v>
      </c>
      <c r="H28" s="269">
        <v>6</v>
      </c>
      <c r="I28" s="269">
        <v>7</v>
      </c>
      <c r="J28" s="269">
        <v>8</v>
      </c>
      <c r="K28" s="220"/>
      <c r="L28" s="288"/>
      <c r="M28" s="59"/>
      <c r="N28" s="59"/>
      <c r="O28" s="59"/>
      <c r="P28" s="59"/>
      <c r="Q28" s="59"/>
      <c r="R28" s="59"/>
      <c r="S28" s="59"/>
      <c r="T28" s="59"/>
      <c r="U28" s="59"/>
      <c r="V28" s="59"/>
      <c r="W28" s="59"/>
      <c r="X28" s="59"/>
      <c r="Y28" s="59"/>
      <c r="Z28" s="59"/>
    </row>
    <row r="29" spans="1:26" outlineLevel="1" x14ac:dyDescent="0.2">
      <c r="A29" s="287"/>
      <c r="B29" s="287"/>
      <c r="C29" s="287"/>
      <c r="D29" s="46" t="s">
        <v>362</v>
      </c>
      <c r="E29" s="108">
        <f t="shared" ref="E29:J29" si="11">E26</f>
        <v>0</v>
      </c>
      <c r="F29" s="108">
        <f t="shared" si="11"/>
        <v>1</v>
      </c>
      <c r="G29" s="108">
        <f t="shared" si="11"/>
        <v>2</v>
      </c>
      <c r="H29" s="108">
        <f t="shared" si="11"/>
        <v>3</v>
      </c>
      <c r="I29" s="108">
        <f t="shared" si="11"/>
        <v>4</v>
      </c>
      <c r="J29" s="108">
        <f t="shared" si="11"/>
        <v>5</v>
      </c>
      <c r="K29" s="220"/>
      <c r="L29" s="287"/>
      <c r="M29" s="60"/>
      <c r="N29" s="60"/>
      <c r="O29" s="60"/>
      <c r="P29" s="60"/>
      <c r="Q29" s="60"/>
      <c r="R29" s="60"/>
      <c r="S29" s="60"/>
      <c r="T29" s="60"/>
      <c r="U29" s="60"/>
      <c r="V29" s="60"/>
      <c r="W29" s="60"/>
      <c r="X29" s="60"/>
      <c r="Y29" s="60"/>
      <c r="Z29" s="60"/>
    </row>
    <row r="30" spans="1:26" outlineLevel="1" x14ac:dyDescent="0.2">
      <c r="A30" s="287"/>
      <c r="B30" s="287"/>
      <c r="D30" s="270" t="s">
        <v>274</v>
      </c>
      <c r="E30" s="86">
        <f>IF(OR(E31="",E31=0),SUM(E32:E33),E31)</f>
        <v>0</v>
      </c>
      <c r="F30" s="86">
        <f t="shared" ref="F30:J30" si="12">IF(OR(F31="",F31=0),SUM(F32:F33),F31)</f>
        <v>0</v>
      </c>
      <c r="G30" s="86">
        <f t="shared" si="12"/>
        <v>0</v>
      </c>
      <c r="H30" s="86">
        <f t="shared" si="12"/>
        <v>0</v>
      </c>
      <c r="I30" s="86">
        <f t="shared" si="12"/>
        <v>0</v>
      </c>
      <c r="J30" s="86">
        <f t="shared" si="12"/>
        <v>0</v>
      </c>
      <c r="K30" s="220"/>
      <c r="L30" s="287"/>
      <c r="M30" s="60"/>
      <c r="N30" s="60"/>
      <c r="O30" s="60"/>
      <c r="P30" s="60"/>
      <c r="Q30" s="60"/>
      <c r="R30" s="60"/>
      <c r="S30" s="60"/>
      <c r="T30" s="60"/>
      <c r="U30" s="60"/>
      <c r="V30" s="60"/>
      <c r="W30" s="60"/>
      <c r="X30" s="60"/>
      <c r="Y30" s="60"/>
      <c r="Z30" s="60"/>
    </row>
    <row r="31" spans="1:26" outlineLevel="1" x14ac:dyDescent="0.2">
      <c r="A31" s="287"/>
      <c r="B31" s="287"/>
      <c r="C31" s="212">
        <v>1</v>
      </c>
      <c r="D31" s="270" t="s">
        <v>406</v>
      </c>
      <c r="E31" s="504"/>
      <c r="F31" s="504"/>
      <c r="G31" s="504"/>
      <c r="H31" s="504"/>
      <c r="I31" s="504"/>
      <c r="J31" s="504"/>
      <c r="K31" s="220"/>
      <c r="L31" s="287"/>
      <c r="M31" s="60"/>
      <c r="N31" s="60"/>
      <c r="O31" s="60"/>
      <c r="P31" s="60"/>
      <c r="Q31" s="60"/>
      <c r="R31" s="60"/>
      <c r="S31" s="60"/>
      <c r="T31" s="60"/>
      <c r="U31" s="60"/>
      <c r="V31" s="60"/>
      <c r="W31" s="60"/>
      <c r="X31" s="60"/>
      <c r="Y31" s="60"/>
      <c r="Z31" s="60"/>
    </row>
    <row r="32" spans="1:26" outlineLevel="1" x14ac:dyDescent="0.2">
      <c r="A32" s="287"/>
      <c r="B32" s="287"/>
      <c r="C32" s="212">
        <v>2</v>
      </c>
      <c r="D32" s="270" t="s">
        <v>277</v>
      </c>
      <c r="E32" s="504"/>
      <c r="F32" s="504"/>
      <c r="G32" s="504"/>
      <c r="H32" s="504"/>
      <c r="I32" s="504"/>
      <c r="J32" s="504"/>
      <c r="K32" s="220"/>
      <c r="L32" s="287"/>
      <c r="M32" s="60"/>
      <c r="N32" s="60"/>
      <c r="O32" s="60"/>
      <c r="P32" s="60"/>
      <c r="Q32" s="60"/>
      <c r="R32" s="60"/>
      <c r="S32" s="60"/>
      <c r="T32" s="60"/>
      <c r="U32" s="60"/>
      <c r="V32" s="60"/>
      <c r="W32" s="60"/>
      <c r="X32" s="60"/>
      <c r="Y32" s="60"/>
      <c r="Z32" s="60"/>
    </row>
    <row r="33" spans="1:26" outlineLevel="1" x14ac:dyDescent="0.2">
      <c r="A33" s="287"/>
      <c r="B33" s="287"/>
      <c r="C33" s="212">
        <v>3</v>
      </c>
      <c r="D33" s="270" t="s">
        <v>278</v>
      </c>
      <c r="E33" s="504"/>
      <c r="F33" s="504"/>
      <c r="G33" s="504"/>
      <c r="H33" s="504"/>
      <c r="I33" s="504"/>
      <c r="J33" s="504"/>
      <c r="K33" s="220"/>
      <c r="L33" s="287"/>
      <c r="M33" s="60"/>
      <c r="N33" s="60"/>
      <c r="O33" s="60"/>
      <c r="P33" s="60"/>
      <c r="Q33" s="60"/>
      <c r="R33" s="60"/>
      <c r="S33" s="60"/>
      <c r="T33" s="60"/>
      <c r="U33" s="60"/>
      <c r="V33" s="60"/>
      <c r="W33" s="60"/>
      <c r="X33" s="60"/>
      <c r="Y33" s="60"/>
      <c r="Z33" s="60"/>
    </row>
    <row r="34" spans="1:26" outlineLevel="1" x14ac:dyDescent="0.2">
      <c r="A34" s="287"/>
      <c r="B34" s="287"/>
      <c r="C34" s="287"/>
      <c r="D34" s="6"/>
      <c r="E34" s="220"/>
      <c r="F34" s="220"/>
      <c r="G34" s="220"/>
      <c r="H34" s="220"/>
      <c r="I34" s="220"/>
      <c r="J34" s="220"/>
      <c r="K34" s="220"/>
      <c r="L34" s="287"/>
      <c r="M34" s="60"/>
      <c r="N34" s="60"/>
      <c r="O34" s="60"/>
      <c r="P34" s="60"/>
      <c r="Q34" s="60"/>
      <c r="R34" s="60"/>
      <c r="S34" s="60"/>
      <c r="T34" s="60"/>
      <c r="U34" s="60"/>
      <c r="V34" s="60"/>
      <c r="W34" s="60"/>
      <c r="X34" s="60"/>
      <c r="Y34" s="60"/>
      <c r="Z34" s="60"/>
    </row>
    <row r="35" spans="1:26" x14ac:dyDescent="0.2">
      <c r="A35" s="287"/>
      <c r="B35" s="287"/>
      <c r="C35" s="287"/>
      <c r="D35" s="6"/>
      <c r="E35" s="220"/>
      <c r="F35" s="220"/>
      <c r="G35" s="220"/>
      <c r="H35" s="220"/>
      <c r="I35" s="220"/>
      <c r="J35" s="220"/>
      <c r="K35" s="220"/>
      <c r="L35" s="287"/>
      <c r="M35" s="60"/>
      <c r="N35" s="60"/>
      <c r="O35" s="60"/>
      <c r="P35" s="60"/>
      <c r="Q35" s="60"/>
      <c r="R35" s="60"/>
      <c r="S35" s="60"/>
      <c r="T35" s="60"/>
      <c r="U35" s="60"/>
      <c r="V35" s="60"/>
      <c r="W35" s="60"/>
      <c r="X35" s="60"/>
      <c r="Y35" s="60"/>
      <c r="Z35" s="60"/>
    </row>
    <row r="36" spans="1:26" ht="15.75" x14ac:dyDescent="0.2">
      <c r="A36" s="287"/>
      <c r="B36" s="83">
        <f>IF(E40&lt;&gt;"",VLOOKUP(E40,GenderCode,2,FALSE),0)</f>
        <v>0</v>
      </c>
      <c r="C36" s="212">
        <v>2</v>
      </c>
      <c r="D36" s="110" t="str">
        <f>IF(B36=0,MsgNotUsed, CONCATENATE("AIHW population ", C36, ": ", E38,": ", E40, " (", E43, "-", J43, ")"))</f>
        <v>** NOT USED **</v>
      </c>
      <c r="E36" s="178"/>
      <c r="F36" s="178"/>
      <c r="G36" s="178"/>
      <c r="H36" s="178"/>
      <c r="I36" s="268"/>
      <c r="J36" s="178"/>
      <c r="K36" s="178"/>
      <c r="L36" s="178"/>
      <c r="M36" s="371"/>
      <c r="N36" s="371"/>
      <c r="O36" s="371"/>
      <c r="P36" s="371"/>
      <c r="Q36" s="371"/>
      <c r="R36" s="371"/>
      <c r="S36" s="371"/>
      <c r="T36" s="371"/>
      <c r="U36" s="371"/>
      <c r="V36" s="371"/>
      <c r="W36" s="371"/>
      <c r="X36" s="371"/>
      <c r="Y36" s="371"/>
      <c r="Z36" s="371"/>
    </row>
    <row r="37" spans="1:26" ht="14.25" outlineLevel="1" x14ac:dyDescent="0.2">
      <c r="A37" s="287"/>
      <c r="B37" s="287"/>
      <c r="C37" s="287"/>
      <c r="D37" s="209"/>
      <c r="E37" s="220"/>
      <c r="F37" s="220"/>
      <c r="G37" s="220"/>
      <c r="H37" s="220"/>
      <c r="I37" s="220"/>
      <c r="J37" s="220"/>
      <c r="K37" s="220"/>
      <c r="L37" s="502"/>
      <c r="M37" s="502"/>
      <c r="N37" s="502"/>
      <c r="O37" s="502"/>
      <c r="P37" s="502"/>
      <c r="Q37" s="502"/>
      <c r="R37" s="502"/>
      <c r="S37" s="502"/>
      <c r="T37" s="502"/>
      <c r="U37" s="502"/>
      <c r="V37" s="502"/>
      <c r="W37" s="502"/>
      <c r="X37" s="572"/>
      <c r="Y37" s="572"/>
      <c r="Z37" s="572"/>
    </row>
    <row r="38" spans="1:26" outlineLevel="1" x14ac:dyDescent="0.2">
      <c r="A38" s="287"/>
      <c r="B38" s="287"/>
      <c r="C38" s="287"/>
      <c r="D38" s="58" t="s">
        <v>314</v>
      </c>
      <c r="E38" s="870"/>
      <c r="F38" s="848"/>
      <c r="G38" s="848"/>
      <c r="H38" s="848"/>
      <c r="I38" s="848"/>
      <c r="J38" s="849"/>
      <c r="K38" s="220"/>
      <c r="L38" s="58" t="s">
        <v>305</v>
      </c>
      <c r="M38" s="870"/>
      <c r="N38" s="848"/>
      <c r="O38" s="848"/>
      <c r="P38" s="848"/>
      <c r="Q38" s="848"/>
      <c r="R38" s="849"/>
      <c r="S38" s="59"/>
      <c r="T38" s="59"/>
      <c r="U38" s="59"/>
      <c r="V38" s="59"/>
      <c r="W38" s="59"/>
      <c r="X38" s="59"/>
      <c r="Y38" s="59"/>
      <c r="Z38" s="59"/>
    </row>
    <row r="39" spans="1:26" ht="14.25" outlineLevel="1" x14ac:dyDescent="0.2">
      <c r="A39" s="287"/>
      <c r="B39" s="287"/>
      <c r="C39" s="287"/>
      <c r="D39" s="209"/>
      <c r="E39" s="220"/>
      <c r="F39" s="220"/>
      <c r="G39" s="220"/>
      <c r="H39" s="220"/>
      <c r="I39" s="220"/>
      <c r="J39" s="220"/>
      <c r="K39" s="220"/>
      <c r="L39" s="288"/>
      <c r="M39" s="59"/>
      <c r="N39" s="59"/>
      <c r="O39" s="59"/>
      <c r="P39" s="59"/>
      <c r="Q39" s="59"/>
      <c r="R39" s="59"/>
      <c r="S39" s="59"/>
      <c r="T39" s="59"/>
      <c r="U39" s="59"/>
      <c r="V39" s="59"/>
      <c r="W39" s="59"/>
      <c r="X39" s="59"/>
      <c r="Y39" s="59"/>
      <c r="Z39" s="59"/>
    </row>
    <row r="40" spans="1:26" outlineLevel="1" x14ac:dyDescent="0.2">
      <c r="A40" s="287"/>
      <c r="B40" s="287"/>
      <c r="C40" s="287"/>
      <c r="D40" s="114" t="s">
        <v>52</v>
      </c>
      <c r="E40" s="107"/>
      <c r="F40" s="220"/>
      <c r="G40" s="220"/>
      <c r="H40" s="287"/>
      <c r="I40" s="114" t="s">
        <v>405</v>
      </c>
      <c r="J40" s="107"/>
      <c r="K40" s="220"/>
      <c r="L40" s="288"/>
      <c r="M40" s="59"/>
      <c r="N40" s="59"/>
      <c r="O40" s="59"/>
      <c r="P40" s="59"/>
      <c r="Q40" s="59"/>
      <c r="R40" s="59"/>
      <c r="S40" s="59"/>
      <c r="T40" s="59"/>
      <c r="U40" s="59"/>
      <c r="V40" s="59"/>
      <c r="W40" s="59"/>
      <c r="X40" s="59"/>
      <c r="Y40" s="59"/>
      <c r="Z40" s="59"/>
    </row>
    <row r="41" spans="1:26" outlineLevel="1" x14ac:dyDescent="0.2">
      <c r="A41" s="287"/>
      <c r="B41" s="287"/>
      <c r="C41" s="287"/>
      <c r="D41" s="6"/>
      <c r="E41" s="220"/>
      <c r="F41" s="220"/>
      <c r="G41" s="220"/>
      <c r="H41" s="220"/>
      <c r="I41" s="220"/>
      <c r="J41" s="220"/>
      <c r="K41" s="220"/>
      <c r="L41" s="288"/>
      <c r="M41" s="59"/>
      <c r="N41" s="59"/>
      <c r="O41" s="59"/>
      <c r="P41" s="59"/>
      <c r="Q41" s="59"/>
      <c r="R41" s="59"/>
      <c r="S41" s="59"/>
      <c r="T41" s="59"/>
      <c r="U41" s="59"/>
      <c r="V41" s="59"/>
      <c r="W41" s="59"/>
      <c r="X41" s="59"/>
      <c r="Y41" s="59"/>
      <c r="Z41" s="59"/>
    </row>
    <row r="42" spans="1:26" outlineLevel="1" x14ac:dyDescent="0.2">
      <c r="A42" s="287"/>
      <c r="B42" s="287"/>
      <c r="C42" s="287"/>
      <c r="D42" s="220"/>
      <c r="E42" s="195" t="s">
        <v>289</v>
      </c>
      <c r="F42" s="220"/>
      <c r="G42" s="220"/>
      <c r="H42" s="220"/>
      <c r="I42" s="220"/>
      <c r="J42" s="220"/>
      <c r="K42" s="220"/>
      <c r="L42" s="288"/>
      <c r="M42" s="59"/>
      <c r="N42" s="59"/>
      <c r="O42" s="59"/>
      <c r="P42" s="59"/>
      <c r="Q42" s="59"/>
      <c r="R42" s="59"/>
      <c r="S42" s="59"/>
      <c r="T42" s="59"/>
      <c r="U42" s="59"/>
      <c r="V42" s="59"/>
      <c r="W42" s="59"/>
      <c r="X42" s="59"/>
      <c r="Y42" s="59"/>
      <c r="Z42" s="59"/>
    </row>
    <row r="43" spans="1:26" outlineLevel="1" x14ac:dyDescent="0.2">
      <c r="A43" s="287"/>
      <c r="B43" s="287"/>
      <c r="C43" s="287"/>
      <c r="D43" s="6"/>
      <c r="E43" s="108">
        <f>IF(J40&lt;&gt;"",J40,FirstYear)</f>
        <v>0</v>
      </c>
      <c r="F43" s="112">
        <f>E43+1</f>
        <v>1</v>
      </c>
      <c r="G43" s="112">
        <f>F43+1</f>
        <v>2</v>
      </c>
      <c r="H43" s="112">
        <f>G43+1</f>
        <v>3</v>
      </c>
      <c r="I43" s="112">
        <f>H43+1</f>
        <v>4</v>
      </c>
      <c r="J43" s="112">
        <f>I43+1</f>
        <v>5</v>
      </c>
      <c r="K43" s="220"/>
      <c r="L43" s="288"/>
      <c r="M43" s="59"/>
      <c r="N43" s="59"/>
      <c r="O43" s="59"/>
      <c r="P43" s="59"/>
      <c r="Q43" s="59"/>
      <c r="R43" s="59"/>
      <c r="S43" s="59"/>
      <c r="T43" s="59"/>
      <c r="U43" s="59"/>
      <c r="V43" s="59"/>
      <c r="W43" s="59"/>
      <c r="X43" s="59"/>
      <c r="Y43" s="59"/>
      <c r="Z43" s="59"/>
    </row>
    <row r="44" spans="1:26" outlineLevel="1" x14ac:dyDescent="0.2">
      <c r="A44" s="287"/>
      <c r="B44" s="287"/>
      <c r="C44" s="287"/>
      <c r="D44" s="220"/>
      <c r="E44" s="86">
        <f>IF($B$36&lt;&gt;0,VLOOKUP($B$36,$C$48:$J$50,E45),0)</f>
        <v>0</v>
      </c>
      <c r="F44" s="86">
        <f t="shared" ref="F44:J44" si="13">IF($B$36&lt;&gt;0,VLOOKUP($B$36,$C$48:$J$50,F45),0)</f>
        <v>0</v>
      </c>
      <c r="G44" s="86">
        <f t="shared" si="13"/>
        <v>0</v>
      </c>
      <c r="H44" s="86">
        <f t="shared" si="13"/>
        <v>0</v>
      </c>
      <c r="I44" s="86">
        <f t="shared" si="13"/>
        <v>0</v>
      </c>
      <c r="J44" s="86">
        <f t="shared" si="13"/>
        <v>0</v>
      </c>
      <c r="K44" s="220"/>
      <c r="L44" s="288"/>
      <c r="M44" s="59"/>
      <c r="N44" s="59"/>
      <c r="O44" s="59"/>
      <c r="P44" s="59"/>
      <c r="Q44" s="59"/>
      <c r="R44" s="59"/>
      <c r="S44" s="59"/>
      <c r="T44" s="59"/>
      <c r="U44" s="59"/>
      <c r="V44" s="59"/>
      <c r="W44" s="59"/>
      <c r="X44" s="59"/>
      <c r="Y44" s="59"/>
      <c r="Z44" s="59"/>
    </row>
    <row r="45" spans="1:26" outlineLevel="1" x14ac:dyDescent="0.2">
      <c r="A45" s="287"/>
      <c r="B45" s="287"/>
      <c r="C45" s="287"/>
      <c r="D45" s="220"/>
      <c r="E45" s="269">
        <v>3</v>
      </c>
      <c r="F45" s="269">
        <v>4</v>
      </c>
      <c r="G45" s="269">
        <v>5</v>
      </c>
      <c r="H45" s="269">
        <v>6</v>
      </c>
      <c r="I45" s="269">
        <v>7</v>
      </c>
      <c r="J45" s="269">
        <v>8</v>
      </c>
      <c r="K45" s="220"/>
      <c r="L45" s="288"/>
      <c r="M45" s="59"/>
      <c r="N45" s="59"/>
      <c r="O45" s="59"/>
      <c r="P45" s="59"/>
      <c r="Q45" s="59"/>
      <c r="R45" s="59"/>
      <c r="S45" s="59"/>
      <c r="T45" s="59"/>
      <c r="U45" s="59"/>
      <c r="V45" s="59"/>
      <c r="W45" s="59"/>
      <c r="X45" s="59"/>
      <c r="Y45" s="59"/>
      <c r="Z45" s="59"/>
    </row>
    <row r="46" spans="1:26" outlineLevel="1" x14ac:dyDescent="0.2">
      <c r="A46" s="287"/>
      <c r="B46" s="287"/>
      <c r="C46" s="287"/>
      <c r="D46" s="46" t="s">
        <v>362</v>
      </c>
      <c r="E46" s="108">
        <f t="shared" ref="E46:J46" si="14">E43</f>
        <v>0</v>
      </c>
      <c r="F46" s="108">
        <f t="shared" si="14"/>
        <v>1</v>
      </c>
      <c r="G46" s="108">
        <f t="shared" si="14"/>
        <v>2</v>
      </c>
      <c r="H46" s="108">
        <f t="shared" si="14"/>
        <v>3</v>
      </c>
      <c r="I46" s="108">
        <f t="shared" si="14"/>
        <v>4</v>
      </c>
      <c r="J46" s="108">
        <f t="shared" si="14"/>
        <v>5</v>
      </c>
      <c r="K46" s="220"/>
      <c r="L46" s="287"/>
      <c r="M46" s="60"/>
      <c r="N46" s="60"/>
      <c r="O46" s="60"/>
      <c r="P46" s="60"/>
      <c r="Q46" s="60"/>
      <c r="R46" s="60"/>
      <c r="S46" s="60"/>
      <c r="T46" s="60"/>
      <c r="U46" s="60"/>
      <c r="V46" s="60"/>
      <c r="W46" s="60"/>
      <c r="X46" s="60"/>
      <c r="Y46" s="60"/>
      <c r="Z46" s="60"/>
    </row>
    <row r="47" spans="1:26" outlineLevel="1" x14ac:dyDescent="0.2">
      <c r="A47" s="287"/>
      <c r="B47" s="287"/>
      <c r="D47" s="270" t="s">
        <v>274</v>
      </c>
      <c r="E47" s="86">
        <f>IF(OR(E48="",E48=0),SUM(E49:E50),E48)</f>
        <v>0</v>
      </c>
      <c r="F47" s="86">
        <f t="shared" ref="F47" si="15">IF(OR(F48="",F48=0),SUM(F49:F50),F48)</f>
        <v>0</v>
      </c>
      <c r="G47" s="86">
        <f t="shared" ref="G47" si="16">IF(OR(G48="",G48=0),SUM(G49:G50),G48)</f>
        <v>0</v>
      </c>
      <c r="H47" s="86">
        <f t="shared" ref="H47" si="17">IF(OR(H48="",H48=0),SUM(H49:H50),H48)</f>
        <v>0</v>
      </c>
      <c r="I47" s="86">
        <f t="shared" ref="I47" si="18">IF(OR(I48="",I48=0),SUM(I49:I50),I48)</f>
        <v>0</v>
      </c>
      <c r="J47" s="86">
        <f t="shared" ref="J47" si="19">IF(OR(J48="",J48=0),SUM(J49:J50),J48)</f>
        <v>0</v>
      </c>
      <c r="K47" s="220"/>
      <c r="L47" s="287"/>
      <c r="M47" s="60"/>
      <c r="N47" s="60"/>
      <c r="O47" s="60"/>
      <c r="P47" s="60"/>
      <c r="Q47" s="60"/>
      <c r="R47" s="60"/>
      <c r="S47" s="60"/>
      <c r="T47" s="60"/>
      <c r="U47" s="60"/>
      <c r="V47" s="60"/>
      <c r="W47" s="60"/>
      <c r="X47" s="60"/>
      <c r="Y47" s="60"/>
      <c r="Z47" s="60"/>
    </row>
    <row r="48" spans="1:26" outlineLevel="1" x14ac:dyDescent="0.2">
      <c r="A48" s="287"/>
      <c r="B48" s="287"/>
      <c r="C48" s="212">
        <v>1</v>
      </c>
      <c r="D48" s="270" t="s">
        <v>406</v>
      </c>
      <c r="E48" s="65"/>
      <c r="F48" s="65"/>
      <c r="G48" s="65"/>
      <c r="H48" s="65"/>
      <c r="I48" s="65"/>
      <c r="J48" s="65"/>
      <c r="K48" s="220"/>
      <c r="L48" s="287"/>
      <c r="M48" s="60"/>
      <c r="N48" s="60"/>
      <c r="O48" s="60"/>
      <c r="P48" s="60"/>
      <c r="Q48" s="60"/>
      <c r="R48" s="60"/>
      <c r="S48" s="60"/>
      <c r="T48" s="60"/>
      <c r="U48" s="60"/>
      <c r="V48" s="60"/>
      <c r="W48" s="60"/>
      <c r="X48" s="60"/>
      <c r="Y48" s="60"/>
      <c r="Z48" s="60"/>
    </row>
    <row r="49" spans="1:26" outlineLevel="1" x14ac:dyDescent="0.2">
      <c r="A49" s="287"/>
      <c r="B49" s="287"/>
      <c r="C49" s="212">
        <v>2</v>
      </c>
      <c r="D49" s="270" t="s">
        <v>277</v>
      </c>
      <c r="E49" s="65"/>
      <c r="F49" s="65"/>
      <c r="G49" s="65"/>
      <c r="H49" s="65"/>
      <c r="I49" s="65"/>
      <c r="J49" s="65"/>
      <c r="K49" s="220"/>
      <c r="L49" s="287"/>
      <c r="M49" s="60"/>
      <c r="N49" s="60"/>
      <c r="O49" s="60"/>
      <c r="P49" s="60"/>
      <c r="Q49" s="60"/>
      <c r="R49" s="60"/>
      <c r="S49" s="60"/>
      <c r="T49" s="60"/>
      <c r="U49" s="60"/>
      <c r="V49" s="60"/>
      <c r="W49" s="60"/>
      <c r="X49" s="60"/>
      <c r="Y49" s="60"/>
      <c r="Z49" s="60"/>
    </row>
    <row r="50" spans="1:26" outlineLevel="1" x14ac:dyDescent="0.2">
      <c r="A50" s="287"/>
      <c r="B50" s="287"/>
      <c r="C50" s="212">
        <v>3</v>
      </c>
      <c r="D50" s="270" t="s">
        <v>278</v>
      </c>
      <c r="E50" s="65"/>
      <c r="F50" s="65"/>
      <c r="G50" s="65"/>
      <c r="H50" s="65"/>
      <c r="I50" s="65"/>
      <c r="J50" s="65"/>
      <c r="K50" s="220"/>
      <c r="L50" s="287"/>
      <c r="M50" s="60"/>
      <c r="N50" s="60"/>
      <c r="O50" s="60"/>
      <c r="P50" s="60"/>
      <c r="Q50" s="60"/>
      <c r="R50" s="60"/>
      <c r="S50" s="60"/>
      <c r="T50" s="60"/>
      <c r="U50" s="60"/>
      <c r="V50" s="60"/>
      <c r="W50" s="60"/>
      <c r="X50" s="60"/>
      <c r="Y50" s="60"/>
      <c r="Z50" s="60"/>
    </row>
    <row r="51" spans="1:26" outlineLevel="1" x14ac:dyDescent="0.2">
      <c r="A51" s="287"/>
      <c r="B51" s="287"/>
      <c r="C51" s="287"/>
      <c r="D51" s="287"/>
      <c r="E51" s="287"/>
      <c r="F51" s="287"/>
      <c r="G51" s="287"/>
      <c r="H51" s="287"/>
      <c r="I51" s="287"/>
      <c r="J51" s="287"/>
      <c r="K51" s="287"/>
      <c r="L51" s="287"/>
      <c r="M51" s="60"/>
      <c r="N51" s="60"/>
      <c r="O51" s="60"/>
      <c r="P51" s="60"/>
      <c r="Q51" s="60"/>
      <c r="R51" s="60"/>
      <c r="S51" s="60"/>
      <c r="T51" s="60"/>
      <c r="U51" s="60"/>
      <c r="V51" s="60"/>
      <c r="W51" s="60"/>
      <c r="X51" s="60"/>
      <c r="Y51" s="60"/>
      <c r="Z51" s="60"/>
    </row>
    <row r="52" spans="1:26" x14ac:dyDescent="0.2">
      <c r="A52" s="287"/>
      <c r="B52" s="287"/>
      <c r="C52" s="287"/>
      <c r="D52" s="287"/>
      <c r="E52" s="287"/>
      <c r="F52" s="287"/>
      <c r="G52" s="287"/>
      <c r="H52" s="287"/>
      <c r="I52" s="287"/>
      <c r="J52" s="287"/>
      <c r="K52" s="287"/>
      <c r="L52" s="287"/>
      <c r="M52" s="60"/>
      <c r="N52" s="60"/>
      <c r="O52" s="60"/>
      <c r="P52" s="60"/>
      <c r="Q52" s="60"/>
      <c r="R52" s="60"/>
      <c r="S52" s="60"/>
      <c r="T52" s="60"/>
      <c r="U52" s="60"/>
      <c r="V52" s="60"/>
      <c r="W52" s="60"/>
      <c r="X52" s="60"/>
      <c r="Y52" s="60"/>
      <c r="Z52" s="60"/>
    </row>
    <row r="53" spans="1:26" ht="15.75" x14ac:dyDescent="0.2">
      <c r="A53" s="287"/>
      <c r="B53" s="83">
        <f>IF(E57&lt;&gt;"",VLOOKUP(E57,GenderCode,2,FALSE),0)</f>
        <v>0</v>
      </c>
      <c r="C53" s="212">
        <v>3</v>
      </c>
      <c r="D53" s="110" t="str">
        <f>IF(B53=0,MsgNotUsed, CONCATENATE("AIHW population ", C53, ": ", E55,": ", E57, " (", E60, "-", J60, ")"))</f>
        <v>** NOT USED **</v>
      </c>
      <c r="E53" s="178"/>
      <c r="F53" s="178"/>
      <c r="G53" s="178"/>
      <c r="H53" s="178"/>
      <c r="I53" s="268"/>
      <c r="J53" s="178"/>
      <c r="K53" s="178"/>
      <c r="L53" s="178"/>
      <c r="M53" s="371"/>
      <c r="N53" s="371"/>
      <c r="O53" s="371"/>
      <c r="P53" s="371"/>
      <c r="Q53" s="371"/>
      <c r="R53" s="371"/>
      <c r="S53" s="371"/>
      <c r="T53" s="371"/>
      <c r="U53" s="371"/>
      <c r="V53" s="371"/>
      <c r="W53" s="371"/>
      <c r="X53" s="371"/>
      <c r="Y53" s="371"/>
      <c r="Z53" s="371"/>
    </row>
    <row r="54" spans="1:26" ht="14.25" outlineLevel="1" x14ac:dyDescent="0.2">
      <c r="A54" s="287"/>
      <c r="B54" s="287"/>
      <c r="C54" s="287"/>
      <c r="D54" s="209"/>
      <c r="E54" s="220"/>
      <c r="F54" s="220"/>
      <c r="G54" s="220"/>
      <c r="H54" s="220"/>
      <c r="I54" s="220"/>
      <c r="J54" s="220"/>
      <c r="K54" s="220"/>
      <c r="L54" s="502"/>
      <c r="M54" s="502"/>
      <c r="N54" s="502"/>
      <c r="O54" s="502"/>
      <c r="P54" s="502"/>
      <c r="Q54" s="502"/>
      <c r="R54" s="502"/>
      <c r="S54" s="502"/>
      <c r="T54" s="502"/>
      <c r="U54" s="502"/>
      <c r="V54" s="502"/>
      <c r="W54" s="502"/>
      <c r="X54" s="572"/>
      <c r="Y54" s="572"/>
      <c r="Z54" s="572"/>
    </row>
    <row r="55" spans="1:26" outlineLevel="1" x14ac:dyDescent="0.2">
      <c r="A55" s="287"/>
      <c r="B55" s="287"/>
      <c r="C55" s="287"/>
      <c r="D55" s="58" t="s">
        <v>314</v>
      </c>
      <c r="E55" s="870"/>
      <c r="F55" s="848"/>
      <c r="G55" s="848"/>
      <c r="H55" s="848"/>
      <c r="I55" s="848"/>
      <c r="J55" s="849"/>
      <c r="K55" s="220"/>
      <c r="L55" s="58" t="s">
        <v>305</v>
      </c>
      <c r="M55" s="870"/>
      <c r="N55" s="848"/>
      <c r="O55" s="848"/>
      <c r="P55" s="848"/>
      <c r="Q55" s="848"/>
      <c r="R55" s="849"/>
      <c r="S55" s="59"/>
      <c r="T55" s="59"/>
      <c r="U55" s="59"/>
      <c r="V55" s="59"/>
      <c r="W55" s="59"/>
      <c r="X55" s="59"/>
      <c r="Y55" s="59"/>
      <c r="Z55" s="59"/>
    </row>
    <row r="56" spans="1:26" ht="14.25" outlineLevel="1" x14ac:dyDescent="0.2">
      <c r="A56" s="287"/>
      <c r="B56" s="287"/>
      <c r="C56" s="287"/>
      <c r="D56" s="209"/>
      <c r="E56" s="220"/>
      <c r="F56" s="220"/>
      <c r="G56" s="220"/>
      <c r="H56" s="220"/>
      <c r="I56" s="220"/>
      <c r="J56" s="220"/>
      <c r="K56" s="220"/>
      <c r="L56" s="288"/>
      <c r="M56" s="59"/>
      <c r="N56" s="59"/>
      <c r="O56" s="59"/>
      <c r="P56" s="59"/>
      <c r="Q56" s="59"/>
      <c r="R56" s="59"/>
      <c r="S56" s="59"/>
      <c r="T56" s="59"/>
      <c r="U56" s="59"/>
      <c r="V56" s="59"/>
      <c r="W56" s="59"/>
      <c r="X56" s="59"/>
      <c r="Y56" s="59"/>
      <c r="Z56" s="59"/>
    </row>
    <row r="57" spans="1:26" outlineLevel="1" x14ac:dyDescent="0.2">
      <c r="A57" s="287"/>
      <c r="B57" s="287"/>
      <c r="C57" s="287"/>
      <c r="D57" s="114" t="s">
        <v>52</v>
      </c>
      <c r="E57" s="107"/>
      <c r="F57" s="220"/>
      <c r="G57" s="220"/>
      <c r="H57" s="287"/>
      <c r="I57" s="114" t="s">
        <v>405</v>
      </c>
      <c r="J57" s="107"/>
      <c r="K57" s="220"/>
      <c r="L57" s="288"/>
      <c r="M57" s="59"/>
      <c r="N57" s="59"/>
      <c r="O57" s="59"/>
      <c r="P57" s="59"/>
      <c r="Q57" s="59"/>
      <c r="R57" s="59"/>
      <c r="S57" s="59"/>
      <c r="T57" s="59"/>
      <c r="U57" s="59"/>
      <c r="V57" s="59"/>
      <c r="W57" s="59"/>
      <c r="X57" s="59"/>
      <c r="Y57" s="59"/>
      <c r="Z57" s="59"/>
    </row>
    <row r="58" spans="1:26" outlineLevel="1" x14ac:dyDescent="0.2">
      <c r="A58" s="287"/>
      <c r="B58" s="287"/>
      <c r="C58" s="287"/>
      <c r="D58" s="6"/>
      <c r="E58" s="220"/>
      <c r="F58" s="220"/>
      <c r="G58" s="220"/>
      <c r="H58" s="220"/>
      <c r="I58" s="220"/>
      <c r="J58" s="220"/>
      <c r="K58" s="220"/>
      <c r="L58" s="288"/>
      <c r="M58" s="59"/>
      <c r="N58" s="59"/>
      <c r="O58" s="59"/>
      <c r="P58" s="59"/>
      <c r="Q58" s="59"/>
      <c r="R58" s="59"/>
      <c r="S58" s="59"/>
      <c r="T58" s="59"/>
      <c r="U58" s="59"/>
      <c r="V58" s="59"/>
      <c r="W58" s="59"/>
      <c r="X58" s="59"/>
      <c r="Y58" s="59"/>
      <c r="Z58" s="59"/>
    </row>
    <row r="59" spans="1:26" outlineLevel="1" x14ac:dyDescent="0.2">
      <c r="A59" s="287"/>
      <c r="B59" s="287"/>
      <c r="C59" s="287"/>
      <c r="D59" s="220"/>
      <c r="E59" s="195" t="s">
        <v>289</v>
      </c>
      <c r="F59" s="220"/>
      <c r="G59" s="220"/>
      <c r="H59" s="220"/>
      <c r="I59" s="220"/>
      <c r="J59" s="220"/>
      <c r="K59" s="220"/>
      <c r="L59" s="288"/>
      <c r="M59" s="59"/>
      <c r="N59" s="59"/>
      <c r="O59" s="59"/>
      <c r="P59" s="59"/>
      <c r="Q59" s="59"/>
      <c r="R59" s="59"/>
      <c r="S59" s="59"/>
      <c r="T59" s="59"/>
      <c r="U59" s="59"/>
      <c r="V59" s="59"/>
      <c r="W59" s="59"/>
      <c r="X59" s="59"/>
      <c r="Y59" s="59"/>
      <c r="Z59" s="59"/>
    </row>
    <row r="60" spans="1:26" outlineLevel="1" x14ac:dyDescent="0.2">
      <c r="A60" s="287"/>
      <c r="B60" s="287"/>
      <c r="C60" s="287"/>
      <c r="D60" s="6"/>
      <c r="E60" s="108">
        <f>IF(J57&lt;&gt;"",J57,FirstYear)</f>
        <v>0</v>
      </c>
      <c r="F60" s="112">
        <f>E60+1</f>
        <v>1</v>
      </c>
      <c r="G60" s="112">
        <f>F60+1</f>
        <v>2</v>
      </c>
      <c r="H60" s="112">
        <f>G60+1</f>
        <v>3</v>
      </c>
      <c r="I60" s="112">
        <f>H60+1</f>
        <v>4</v>
      </c>
      <c r="J60" s="112">
        <f>I60+1</f>
        <v>5</v>
      </c>
      <c r="K60" s="220"/>
      <c r="L60" s="288"/>
      <c r="M60" s="59"/>
      <c r="N60" s="59"/>
      <c r="O60" s="59"/>
      <c r="P60" s="59"/>
      <c r="Q60" s="59"/>
      <c r="R60" s="59"/>
      <c r="S60" s="59"/>
      <c r="T60" s="59"/>
      <c r="U60" s="59"/>
      <c r="V60" s="59"/>
      <c r="W60" s="59"/>
      <c r="X60" s="59"/>
      <c r="Y60" s="59"/>
      <c r="Z60" s="59"/>
    </row>
    <row r="61" spans="1:26" outlineLevel="1" x14ac:dyDescent="0.2">
      <c r="A61" s="287"/>
      <c r="B61" s="287"/>
      <c r="C61" s="287"/>
      <c r="D61" s="220"/>
      <c r="E61" s="86">
        <f>IF($B$53&lt;&gt;0,VLOOKUP($B$53,$C$65:$J$67,E62),0)</f>
        <v>0</v>
      </c>
      <c r="F61" s="86">
        <f t="shared" ref="F61:J61" si="20">IF($B$53&lt;&gt;0,VLOOKUP($B$53,$C$65:$J$67,F62),0)</f>
        <v>0</v>
      </c>
      <c r="G61" s="86">
        <f t="shared" si="20"/>
        <v>0</v>
      </c>
      <c r="H61" s="86">
        <f t="shared" si="20"/>
        <v>0</v>
      </c>
      <c r="I61" s="86">
        <f t="shared" si="20"/>
        <v>0</v>
      </c>
      <c r="J61" s="86">
        <f t="shared" si="20"/>
        <v>0</v>
      </c>
      <c r="K61" s="220"/>
      <c r="L61" s="288"/>
      <c r="M61" s="59"/>
      <c r="N61" s="59"/>
      <c r="O61" s="59"/>
      <c r="P61" s="59"/>
      <c r="Q61" s="59"/>
      <c r="R61" s="59"/>
      <c r="S61" s="59"/>
      <c r="T61" s="59"/>
      <c r="U61" s="59"/>
      <c r="V61" s="59"/>
      <c r="W61" s="59"/>
      <c r="X61" s="59"/>
      <c r="Y61" s="59"/>
      <c r="Z61" s="59"/>
    </row>
    <row r="62" spans="1:26" outlineLevel="1" x14ac:dyDescent="0.2">
      <c r="A62" s="287"/>
      <c r="B62" s="287"/>
      <c r="C62" s="287"/>
      <c r="D62" s="220"/>
      <c r="E62" s="269">
        <v>3</v>
      </c>
      <c r="F62" s="269">
        <v>4</v>
      </c>
      <c r="G62" s="269">
        <v>5</v>
      </c>
      <c r="H62" s="269">
        <v>6</v>
      </c>
      <c r="I62" s="269">
        <v>7</v>
      </c>
      <c r="J62" s="269">
        <v>8</v>
      </c>
      <c r="K62" s="220"/>
      <c r="L62" s="288"/>
      <c r="M62" s="59"/>
      <c r="N62" s="59"/>
      <c r="O62" s="59"/>
      <c r="P62" s="59"/>
      <c r="Q62" s="59"/>
      <c r="R62" s="59"/>
      <c r="S62" s="59"/>
      <c r="T62" s="59"/>
      <c r="U62" s="59"/>
      <c r="V62" s="59"/>
      <c r="W62" s="59"/>
      <c r="X62" s="59"/>
      <c r="Y62" s="59"/>
      <c r="Z62" s="59"/>
    </row>
    <row r="63" spans="1:26" outlineLevel="1" x14ac:dyDescent="0.2">
      <c r="A63" s="287"/>
      <c r="B63" s="287"/>
      <c r="C63" s="287"/>
      <c r="D63" s="46" t="s">
        <v>362</v>
      </c>
      <c r="E63" s="108">
        <f t="shared" ref="E63:J63" si="21">E60</f>
        <v>0</v>
      </c>
      <c r="F63" s="108">
        <f t="shared" si="21"/>
        <v>1</v>
      </c>
      <c r="G63" s="108">
        <f t="shared" si="21"/>
        <v>2</v>
      </c>
      <c r="H63" s="108">
        <f t="shared" si="21"/>
        <v>3</v>
      </c>
      <c r="I63" s="108">
        <f t="shared" si="21"/>
        <v>4</v>
      </c>
      <c r="J63" s="108">
        <f t="shared" si="21"/>
        <v>5</v>
      </c>
      <c r="K63" s="220"/>
      <c r="L63" s="287"/>
      <c r="M63" s="60"/>
      <c r="N63" s="60"/>
      <c r="O63" s="60"/>
      <c r="P63" s="60"/>
      <c r="Q63" s="60"/>
      <c r="R63" s="60"/>
      <c r="S63" s="60"/>
      <c r="T63" s="60"/>
      <c r="U63" s="60"/>
      <c r="V63" s="60"/>
      <c r="W63" s="60"/>
      <c r="X63" s="60"/>
      <c r="Y63" s="60"/>
      <c r="Z63" s="60"/>
    </row>
    <row r="64" spans="1:26" outlineLevel="1" x14ac:dyDescent="0.2">
      <c r="A64" s="287"/>
      <c r="B64" s="287"/>
      <c r="D64" s="270" t="s">
        <v>274</v>
      </c>
      <c r="E64" s="86">
        <f>IF(OR(E65="",E65=0),SUM(E66:E67),E65)</f>
        <v>0</v>
      </c>
      <c r="F64" s="86">
        <f t="shared" ref="F64" si="22">IF(OR(F65="",F65=0),SUM(F66:F67),F65)</f>
        <v>0</v>
      </c>
      <c r="G64" s="86">
        <f t="shared" ref="G64" si="23">IF(OR(G65="",G65=0),SUM(G66:G67),G65)</f>
        <v>0</v>
      </c>
      <c r="H64" s="86">
        <f t="shared" ref="H64" si="24">IF(OR(H65="",H65=0),SUM(H66:H67),H65)</f>
        <v>0</v>
      </c>
      <c r="I64" s="86">
        <f t="shared" ref="I64" si="25">IF(OR(I65="",I65=0),SUM(I66:I67),I65)</f>
        <v>0</v>
      </c>
      <c r="J64" s="86">
        <f t="shared" ref="J64" si="26">IF(OR(J65="",J65=0),SUM(J66:J67),J65)</f>
        <v>0</v>
      </c>
      <c r="K64" s="220"/>
      <c r="L64" s="287"/>
      <c r="M64" s="60"/>
      <c r="N64" s="60"/>
      <c r="O64" s="60"/>
      <c r="P64" s="60"/>
      <c r="Q64" s="60"/>
      <c r="R64" s="60"/>
      <c r="S64" s="60"/>
      <c r="T64" s="60"/>
      <c r="U64" s="60"/>
      <c r="V64" s="60"/>
      <c r="W64" s="60"/>
      <c r="X64" s="60"/>
      <c r="Y64" s="60"/>
      <c r="Z64" s="60"/>
    </row>
    <row r="65" spans="1:26" outlineLevel="1" x14ac:dyDescent="0.2">
      <c r="A65" s="287"/>
      <c r="B65" s="287"/>
      <c r="C65" s="212">
        <v>1</v>
      </c>
      <c r="D65" s="270" t="s">
        <v>406</v>
      </c>
      <c r="E65" s="65"/>
      <c r="F65" s="65"/>
      <c r="G65" s="65"/>
      <c r="H65" s="65"/>
      <c r="I65" s="65"/>
      <c r="J65" s="65"/>
      <c r="K65" s="220"/>
      <c r="L65" s="287"/>
      <c r="M65" s="60"/>
      <c r="N65" s="60"/>
      <c r="O65" s="60"/>
      <c r="P65" s="60"/>
      <c r="Q65" s="60"/>
      <c r="R65" s="60"/>
      <c r="S65" s="60"/>
      <c r="T65" s="60"/>
      <c r="U65" s="60"/>
      <c r="V65" s="60"/>
      <c r="W65" s="60"/>
      <c r="X65" s="60"/>
      <c r="Y65" s="60"/>
      <c r="Z65" s="60"/>
    </row>
    <row r="66" spans="1:26" outlineLevel="1" x14ac:dyDescent="0.2">
      <c r="A66" s="287"/>
      <c r="B66" s="287"/>
      <c r="C66" s="212">
        <v>2</v>
      </c>
      <c r="D66" s="270" t="s">
        <v>277</v>
      </c>
      <c r="E66" s="65"/>
      <c r="F66" s="65"/>
      <c r="G66" s="65"/>
      <c r="H66" s="65"/>
      <c r="I66" s="65"/>
      <c r="J66" s="65"/>
      <c r="K66" s="220"/>
      <c r="L66" s="287"/>
      <c r="M66" s="60"/>
      <c r="N66" s="60"/>
      <c r="O66" s="60"/>
      <c r="P66" s="60"/>
      <c r="Q66" s="60"/>
      <c r="R66" s="60"/>
      <c r="S66" s="60"/>
      <c r="T66" s="60"/>
      <c r="U66" s="60"/>
      <c r="V66" s="60"/>
      <c r="W66" s="60"/>
      <c r="X66" s="60"/>
      <c r="Y66" s="60"/>
      <c r="Z66" s="60"/>
    </row>
    <row r="67" spans="1:26" outlineLevel="1" x14ac:dyDescent="0.2">
      <c r="A67" s="287"/>
      <c r="B67" s="287"/>
      <c r="C67" s="212">
        <v>3</v>
      </c>
      <c r="D67" s="270" t="s">
        <v>278</v>
      </c>
      <c r="E67" s="65"/>
      <c r="F67" s="65"/>
      <c r="G67" s="65"/>
      <c r="H67" s="65"/>
      <c r="I67" s="65"/>
      <c r="J67" s="65"/>
      <c r="K67" s="220"/>
      <c r="L67" s="287"/>
      <c r="M67" s="60"/>
      <c r="N67" s="60"/>
      <c r="O67" s="60"/>
      <c r="P67" s="60"/>
      <c r="Q67" s="60"/>
      <c r="R67" s="60"/>
      <c r="S67" s="60"/>
      <c r="T67" s="60"/>
      <c r="U67" s="60"/>
      <c r="V67" s="60"/>
      <c r="W67" s="60"/>
      <c r="X67" s="60"/>
      <c r="Y67" s="60"/>
      <c r="Z67" s="60"/>
    </row>
    <row r="68" spans="1:26" outlineLevel="1" x14ac:dyDescent="0.2">
      <c r="A68" s="287"/>
      <c r="B68" s="287"/>
      <c r="C68" s="287"/>
      <c r="D68" s="287"/>
      <c r="E68" s="287"/>
      <c r="F68" s="287"/>
      <c r="G68" s="287"/>
      <c r="H68" s="287"/>
      <c r="I68" s="287"/>
      <c r="J68" s="287"/>
      <c r="K68" s="287"/>
      <c r="L68" s="287"/>
      <c r="M68" s="60"/>
      <c r="N68" s="60"/>
      <c r="O68" s="60"/>
      <c r="P68" s="60"/>
      <c r="Q68" s="60"/>
      <c r="R68" s="60"/>
      <c r="S68" s="60"/>
      <c r="T68" s="60"/>
      <c r="U68" s="60"/>
      <c r="V68" s="60"/>
      <c r="W68" s="60"/>
      <c r="X68" s="60"/>
      <c r="Y68" s="60"/>
      <c r="Z68" s="60"/>
    </row>
    <row r="69" spans="1:26" x14ac:dyDescent="0.2">
      <c r="A69" s="287"/>
      <c r="B69" s="287"/>
      <c r="C69" s="287"/>
      <c r="D69" s="287"/>
      <c r="E69" s="287"/>
      <c r="F69" s="287"/>
      <c r="G69" s="287"/>
      <c r="H69" s="287"/>
      <c r="I69" s="287"/>
      <c r="J69" s="287"/>
      <c r="K69" s="287"/>
      <c r="L69" s="287"/>
      <c r="M69" s="60"/>
      <c r="N69" s="60"/>
      <c r="O69" s="60"/>
      <c r="P69" s="60"/>
      <c r="Q69" s="60"/>
      <c r="R69" s="60"/>
      <c r="S69" s="60"/>
      <c r="T69" s="60"/>
      <c r="U69" s="60"/>
      <c r="V69" s="60"/>
      <c r="W69" s="60"/>
      <c r="X69" s="60"/>
      <c r="Y69" s="60"/>
      <c r="Z69" s="60"/>
    </row>
    <row r="70" spans="1:26" ht="15.75" x14ac:dyDescent="0.2">
      <c r="A70" s="287"/>
      <c r="B70" s="83">
        <f>IF(E74&lt;&gt;"",VLOOKUP(E74,GenderCode,2,FALSE),0)</f>
        <v>0</v>
      </c>
      <c r="C70" s="212">
        <v>4</v>
      </c>
      <c r="D70" s="110" t="str">
        <f>IF(B70=0,MsgNotUsed, CONCATENATE("AIHW population ", C70, ": ", E72,": ", E74, " (", E77, "-", J77, ")"))</f>
        <v>** NOT USED **</v>
      </c>
      <c r="E70" s="178"/>
      <c r="F70" s="178"/>
      <c r="G70" s="178"/>
      <c r="H70" s="178"/>
      <c r="I70" s="268"/>
      <c r="J70" s="178"/>
      <c r="K70" s="178"/>
      <c r="L70" s="178"/>
      <c r="M70" s="371"/>
      <c r="N70" s="371"/>
      <c r="O70" s="371"/>
      <c r="P70" s="371"/>
      <c r="Q70" s="371"/>
      <c r="R70" s="371"/>
      <c r="S70" s="371"/>
      <c r="T70" s="371"/>
      <c r="U70" s="371"/>
      <c r="V70" s="371"/>
      <c r="W70" s="371"/>
      <c r="X70" s="371"/>
      <c r="Y70" s="371"/>
      <c r="Z70" s="371"/>
    </row>
    <row r="71" spans="1:26" ht="14.25" outlineLevel="1" x14ac:dyDescent="0.2">
      <c r="A71" s="287"/>
      <c r="B71" s="287"/>
      <c r="C71" s="287"/>
      <c r="D71" s="209"/>
      <c r="E71" s="220"/>
      <c r="F71" s="220"/>
      <c r="G71" s="220"/>
      <c r="H71" s="220"/>
      <c r="I71" s="220"/>
      <c r="J71" s="220"/>
      <c r="K71" s="220"/>
      <c r="L71" s="502"/>
      <c r="M71" s="502"/>
      <c r="N71" s="502"/>
      <c r="O71" s="502"/>
      <c r="P71" s="502"/>
      <c r="Q71" s="502"/>
      <c r="R71" s="502"/>
      <c r="S71" s="502"/>
      <c r="T71" s="502"/>
      <c r="U71" s="502"/>
      <c r="V71" s="502"/>
      <c r="W71" s="502"/>
      <c r="X71" s="572"/>
      <c r="Y71" s="572"/>
      <c r="Z71" s="572"/>
    </row>
    <row r="72" spans="1:26" outlineLevel="1" x14ac:dyDescent="0.2">
      <c r="A72" s="287"/>
      <c r="B72" s="287"/>
      <c r="C72" s="287"/>
      <c r="D72" s="58" t="s">
        <v>314</v>
      </c>
      <c r="E72" s="870"/>
      <c r="F72" s="848"/>
      <c r="G72" s="848"/>
      <c r="H72" s="848"/>
      <c r="I72" s="848"/>
      <c r="J72" s="849"/>
      <c r="K72" s="220"/>
      <c r="L72" s="58" t="s">
        <v>305</v>
      </c>
      <c r="M72" s="870"/>
      <c r="N72" s="848"/>
      <c r="O72" s="848"/>
      <c r="P72" s="848"/>
      <c r="Q72" s="848"/>
      <c r="R72" s="849"/>
      <c r="S72" s="59"/>
      <c r="T72" s="59"/>
      <c r="U72" s="59"/>
      <c r="V72" s="59"/>
      <c r="W72" s="59"/>
      <c r="X72" s="59"/>
      <c r="Y72" s="59"/>
      <c r="Z72" s="59"/>
    </row>
    <row r="73" spans="1:26" ht="14.25" outlineLevel="1" x14ac:dyDescent="0.2">
      <c r="A73" s="287"/>
      <c r="B73" s="287"/>
      <c r="C73" s="287"/>
      <c r="D73" s="209"/>
      <c r="E73" s="220"/>
      <c r="F73" s="220"/>
      <c r="G73" s="220"/>
      <c r="H73" s="220"/>
      <c r="I73" s="220"/>
      <c r="J73" s="220"/>
      <c r="K73" s="220"/>
      <c r="L73" s="288"/>
      <c r="M73" s="59"/>
      <c r="N73" s="59"/>
      <c r="O73" s="59"/>
      <c r="P73" s="59"/>
      <c r="Q73" s="59"/>
      <c r="R73" s="59"/>
      <c r="S73" s="59"/>
      <c r="T73" s="59"/>
      <c r="U73" s="59"/>
      <c r="V73" s="59"/>
      <c r="W73" s="59"/>
      <c r="X73" s="59"/>
      <c r="Y73" s="59"/>
      <c r="Z73" s="59"/>
    </row>
    <row r="74" spans="1:26" outlineLevel="1" x14ac:dyDescent="0.2">
      <c r="A74" s="287"/>
      <c r="B74" s="287"/>
      <c r="C74" s="287"/>
      <c r="D74" s="114" t="s">
        <v>52</v>
      </c>
      <c r="E74" s="107"/>
      <c r="F74" s="220"/>
      <c r="G74" s="220"/>
      <c r="H74" s="287"/>
      <c r="I74" s="114" t="s">
        <v>405</v>
      </c>
      <c r="J74" s="107"/>
      <c r="K74" s="220"/>
      <c r="L74" s="288"/>
      <c r="M74" s="59"/>
      <c r="N74" s="59"/>
      <c r="O74" s="59"/>
      <c r="P74" s="59"/>
      <c r="Q74" s="59"/>
      <c r="R74" s="59"/>
      <c r="S74" s="59"/>
      <c r="T74" s="59"/>
      <c r="U74" s="59"/>
      <c r="V74" s="59"/>
      <c r="W74" s="59"/>
      <c r="X74" s="59"/>
      <c r="Y74" s="59"/>
      <c r="Z74" s="59"/>
    </row>
    <row r="75" spans="1:26" outlineLevel="1" x14ac:dyDescent="0.2">
      <c r="A75" s="287"/>
      <c r="B75" s="287"/>
      <c r="C75" s="287"/>
      <c r="D75" s="6"/>
      <c r="E75" s="220"/>
      <c r="F75" s="220"/>
      <c r="G75" s="220"/>
      <c r="H75" s="220"/>
      <c r="I75" s="220"/>
      <c r="J75" s="220"/>
      <c r="K75" s="220"/>
      <c r="L75" s="288"/>
      <c r="M75" s="59"/>
      <c r="N75" s="59"/>
      <c r="O75" s="59"/>
      <c r="P75" s="59"/>
      <c r="Q75" s="59"/>
      <c r="R75" s="59"/>
      <c r="S75" s="59"/>
      <c r="T75" s="59"/>
      <c r="U75" s="59"/>
      <c r="V75" s="59"/>
      <c r="W75" s="59"/>
      <c r="X75" s="59"/>
      <c r="Y75" s="59"/>
      <c r="Z75" s="59"/>
    </row>
    <row r="76" spans="1:26" outlineLevel="1" x14ac:dyDescent="0.2">
      <c r="A76" s="287"/>
      <c r="B76" s="287"/>
      <c r="C76" s="287"/>
      <c r="D76" s="220"/>
      <c r="E76" s="195" t="s">
        <v>289</v>
      </c>
      <c r="F76" s="220"/>
      <c r="G76" s="220"/>
      <c r="H76" s="220"/>
      <c r="I76" s="220"/>
      <c r="J76" s="220"/>
      <c r="K76" s="220"/>
      <c r="L76" s="288"/>
      <c r="M76" s="59"/>
      <c r="N76" s="59"/>
      <c r="O76" s="59"/>
      <c r="P76" s="59"/>
      <c r="Q76" s="59"/>
      <c r="R76" s="59"/>
      <c r="S76" s="59"/>
      <c r="T76" s="59"/>
      <c r="U76" s="59"/>
      <c r="V76" s="59"/>
      <c r="W76" s="59"/>
      <c r="X76" s="59"/>
      <c r="Y76" s="59"/>
      <c r="Z76" s="59"/>
    </row>
    <row r="77" spans="1:26" outlineLevel="1" x14ac:dyDescent="0.2">
      <c r="A77" s="287"/>
      <c r="B77" s="287"/>
      <c r="C77" s="287"/>
      <c r="D77" s="6"/>
      <c r="E77" s="108">
        <f>IF(J74&lt;&gt;"",J74,FirstYear)</f>
        <v>0</v>
      </c>
      <c r="F77" s="112">
        <f>E77+1</f>
        <v>1</v>
      </c>
      <c r="G77" s="112">
        <f>F77+1</f>
        <v>2</v>
      </c>
      <c r="H77" s="112">
        <f>G77+1</f>
        <v>3</v>
      </c>
      <c r="I77" s="112">
        <f>H77+1</f>
        <v>4</v>
      </c>
      <c r="J77" s="112">
        <f>I77+1</f>
        <v>5</v>
      </c>
      <c r="K77" s="220"/>
      <c r="L77" s="288"/>
      <c r="M77" s="59"/>
      <c r="N77" s="59"/>
      <c r="O77" s="59"/>
      <c r="P77" s="59"/>
      <c r="Q77" s="59"/>
      <c r="R77" s="59"/>
      <c r="S77" s="59"/>
      <c r="T77" s="59"/>
      <c r="U77" s="59"/>
      <c r="V77" s="59"/>
      <c r="W77" s="59"/>
      <c r="X77" s="59"/>
      <c r="Y77" s="59"/>
      <c r="Z77" s="59"/>
    </row>
    <row r="78" spans="1:26" outlineLevel="1" x14ac:dyDescent="0.2">
      <c r="A78" s="287"/>
      <c r="B78" s="287"/>
      <c r="C78" s="287"/>
      <c r="D78" s="220"/>
      <c r="E78" s="86">
        <f>IF($B$70&lt;&gt;0,VLOOKUP($B$70,$C$82:$J$84,E79),0)</f>
        <v>0</v>
      </c>
      <c r="F78" s="86">
        <f t="shared" ref="F78:J78" si="27">IF($B$70&lt;&gt;0,VLOOKUP($B$70,$C$82:$J$84,F79),0)</f>
        <v>0</v>
      </c>
      <c r="G78" s="86">
        <f t="shared" si="27"/>
        <v>0</v>
      </c>
      <c r="H78" s="86">
        <f t="shared" si="27"/>
        <v>0</v>
      </c>
      <c r="I78" s="86">
        <f t="shared" si="27"/>
        <v>0</v>
      </c>
      <c r="J78" s="86">
        <f t="shared" si="27"/>
        <v>0</v>
      </c>
      <c r="K78" s="220"/>
      <c r="L78" s="288"/>
      <c r="M78" s="59"/>
      <c r="N78" s="59"/>
      <c r="O78" s="59"/>
      <c r="P78" s="59"/>
      <c r="Q78" s="59"/>
      <c r="R78" s="59"/>
      <c r="S78" s="59"/>
      <c r="T78" s="59"/>
      <c r="U78" s="59"/>
      <c r="V78" s="59"/>
      <c r="W78" s="59"/>
      <c r="X78" s="59"/>
      <c r="Y78" s="59"/>
      <c r="Z78" s="59"/>
    </row>
    <row r="79" spans="1:26" outlineLevel="1" x14ac:dyDescent="0.2">
      <c r="A79" s="287"/>
      <c r="B79" s="287"/>
      <c r="C79" s="287"/>
      <c r="D79" s="220"/>
      <c r="E79" s="269">
        <v>3</v>
      </c>
      <c r="F79" s="269">
        <v>4</v>
      </c>
      <c r="G79" s="269">
        <v>5</v>
      </c>
      <c r="H79" s="269">
        <v>6</v>
      </c>
      <c r="I79" s="269">
        <v>7</v>
      </c>
      <c r="J79" s="269">
        <v>8</v>
      </c>
      <c r="K79" s="220"/>
      <c r="L79" s="288"/>
      <c r="M79" s="59"/>
      <c r="N79" s="59"/>
      <c r="O79" s="59"/>
      <c r="P79" s="59"/>
      <c r="Q79" s="59"/>
      <c r="R79" s="59"/>
      <c r="S79" s="59"/>
      <c r="T79" s="59"/>
      <c r="U79" s="59"/>
      <c r="V79" s="59"/>
      <c r="W79" s="59"/>
      <c r="X79" s="59"/>
      <c r="Y79" s="59"/>
      <c r="Z79" s="59"/>
    </row>
    <row r="80" spans="1:26" outlineLevel="1" x14ac:dyDescent="0.2">
      <c r="A80" s="287"/>
      <c r="B80" s="287"/>
      <c r="C80" s="287"/>
      <c r="D80" s="46" t="s">
        <v>362</v>
      </c>
      <c r="E80" s="108">
        <f t="shared" ref="E80:J80" si="28">E77</f>
        <v>0</v>
      </c>
      <c r="F80" s="108">
        <f t="shared" si="28"/>
        <v>1</v>
      </c>
      <c r="G80" s="108">
        <f t="shared" si="28"/>
        <v>2</v>
      </c>
      <c r="H80" s="108">
        <f t="shared" si="28"/>
        <v>3</v>
      </c>
      <c r="I80" s="108">
        <f t="shared" si="28"/>
        <v>4</v>
      </c>
      <c r="J80" s="108">
        <f t="shared" si="28"/>
        <v>5</v>
      </c>
      <c r="K80" s="220"/>
      <c r="L80" s="287"/>
      <c r="M80" s="60"/>
      <c r="N80" s="60"/>
      <c r="O80" s="60"/>
      <c r="P80" s="60"/>
      <c r="Q80" s="60"/>
      <c r="R80" s="60"/>
      <c r="S80" s="60"/>
      <c r="T80" s="60"/>
      <c r="U80" s="60"/>
      <c r="V80" s="60"/>
      <c r="W80" s="60"/>
      <c r="X80" s="60"/>
      <c r="Y80" s="60"/>
      <c r="Z80" s="60"/>
    </row>
    <row r="81" spans="1:26" outlineLevel="1" x14ac:dyDescent="0.2">
      <c r="A81" s="287"/>
      <c r="B81" s="287"/>
      <c r="D81" s="270" t="s">
        <v>274</v>
      </c>
      <c r="E81" s="86">
        <f>IF(OR(E82="",E82=0),SUM(E83:E84),E82)</f>
        <v>0</v>
      </c>
      <c r="F81" s="86">
        <f t="shared" ref="F81" si="29">IF(OR(F82="",F82=0),SUM(F83:F84),F82)</f>
        <v>0</v>
      </c>
      <c r="G81" s="86">
        <f t="shared" ref="G81" si="30">IF(OR(G82="",G82=0),SUM(G83:G84),G82)</f>
        <v>0</v>
      </c>
      <c r="H81" s="86">
        <f t="shared" ref="H81" si="31">IF(OR(H82="",H82=0),SUM(H83:H84),H82)</f>
        <v>0</v>
      </c>
      <c r="I81" s="86">
        <f t="shared" ref="I81" si="32">IF(OR(I82="",I82=0),SUM(I83:I84),I82)</f>
        <v>0</v>
      </c>
      <c r="J81" s="86">
        <f t="shared" ref="J81" si="33">IF(OR(J82="",J82=0),SUM(J83:J84),J82)</f>
        <v>0</v>
      </c>
      <c r="K81" s="220"/>
      <c r="L81" s="287"/>
      <c r="M81" s="60"/>
      <c r="N81" s="60"/>
      <c r="O81" s="60"/>
      <c r="P81" s="60"/>
      <c r="Q81" s="60"/>
      <c r="R81" s="60"/>
      <c r="S81" s="60"/>
      <c r="T81" s="60"/>
      <c r="U81" s="60"/>
      <c r="V81" s="60"/>
      <c r="W81" s="60"/>
      <c r="X81" s="60"/>
      <c r="Y81" s="60"/>
      <c r="Z81" s="60"/>
    </row>
    <row r="82" spans="1:26" outlineLevel="1" x14ac:dyDescent="0.2">
      <c r="A82" s="287"/>
      <c r="B82" s="287"/>
      <c r="C82" s="212">
        <v>1</v>
      </c>
      <c r="D82" s="270" t="s">
        <v>406</v>
      </c>
      <c r="E82" s="65"/>
      <c r="F82" s="65"/>
      <c r="G82" s="65"/>
      <c r="H82" s="65"/>
      <c r="I82" s="65"/>
      <c r="J82" s="65"/>
      <c r="K82" s="220"/>
      <c r="L82" s="287"/>
      <c r="M82" s="60"/>
      <c r="N82" s="60"/>
      <c r="O82" s="60"/>
      <c r="P82" s="60"/>
      <c r="Q82" s="60"/>
      <c r="R82" s="60"/>
      <c r="S82" s="60"/>
      <c r="T82" s="60"/>
      <c r="U82" s="60"/>
      <c r="V82" s="60"/>
      <c r="W82" s="60"/>
      <c r="X82" s="60"/>
      <c r="Y82" s="60"/>
      <c r="Z82" s="60"/>
    </row>
    <row r="83" spans="1:26" outlineLevel="1" x14ac:dyDescent="0.2">
      <c r="A83" s="287"/>
      <c r="B83" s="287"/>
      <c r="C83" s="212">
        <v>2</v>
      </c>
      <c r="D83" s="270" t="s">
        <v>277</v>
      </c>
      <c r="E83" s="65"/>
      <c r="F83" s="65"/>
      <c r="G83" s="65"/>
      <c r="H83" s="65"/>
      <c r="I83" s="65"/>
      <c r="J83" s="65"/>
      <c r="K83" s="220"/>
      <c r="L83" s="287"/>
      <c r="M83" s="60"/>
      <c r="N83" s="60"/>
      <c r="O83" s="60"/>
      <c r="P83" s="60"/>
      <c r="Q83" s="60"/>
      <c r="R83" s="60"/>
      <c r="S83" s="60"/>
      <c r="T83" s="60"/>
      <c r="U83" s="60"/>
      <c r="V83" s="60"/>
      <c r="W83" s="60"/>
      <c r="X83" s="60"/>
      <c r="Y83" s="60"/>
      <c r="Z83" s="60"/>
    </row>
    <row r="84" spans="1:26" outlineLevel="1" x14ac:dyDescent="0.2">
      <c r="A84" s="287"/>
      <c r="B84" s="287"/>
      <c r="C84" s="212">
        <v>3</v>
      </c>
      <c r="D84" s="270" t="s">
        <v>278</v>
      </c>
      <c r="E84" s="65"/>
      <c r="F84" s="65"/>
      <c r="G84" s="65"/>
      <c r="H84" s="65"/>
      <c r="I84" s="65"/>
      <c r="J84" s="65"/>
      <c r="K84" s="220"/>
      <c r="L84" s="287"/>
      <c r="M84" s="60"/>
      <c r="N84" s="60"/>
      <c r="O84" s="60"/>
      <c r="P84" s="60"/>
      <c r="Q84" s="60"/>
      <c r="R84" s="60"/>
      <c r="S84" s="60"/>
      <c r="T84" s="60"/>
      <c r="U84" s="60"/>
      <c r="V84" s="60"/>
      <c r="W84" s="60"/>
      <c r="X84" s="60"/>
      <c r="Y84" s="60"/>
      <c r="Z84" s="60"/>
    </row>
    <row r="85" spans="1:26" outlineLevel="1" x14ac:dyDescent="0.2">
      <c r="A85" s="287"/>
      <c r="B85" s="287"/>
      <c r="C85" s="287"/>
      <c r="D85" s="287"/>
      <c r="E85" s="287"/>
      <c r="F85" s="287"/>
      <c r="G85" s="287"/>
      <c r="H85" s="287"/>
      <c r="I85" s="287"/>
      <c r="J85" s="287"/>
      <c r="K85" s="287"/>
      <c r="L85" s="287"/>
      <c r="M85" s="60"/>
      <c r="N85" s="60"/>
      <c r="O85" s="60"/>
      <c r="P85" s="60"/>
      <c r="Q85" s="60"/>
      <c r="R85" s="60"/>
      <c r="S85" s="60"/>
      <c r="T85" s="60"/>
      <c r="U85" s="60"/>
      <c r="V85" s="60"/>
      <c r="W85" s="60"/>
      <c r="X85" s="60"/>
      <c r="Y85" s="60"/>
      <c r="Z85" s="60"/>
    </row>
    <row r="86" spans="1:26" x14ac:dyDescent="0.2">
      <c r="A86" s="287"/>
      <c r="B86" s="287"/>
      <c r="C86" s="287"/>
      <c r="D86" s="287"/>
      <c r="E86" s="287"/>
      <c r="F86" s="287"/>
      <c r="G86" s="287"/>
      <c r="H86" s="287"/>
      <c r="I86" s="287"/>
      <c r="J86" s="287"/>
      <c r="K86" s="287"/>
      <c r="L86" s="287"/>
      <c r="M86" s="60"/>
      <c r="N86" s="60"/>
      <c r="O86" s="60"/>
      <c r="P86" s="60"/>
      <c r="Q86" s="60"/>
      <c r="R86" s="60"/>
      <c r="S86" s="60"/>
      <c r="T86" s="60"/>
      <c r="U86" s="60"/>
      <c r="V86" s="60"/>
      <c r="W86" s="60"/>
      <c r="X86" s="60"/>
      <c r="Y86" s="60"/>
      <c r="Z86" s="60"/>
    </row>
    <row r="87" spans="1:26" ht="15.75" x14ac:dyDescent="0.2">
      <c r="A87" s="287"/>
      <c r="B87" s="83">
        <f>IF(E91&lt;&gt;"",VLOOKUP(E91,GenderCode,2,FALSE),0)</f>
        <v>0</v>
      </c>
      <c r="C87" s="212">
        <v>5</v>
      </c>
      <c r="D87" s="110" t="str">
        <f>IF(B87=0,MsgNotUsed, CONCATENATE("AIHW population ", C87, ": ", E89,": ", E91, " (", E94, "-", J94, ")"))</f>
        <v>** NOT USED **</v>
      </c>
      <c r="E87" s="178"/>
      <c r="F87" s="178"/>
      <c r="G87" s="178"/>
      <c r="H87" s="178"/>
      <c r="I87" s="268"/>
      <c r="J87" s="178"/>
      <c r="K87" s="178"/>
      <c r="L87" s="178"/>
      <c r="M87" s="371"/>
      <c r="N87" s="371"/>
      <c r="O87" s="371"/>
      <c r="P87" s="371"/>
      <c r="Q87" s="371"/>
      <c r="R87" s="371"/>
      <c r="S87" s="371"/>
      <c r="T87" s="371"/>
      <c r="U87" s="371"/>
      <c r="V87" s="371"/>
      <c r="W87" s="371"/>
      <c r="X87" s="371"/>
      <c r="Y87" s="371"/>
      <c r="Z87" s="371"/>
    </row>
    <row r="88" spans="1:26" ht="14.25" outlineLevel="1" x14ac:dyDescent="0.2">
      <c r="A88" s="287"/>
      <c r="B88" s="287"/>
      <c r="C88" s="287"/>
      <c r="D88" s="209"/>
      <c r="E88" s="220"/>
      <c r="F88" s="220"/>
      <c r="G88" s="220"/>
      <c r="H88" s="220"/>
      <c r="I88" s="220"/>
      <c r="J88" s="220"/>
      <c r="K88" s="220"/>
      <c r="L88" s="502"/>
      <c r="M88" s="502"/>
      <c r="N88" s="502"/>
      <c r="O88" s="502"/>
      <c r="P88" s="502"/>
      <c r="Q88" s="502"/>
      <c r="R88" s="502"/>
      <c r="S88" s="502"/>
      <c r="T88" s="502"/>
      <c r="U88" s="502"/>
      <c r="V88" s="502"/>
      <c r="W88" s="502"/>
      <c r="X88" s="572"/>
      <c r="Y88" s="572"/>
      <c r="Z88" s="572"/>
    </row>
    <row r="89" spans="1:26" outlineLevel="1" x14ac:dyDescent="0.2">
      <c r="A89" s="287"/>
      <c r="B89" s="287"/>
      <c r="C89" s="287"/>
      <c r="D89" s="58" t="s">
        <v>314</v>
      </c>
      <c r="E89" s="870"/>
      <c r="F89" s="871"/>
      <c r="G89" s="871"/>
      <c r="H89" s="871"/>
      <c r="I89" s="871"/>
      <c r="J89" s="872"/>
      <c r="K89" s="220"/>
      <c r="L89" s="58" t="s">
        <v>305</v>
      </c>
      <c r="M89" s="870"/>
      <c r="N89" s="871"/>
      <c r="O89" s="871"/>
      <c r="P89" s="871"/>
      <c r="Q89" s="871"/>
      <c r="R89" s="872"/>
      <c r="S89" s="59"/>
      <c r="T89" s="59"/>
      <c r="U89" s="59"/>
      <c r="V89" s="59"/>
      <c r="W89" s="59"/>
      <c r="X89" s="59"/>
      <c r="Y89" s="59"/>
      <c r="Z89" s="59"/>
    </row>
    <row r="90" spans="1:26" ht="14.25" outlineLevel="1" x14ac:dyDescent="0.2">
      <c r="A90" s="287"/>
      <c r="B90" s="287"/>
      <c r="C90" s="287"/>
      <c r="D90" s="209"/>
      <c r="E90" s="220"/>
      <c r="F90" s="220"/>
      <c r="G90" s="220"/>
      <c r="H90" s="220"/>
      <c r="I90" s="220"/>
      <c r="J90" s="220"/>
      <c r="K90" s="220"/>
      <c r="L90" s="288"/>
      <c r="M90" s="59"/>
      <c r="N90" s="59"/>
      <c r="O90" s="59"/>
      <c r="P90" s="59"/>
      <c r="Q90" s="59"/>
      <c r="R90" s="59"/>
      <c r="S90" s="59"/>
      <c r="T90" s="59"/>
      <c r="U90" s="59"/>
      <c r="V90" s="59"/>
      <c r="W90" s="59"/>
      <c r="X90" s="59"/>
      <c r="Y90" s="59"/>
      <c r="Z90" s="59"/>
    </row>
    <row r="91" spans="1:26" outlineLevel="1" x14ac:dyDescent="0.2">
      <c r="A91" s="287"/>
      <c r="B91" s="287"/>
      <c r="C91" s="287"/>
      <c r="D91" s="114" t="s">
        <v>52</v>
      </c>
      <c r="E91" s="107"/>
      <c r="F91" s="220"/>
      <c r="G91" s="220"/>
      <c r="H91" s="287"/>
      <c r="I91" s="114" t="s">
        <v>405</v>
      </c>
      <c r="J91" s="107"/>
      <c r="K91" s="220"/>
      <c r="L91" s="288"/>
      <c r="M91" s="59"/>
      <c r="N91" s="59"/>
      <c r="O91" s="59"/>
      <c r="P91" s="59"/>
      <c r="Q91" s="59"/>
      <c r="R91" s="59"/>
      <c r="S91" s="59"/>
      <c r="T91" s="59"/>
      <c r="U91" s="59"/>
      <c r="V91" s="59"/>
      <c r="W91" s="59"/>
      <c r="X91" s="59"/>
      <c r="Y91" s="59"/>
      <c r="Z91" s="59"/>
    </row>
    <row r="92" spans="1:26" outlineLevel="1" x14ac:dyDescent="0.2">
      <c r="A92" s="287"/>
      <c r="B92" s="287"/>
      <c r="C92" s="287"/>
      <c r="D92" s="6"/>
      <c r="E92" s="220"/>
      <c r="F92" s="220"/>
      <c r="G92" s="220"/>
      <c r="H92" s="220"/>
      <c r="I92" s="220"/>
      <c r="J92" s="220"/>
      <c r="K92" s="220"/>
      <c r="L92" s="288"/>
      <c r="M92" s="59"/>
      <c r="N92" s="59"/>
      <c r="O92" s="59"/>
      <c r="P92" s="59"/>
      <c r="Q92" s="59"/>
      <c r="R92" s="59"/>
      <c r="S92" s="59"/>
      <c r="T92" s="59"/>
      <c r="U92" s="59"/>
      <c r="V92" s="59"/>
      <c r="W92" s="59"/>
      <c r="X92" s="59"/>
      <c r="Y92" s="59"/>
      <c r="Z92" s="59"/>
    </row>
    <row r="93" spans="1:26" outlineLevel="1" x14ac:dyDescent="0.2">
      <c r="A93" s="287"/>
      <c r="B93" s="287"/>
      <c r="C93" s="287"/>
      <c r="D93" s="220"/>
      <c r="E93" s="195" t="s">
        <v>289</v>
      </c>
      <c r="F93" s="220"/>
      <c r="G93" s="220"/>
      <c r="H93" s="220"/>
      <c r="I93" s="220"/>
      <c r="J93" s="220"/>
      <c r="K93" s="220"/>
      <c r="L93" s="288"/>
      <c r="M93" s="59"/>
      <c r="N93" s="59"/>
      <c r="O93" s="59"/>
      <c r="P93" s="59"/>
      <c r="Q93" s="59"/>
      <c r="R93" s="59"/>
      <c r="S93" s="59"/>
      <c r="T93" s="59"/>
      <c r="U93" s="59"/>
      <c r="V93" s="59"/>
      <c r="W93" s="59"/>
      <c r="X93" s="59"/>
      <c r="Y93" s="59"/>
      <c r="Z93" s="59"/>
    </row>
    <row r="94" spans="1:26" outlineLevel="1" x14ac:dyDescent="0.2">
      <c r="A94" s="287"/>
      <c r="B94" s="287"/>
      <c r="C94" s="287"/>
      <c r="D94" s="6"/>
      <c r="E94" s="108">
        <f>IF(J91&lt;&gt;"",J91,FirstYear)</f>
        <v>0</v>
      </c>
      <c r="F94" s="112">
        <f>E94+1</f>
        <v>1</v>
      </c>
      <c r="G94" s="112">
        <f>F94+1</f>
        <v>2</v>
      </c>
      <c r="H94" s="112">
        <f>G94+1</f>
        <v>3</v>
      </c>
      <c r="I94" s="112">
        <f>H94+1</f>
        <v>4</v>
      </c>
      <c r="J94" s="112">
        <f>I94+1</f>
        <v>5</v>
      </c>
      <c r="K94" s="220"/>
      <c r="L94" s="288"/>
      <c r="M94" s="59"/>
      <c r="N94" s="59"/>
      <c r="O94" s="59"/>
      <c r="P94" s="59"/>
      <c r="Q94" s="59"/>
      <c r="R94" s="59"/>
      <c r="S94" s="59"/>
      <c r="T94" s="59"/>
      <c r="U94" s="59"/>
      <c r="V94" s="59"/>
      <c r="W94" s="59"/>
      <c r="X94" s="59"/>
      <c r="Y94" s="59"/>
      <c r="Z94" s="59"/>
    </row>
    <row r="95" spans="1:26" outlineLevel="1" x14ac:dyDescent="0.2">
      <c r="A95" s="287"/>
      <c r="B95" s="287"/>
      <c r="C95" s="287"/>
      <c r="D95" s="220"/>
      <c r="E95" s="86">
        <f>IF($B$87&lt;&gt;0,VLOOKUP($B$87,$C$99:$J$101,E96),0)</f>
        <v>0</v>
      </c>
      <c r="F95" s="86">
        <f t="shared" ref="F95:J95" si="34">IF($B$87&lt;&gt;0,VLOOKUP($B$87,$C$99:$J$101,F96),0)</f>
        <v>0</v>
      </c>
      <c r="G95" s="86">
        <f t="shared" si="34"/>
        <v>0</v>
      </c>
      <c r="H95" s="86">
        <f t="shared" si="34"/>
        <v>0</v>
      </c>
      <c r="I95" s="86">
        <f t="shared" si="34"/>
        <v>0</v>
      </c>
      <c r="J95" s="86">
        <f t="shared" si="34"/>
        <v>0</v>
      </c>
      <c r="K95" s="220"/>
      <c r="L95" s="288"/>
      <c r="M95" s="59"/>
      <c r="N95" s="59"/>
      <c r="O95" s="59"/>
      <c r="P95" s="59"/>
      <c r="Q95" s="59"/>
      <c r="R95" s="59"/>
      <c r="S95" s="59"/>
      <c r="T95" s="59"/>
      <c r="U95" s="59"/>
      <c r="V95" s="59"/>
      <c r="W95" s="59"/>
      <c r="X95" s="59"/>
      <c r="Y95" s="59"/>
      <c r="Z95" s="59"/>
    </row>
    <row r="96" spans="1:26" outlineLevel="1" x14ac:dyDescent="0.2">
      <c r="A96" s="287"/>
      <c r="B96" s="287"/>
      <c r="C96" s="287"/>
      <c r="D96" s="220"/>
      <c r="E96" s="269">
        <v>3</v>
      </c>
      <c r="F96" s="269">
        <v>4</v>
      </c>
      <c r="G96" s="269">
        <v>5</v>
      </c>
      <c r="H96" s="269">
        <v>6</v>
      </c>
      <c r="I96" s="269">
        <v>7</v>
      </c>
      <c r="J96" s="269">
        <v>8</v>
      </c>
      <c r="K96" s="220"/>
      <c r="L96" s="288"/>
      <c r="M96" s="59"/>
      <c r="N96" s="59"/>
      <c r="O96" s="59"/>
      <c r="P96" s="59"/>
      <c r="Q96" s="59"/>
      <c r="R96" s="59"/>
      <c r="S96" s="59"/>
      <c r="T96" s="59"/>
      <c r="U96" s="59"/>
      <c r="V96" s="59"/>
      <c r="W96" s="59"/>
      <c r="X96" s="59"/>
      <c r="Y96" s="59"/>
      <c r="Z96" s="59"/>
    </row>
    <row r="97" spans="1:26" outlineLevel="1" x14ac:dyDescent="0.2">
      <c r="A97" s="287"/>
      <c r="B97" s="287"/>
      <c r="C97" s="287"/>
      <c r="D97" s="46" t="s">
        <v>362</v>
      </c>
      <c r="E97" s="108">
        <f t="shared" ref="E97:J97" si="35">E94</f>
        <v>0</v>
      </c>
      <c r="F97" s="108">
        <f t="shared" si="35"/>
        <v>1</v>
      </c>
      <c r="G97" s="108">
        <f t="shared" si="35"/>
        <v>2</v>
      </c>
      <c r="H97" s="108">
        <f t="shared" si="35"/>
        <v>3</v>
      </c>
      <c r="I97" s="108">
        <f t="shared" si="35"/>
        <v>4</v>
      </c>
      <c r="J97" s="108">
        <f t="shared" si="35"/>
        <v>5</v>
      </c>
      <c r="K97" s="220"/>
      <c r="L97" s="287"/>
      <c r="M97" s="60"/>
      <c r="N97" s="60"/>
      <c r="O97" s="60"/>
      <c r="P97" s="60"/>
      <c r="Q97" s="60"/>
      <c r="R97" s="60"/>
      <c r="S97" s="60"/>
      <c r="T97" s="60"/>
      <c r="U97" s="60"/>
      <c r="V97" s="60"/>
      <c r="W97" s="60"/>
      <c r="X97" s="60"/>
      <c r="Y97" s="60"/>
      <c r="Z97" s="60"/>
    </row>
    <row r="98" spans="1:26" outlineLevel="1" x14ac:dyDescent="0.2">
      <c r="A98" s="287"/>
      <c r="B98" s="287"/>
      <c r="D98" s="270" t="s">
        <v>274</v>
      </c>
      <c r="E98" s="86">
        <f>IF(OR(E99="",E99=0),SUM(E100:E101),E99)</f>
        <v>0</v>
      </c>
      <c r="F98" s="86">
        <f t="shared" ref="F98" si="36">IF(OR(F99="",F99=0),SUM(F100:F101),F99)</f>
        <v>0</v>
      </c>
      <c r="G98" s="86">
        <f t="shared" ref="G98" si="37">IF(OR(G99="",G99=0),SUM(G100:G101),G99)</f>
        <v>0</v>
      </c>
      <c r="H98" s="86">
        <f t="shared" ref="H98" si="38">IF(OR(H99="",H99=0),SUM(H100:H101),H99)</f>
        <v>0</v>
      </c>
      <c r="I98" s="86">
        <f t="shared" ref="I98" si="39">IF(OR(I99="",I99=0),SUM(I100:I101),I99)</f>
        <v>0</v>
      </c>
      <c r="J98" s="86">
        <f t="shared" ref="J98" si="40">IF(OR(J99="",J99=0),SUM(J100:J101),J99)</f>
        <v>0</v>
      </c>
      <c r="K98" s="220"/>
      <c r="L98" s="287"/>
      <c r="M98" s="60"/>
      <c r="N98" s="60"/>
      <c r="O98" s="60"/>
      <c r="P98" s="60"/>
      <c r="Q98" s="60"/>
      <c r="R98" s="60"/>
      <c r="S98" s="60"/>
      <c r="T98" s="60"/>
      <c r="U98" s="60"/>
      <c r="V98" s="60"/>
      <c r="W98" s="60"/>
      <c r="X98" s="60"/>
      <c r="Y98" s="60"/>
      <c r="Z98" s="60"/>
    </row>
    <row r="99" spans="1:26" outlineLevel="1" x14ac:dyDescent="0.2">
      <c r="A99" s="287"/>
      <c r="B99" s="287"/>
      <c r="C99" s="212">
        <v>1</v>
      </c>
      <c r="D99" s="270" t="s">
        <v>406</v>
      </c>
      <c r="E99" s="65"/>
      <c r="F99" s="65"/>
      <c r="G99" s="65"/>
      <c r="H99" s="65"/>
      <c r="I99" s="65"/>
      <c r="J99" s="65"/>
      <c r="K99" s="220"/>
      <c r="L99" s="287"/>
      <c r="M99" s="60"/>
      <c r="N99" s="60"/>
      <c r="O99" s="60"/>
      <c r="P99" s="60"/>
      <c r="Q99" s="60"/>
      <c r="R99" s="60"/>
      <c r="S99" s="60"/>
      <c r="T99" s="60"/>
      <c r="U99" s="60"/>
      <c r="V99" s="60"/>
      <c r="W99" s="60"/>
      <c r="X99" s="60"/>
      <c r="Y99" s="60"/>
      <c r="Z99" s="60"/>
    </row>
    <row r="100" spans="1:26" outlineLevel="1" x14ac:dyDescent="0.2">
      <c r="A100" s="287"/>
      <c r="B100" s="287"/>
      <c r="C100" s="212">
        <v>2</v>
      </c>
      <c r="D100" s="270" t="s">
        <v>277</v>
      </c>
      <c r="E100" s="65"/>
      <c r="F100" s="65"/>
      <c r="G100" s="65"/>
      <c r="H100" s="65"/>
      <c r="I100" s="65"/>
      <c r="J100" s="65"/>
      <c r="K100" s="220"/>
      <c r="L100" s="287"/>
      <c r="M100" s="60"/>
      <c r="N100" s="60"/>
      <c r="O100" s="60"/>
      <c r="P100" s="60"/>
      <c r="Q100" s="60"/>
      <c r="R100" s="60"/>
      <c r="S100" s="60"/>
      <c r="T100" s="60"/>
      <c r="U100" s="60"/>
      <c r="V100" s="60"/>
      <c r="W100" s="60"/>
      <c r="X100" s="60"/>
      <c r="Y100" s="60"/>
      <c r="Z100" s="60"/>
    </row>
    <row r="101" spans="1:26" outlineLevel="1" x14ac:dyDescent="0.2">
      <c r="A101" s="287"/>
      <c r="B101" s="287"/>
      <c r="C101" s="212">
        <v>3</v>
      </c>
      <c r="D101" s="270" t="s">
        <v>278</v>
      </c>
      <c r="E101" s="65"/>
      <c r="F101" s="65"/>
      <c r="G101" s="65"/>
      <c r="H101" s="65"/>
      <c r="I101" s="65"/>
      <c r="J101" s="65"/>
      <c r="K101" s="220"/>
      <c r="L101" s="287"/>
      <c r="M101" s="60"/>
      <c r="N101" s="60"/>
      <c r="O101" s="60"/>
      <c r="P101" s="60"/>
      <c r="Q101" s="60"/>
      <c r="R101" s="60"/>
      <c r="S101" s="60"/>
      <c r="T101" s="60"/>
      <c r="U101" s="60"/>
      <c r="V101" s="60"/>
      <c r="W101" s="60"/>
      <c r="X101" s="60"/>
      <c r="Y101" s="60"/>
      <c r="Z101" s="60"/>
    </row>
    <row r="102" spans="1:26" outlineLevel="1" collapsed="1" x14ac:dyDescent="0.2">
      <c r="A102" s="287"/>
      <c r="B102" s="287"/>
      <c r="C102" s="287"/>
      <c r="D102" s="287"/>
      <c r="E102" s="287"/>
      <c r="F102" s="287"/>
      <c r="G102" s="287"/>
      <c r="H102" s="287"/>
      <c r="I102" s="287"/>
      <c r="J102" s="287"/>
      <c r="K102" s="287"/>
      <c r="L102" s="287"/>
      <c r="M102" s="60"/>
      <c r="N102" s="60"/>
      <c r="O102" s="60"/>
      <c r="P102" s="60"/>
      <c r="Q102" s="60"/>
      <c r="R102" s="60"/>
      <c r="S102" s="60"/>
      <c r="T102" s="60"/>
      <c r="U102" s="60"/>
      <c r="V102" s="60"/>
      <c r="W102" s="60"/>
      <c r="X102" s="60"/>
      <c r="Y102" s="60"/>
      <c r="Z102" s="60"/>
    </row>
    <row r="103" spans="1:26" x14ac:dyDescent="0.2">
      <c r="A103" s="287"/>
      <c r="B103" s="287"/>
      <c r="C103" s="287"/>
      <c r="D103" s="287"/>
      <c r="E103" s="287"/>
      <c r="F103" s="287"/>
      <c r="G103" s="287"/>
      <c r="H103" s="287"/>
      <c r="I103" s="287"/>
      <c r="J103" s="287"/>
      <c r="K103" s="287"/>
      <c r="L103" s="287"/>
      <c r="M103" s="60"/>
      <c r="N103" s="60"/>
      <c r="O103" s="60"/>
      <c r="P103" s="60"/>
      <c r="Q103" s="60"/>
      <c r="R103" s="60"/>
      <c r="S103" s="60"/>
      <c r="T103" s="60"/>
      <c r="U103" s="60"/>
      <c r="V103" s="60"/>
      <c r="W103" s="60"/>
      <c r="X103" s="60"/>
      <c r="Y103" s="60"/>
      <c r="Z103" s="60"/>
    </row>
    <row r="104" spans="1:26" ht="15.75" x14ac:dyDescent="0.2">
      <c r="A104" s="287"/>
      <c r="B104" s="83">
        <f>IF(E108&lt;&gt;"",VLOOKUP(E108,GenderCode,2,FALSE),0)</f>
        <v>0</v>
      </c>
      <c r="C104" s="212">
        <v>6</v>
      </c>
      <c r="D104" s="110" t="str">
        <f>IF(B104=0,MsgNotUsed, CONCATENATE("AIHW population ", C104, ": ", E106,": ", E108, " (", E111, "-", J111, ")"))</f>
        <v>** NOT USED **</v>
      </c>
      <c r="E104" s="178"/>
      <c r="F104" s="178"/>
      <c r="G104" s="178"/>
      <c r="H104" s="178"/>
      <c r="I104" s="268"/>
      <c r="J104" s="178"/>
      <c r="K104" s="178"/>
      <c r="L104" s="178"/>
      <c r="M104" s="371"/>
      <c r="N104" s="371"/>
      <c r="O104" s="371"/>
      <c r="P104" s="371"/>
      <c r="Q104" s="371"/>
      <c r="R104" s="371"/>
      <c r="S104" s="371"/>
      <c r="T104" s="371"/>
      <c r="U104" s="371"/>
      <c r="V104" s="371"/>
      <c r="W104" s="371"/>
      <c r="X104" s="371"/>
      <c r="Y104" s="371"/>
      <c r="Z104" s="371"/>
    </row>
    <row r="105" spans="1:26" ht="14.25" outlineLevel="1" x14ac:dyDescent="0.2">
      <c r="A105" s="287"/>
      <c r="B105" s="287"/>
      <c r="C105" s="287"/>
      <c r="D105" s="209"/>
      <c r="E105" s="220"/>
      <c r="F105" s="220"/>
      <c r="G105" s="220"/>
      <c r="H105" s="220"/>
      <c r="I105" s="220"/>
      <c r="J105" s="220"/>
      <c r="K105" s="220"/>
      <c r="L105" s="502"/>
      <c r="M105" s="502"/>
      <c r="N105" s="502"/>
      <c r="O105" s="502"/>
      <c r="P105" s="502"/>
      <c r="Q105" s="502"/>
      <c r="R105" s="502"/>
      <c r="S105" s="502"/>
      <c r="T105" s="502"/>
      <c r="U105" s="502"/>
      <c r="V105" s="502"/>
      <c r="W105" s="502"/>
      <c r="X105" s="572"/>
      <c r="Y105" s="572"/>
      <c r="Z105" s="572"/>
    </row>
    <row r="106" spans="1:26" outlineLevel="1" x14ac:dyDescent="0.2">
      <c r="A106" s="287"/>
      <c r="B106" s="287"/>
      <c r="C106" s="287"/>
      <c r="D106" s="58" t="s">
        <v>314</v>
      </c>
      <c r="E106" s="870"/>
      <c r="F106" s="871"/>
      <c r="G106" s="871"/>
      <c r="H106" s="871"/>
      <c r="I106" s="871"/>
      <c r="J106" s="872"/>
      <c r="K106" s="220"/>
      <c r="L106" s="58" t="s">
        <v>305</v>
      </c>
      <c r="M106" s="870"/>
      <c r="N106" s="871"/>
      <c r="O106" s="871"/>
      <c r="P106" s="871"/>
      <c r="Q106" s="871"/>
      <c r="R106" s="872"/>
      <c r="S106" s="59"/>
      <c r="T106" s="59"/>
      <c r="U106" s="59"/>
      <c r="V106" s="59"/>
      <c r="W106" s="59"/>
      <c r="X106" s="59"/>
      <c r="Y106" s="59"/>
      <c r="Z106" s="59"/>
    </row>
    <row r="107" spans="1:26" ht="14.25" outlineLevel="1" x14ac:dyDescent="0.2">
      <c r="A107" s="287"/>
      <c r="B107" s="287"/>
      <c r="C107" s="287"/>
      <c r="D107" s="209"/>
      <c r="E107" s="220"/>
      <c r="F107" s="220"/>
      <c r="G107" s="220"/>
      <c r="H107" s="220"/>
      <c r="I107" s="220"/>
      <c r="J107" s="220"/>
      <c r="K107" s="220"/>
      <c r="L107" s="288"/>
      <c r="M107" s="59"/>
      <c r="N107" s="59"/>
      <c r="O107" s="59"/>
      <c r="P107" s="59"/>
      <c r="Q107" s="59"/>
      <c r="R107" s="59"/>
      <c r="S107" s="59"/>
      <c r="T107" s="59"/>
      <c r="U107" s="59"/>
      <c r="V107" s="59"/>
      <c r="W107" s="59"/>
      <c r="X107" s="59"/>
      <c r="Y107" s="59"/>
      <c r="Z107" s="59"/>
    </row>
    <row r="108" spans="1:26" outlineLevel="1" x14ac:dyDescent="0.2">
      <c r="A108" s="287"/>
      <c r="B108" s="287"/>
      <c r="C108" s="287"/>
      <c r="D108" s="114" t="s">
        <v>52</v>
      </c>
      <c r="E108" s="107"/>
      <c r="F108" s="220"/>
      <c r="G108" s="220"/>
      <c r="H108" s="287"/>
      <c r="I108" s="114" t="s">
        <v>405</v>
      </c>
      <c r="J108" s="107"/>
      <c r="K108" s="220"/>
      <c r="L108" s="288"/>
      <c r="M108" s="59"/>
      <c r="N108" s="59"/>
      <c r="O108" s="59"/>
      <c r="P108" s="59"/>
      <c r="Q108" s="59"/>
      <c r="R108" s="59"/>
      <c r="S108" s="59"/>
      <c r="T108" s="59"/>
      <c r="U108" s="59"/>
      <c r="V108" s="59"/>
      <c r="W108" s="59"/>
      <c r="X108" s="59"/>
      <c r="Y108" s="59"/>
      <c r="Z108" s="59"/>
    </row>
    <row r="109" spans="1:26" outlineLevel="1" x14ac:dyDescent="0.2">
      <c r="A109" s="287"/>
      <c r="B109" s="287"/>
      <c r="C109" s="287"/>
      <c r="D109" s="6"/>
      <c r="E109" s="220"/>
      <c r="F109" s="220"/>
      <c r="G109" s="220"/>
      <c r="H109" s="220"/>
      <c r="I109" s="220"/>
      <c r="J109" s="220"/>
      <c r="K109" s="220"/>
      <c r="L109" s="288"/>
      <c r="M109" s="59"/>
      <c r="N109" s="59"/>
      <c r="O109" s="59"/>
      <c r="P109" s="59"/>
      <c r="Q109" s="59"/>
      <c r="R109" s="59"/>
      <c r="S109" s="59"/>
      <c r="T109" s="59"/>
      <c r="U109" s="59"/>
      <c r="V109" s="59"/>
      <c r="W109" s="59"/>
      <c r="X109" s="59"/>
      <c r="Y109" s="59"/>
      <c r="Z109" s="59"/>
    </row>
    <row r="110" spans="1:26" outlineLevel="1" x14ac:dyDescent="0.2">
      <c r="A110" s="287"/>
      <c r="B110" s="287"/>
      <c r="C110" s="287"/>
      <c r="D110" s="220"/>
      <c r="E110" s="195" t="s">
        <v>289</v>
      </c>
      <c r="F110" s="220"/>
      <c r="G110" s="220"/>
      <c r="H110" s="220"/>
      <c r="I110" s="220"/>
      <c r="J110" s="220"/>
      <c r="K110" s="220"/>
      <c r="L110" s="288"/>
      <c r="M110" s="59"/>
      <c r="N110" s="59"/>
      <c r="O110" s="59"/>
      <c r="P110" s="59"/>
      <c r="Q110" s="59"/>
      <c r="R110" s="59"/>
      <c r="S110" s="59"/>
      <c r="T110" s="59"/>
      <c r="U110" s="59"/>
      <c r="V110" s="59"/>
      <c r="W110" s="59"/>
      <c r="X110" s="59"/>
      <c r="Y110" s="59"/>
      <c r="Z110" s="59"/>
    </row>
    <row r="111" spans="1:26" outlineLevel="1" x14ac:dyDescent="0.2">
      <c r="A111" s="287"/>
      <c r="B111" s="287"/>
      <c r="C111" s="287"/>
      <c r="D111" s="6"/>
      <c r="E111" s="108">
        <f>IF(J108&lt;&gt;"",J108,FirstYear)</f>
        <v>0</v>
      </c>
      <c r="F111" s="112">
        <f>E111+1</f>
        <v>1</v>
      </c>
      <c r="G111" s="112">
        <f>F111+1</f>
        <v>2</v>
      </c>
      <c r="H111" s="112">
        <f>G111+1</f>
        <v>3</v>
      </c>
      <c r="I111" s="112">
        <f>H111+1</f>
        <v>4</v>
      </c>
      <c r="J111" s="112">
        <f>I111+1</f>
        <v>5</v>
      </c>
      <c r="K111" s="220"/>
      <c r="L111" s="288"/>
      <c r="M111" s="59"/>
      <c r="N111" s="59"/>
      <c r="O111" s="59"/>
      <c r="P111" s="59"/>
      <c r="Q111" s="59"/>
      <c r="R111" s="59"/>
      <c r="S111" s="59"/>
      <c r="T111" s="59"/>
      <c r="U111" s="59"/>
      <c r="V111" s="59"/>
      <c r="W111" s="59"/>
      <c r="X111" s="59"/>
      <c r="Y111" s="59"/>
      <c r="Z111" s="59"/>
    </row>
    <row r="112" spans="1:26" outlineLevel="1" x14ac:dyDescent="0.2">
      <c r="A112" s="287"/>
      <c r="B112" s="287"/>
      <c r="C112" s="287"/>
      <c r="D112" s="220"/>
      <c r="E112" s="86">
        <f>IF($B$104&lt;&gt;0,VLOOKUP($B$104,$C$116:$J$118,E113),0)</f>
        <v>0</v>
      </c>
      <c r="F112" s="86">
        <f t="shared" ref="F112:J112" si="41">IF($B$104&lt;&gt;0,VLOOKUP($B$104,$C$116:$J$118,F113),0)</f>
        <v>0</v>
      </c>
      <c r="G112" s="86">
        <f t="shared" si="41"/>
        <v>0</v>
      </c>
      <c r="H112" s="86">
        <f t="shared" si="41"/>
        <v>0</v>
      </c>
      <c r="I112" s="86">
        <f t="shared" si="41"/>
        <v>0</v>
      </c>
      <c r="J112" s="86">
        <f t="shared" si="41"/>
        <v>0</v>
      </c>
      <c r="K112" s="220"/>
      <c r="L112" s="288"/>
      <c r="M112" s="59"/>
      <c r="N112" s="59"/>
      <c r="O112" s="59"/>
      <c r="P112" s="59"/>
      <c r="Q112" s="59"/>
      <c r="R112" s="59"/>
      <c r="S112" s="59"/>
      <c r="T112" s="59"/>
      <c r="U112" s="59"/>
      <c r="V112" s="59"/>
      <c r="W112" s="59"/>
      <c r="X112" s="59"/>
      <c r="Y112" s="59"/>
      <c r="Z112" s="59"/>
    </row>
    <row r="113" spans="1:26" outlineLevel="1" x14ac:dyDescent="0.2">
      <c r="A113" s="287"/>
      <c r="B113" s="287"/>
      <c r="C113" s="287"/>
      <c r="D113" s="220"/>
      <c r="E113" s="269">
        <v>3</v>
      </c>
      <c r="F113" s="269">
        <v>4</v>
      </c>
      <c r="G113" s="269">
        <v>5</v>
      </c>
      <c r="H113" s="269">
        <v>6</v>
      </c>
      <c r="I113" s="269">
        <v>7</v>
      </c>
      <c r="J113" s="269">
        <v>8</v>
      </c>
      <c r="K113" s="220"/>
      <c r="L113" s="288"/>
      <c r="M113" s="59"/>
      <c r="N113" s="59"/>
      <c r="O113" s="59"/>
      <c r="P113" s="59"/>
      <c r="Q113" s="59"/>
      <c r="R113" s="59"/>
      <c r="S113" s="59"/>
      <c r="T113" s="59"/>
      <c r="U113" s="59"/>
      <c r="V113" s="59"/>
      <c r="W113" s="59"/>
      <c r="X113" s="59"/>
      <c r="Y113" s="59"/>
      <c r="Z113" s="59"/>
    </row>
    <row r="114" spans="1:26" outlineLevel="1" x14ac:dyDescent="0.2">
      <c r="A114" s="287"/>
      <c r="B114" s="287"/>
      <c r="C114" s="287"/>
      <c r="D114" s="46" t="s">
        <v>362</v>
      </c>
      <c r="E114" s="108">
        <f t="shared" ref="E114:J114" si="42">E111</f>
        <v>0</v>
      </c>
      <c r="F114" s="108">
        <f t="shared" si="42"/>
        <v>1</v>
      </c>
      <c r="G114" s="108">
        <f t="shared" si="42"/>
        <v>2</v>
      </c>
      <c r="H114" s="108">
        <f t="shared" si="42"/>
        <v>3</v>
      </c>
      <c r="I114" s="108">
        <f t="shared" si="42"/>
        <v>4</v>
      </c>
      <c r="J114" s="108">
        <f t="shared" si="42"/>
        <v>5</v>
      </c>
      <c r="K114" s="220"/>
      <c r="L114" s="287"/>
      <c r="M114" s="60"/>
      <c r="N114" s="60"/>
      <c r="O114" s="60"/>
      <c r="P114" s="60"/>
      <c r="Q114" s="60"/>
      <c r="R114" s="60"/>
      <c r="S114" s="60"/>
      <c r="T114" s="60"/>
      <c r="U114" s="60"/>
      <c r="V114" s="60"/>
      <c r="W114" s="60"/>
      <c r="X114" s="60"/>
      <c r="Y114" s="60"/>
      <c r="Z114" s="60"/>
    </row>
    <row r="115" spans="1:26" outlineLevel="1" x14ac:dyDescent="0.2">
      <c r="A115" s="287"/>
      <c r="B115" s="287"/>
      <c r="D115" s="270" t="s">
        <v>274</v>
      </c>
      <c r="E115" s="86">
        <f>IF(OR(E116="",E116=0),SUM(E117:E118),E116)</f>
        <v>0</v>
      </c>
      <c r="F115" s="86">
        <f t="shared" ref="F115" si="43">IF(OR(F116="",F116=0),SUM(F117:F118),F116)</f>
        <v>0</v>
      </c>
      <c r="G115" s="86">
        <f t="shared" ref="G115" si="44">IF(OR(G116="",G116=0),SUM(G117:G118),G116)</f>
        <v>0</v>
      </c>
      <c r="H115" s="86">
        <f t="shared" ref="H115" si="45">IF(OR(H116="",H116=0),SUM(H117:H118),H116)</f>
        <v>0</v>
      </c>
      <c r="I115" s="86">
        <f t="shared" ref="I115" si="46">IF(OR(I116="",I116=0),SUM(I117:I118),I116)</f>
        <v>0</v>
      </c>
      <c r="J115" s="86">
        <f t="shared" ref="J115" si="47">IF(OR(J116="",J116=0),SUM(J117:J118),J116)</f>
        <v>0</v>
      </c>
      <c r="K115" s="220"/>
      <c r="L115" s="287"/>
      <c r="M115" s="60"/>
      <c r="N115" s="60"/>
      <c r="O115" s="60"/>
      <c r="P115" s="60"/>
      <c r="Q115" s="60"/>
      <c r="R115" s="60"/>
      <c r="S115" s="60"/>
      <c r="T115" s="60"/>
      <c r="U115" s="60"/>
      <c r="V115" s="60"/>
      <c r="W115" s="60"/>
      <c r="X115" s="60"/>
      <c r="Y115" s="60"/>
      <c r="Z115" s="60"/>
    </row>
    <row r="116" spans="1:26" outlineLevel="1" x14ac:dyDescent="0.2">
      <c r="A116" s="287"/>
      <c r="B116" s="287"/>
      <c r="C116" s="212">
        <v>1</v>
      </c>
      <c r="D116" s="270" t="s">
        <v>406</v>
      </c>
      <c r="E116" s="65"/>
      <c r="F116" s="65"/>
      <c r="G116" s="65"/>
      <c r="H116" s="65"/>
      <c r="I116" s="65"/>
      <c r="J116" s="65"/>
      <c r="K116" s="220"/>
      <c r="L116" s="287"/>
      <c r="M116" s="60"/>
      <c r="N116" s="60"/>
      <c r="O116" s="60"/>
      <c r="P116" s="60"/>
      <c r="Q116" s="60"/>
      <c r="R116" s="60"/>
      <c r="S116" s="60"/>
      <c r="T116" s="60"/>
      <c r="U116" s="60"/>
      <c r="V116" s="60"/>
      <c r="W116" s="60"/>
      <c r="X116" s="60"/>
      <c r="Y116" s="60"/>
      <c r="Z116" s="60"/>
    </row>
    <row r="117" spans="1:26" outlineLevel="1" x14ac:dyDescent="0.2">
      <c r="A117" s="287"/>
      <c r="B117" s="287"/>
      <c r="C117" s="212">
        <v>2</v>
      </c>
      <c r="D117" s="270" t="s">
        <v>277</v>
      </c>
      <c r="E117" s="65"/>
      <c r="F117" s="65"/>
      <c r="G117" s="65"/>
      <c r="H117" s="65"/>
      <c r="I117" s="65"/>
      <c r="J117" s="65"/>
      <c r="K117" s="220"/>
      <c r="L117" s="287"/>
      <c r="M117" s="60"/>
      <c r="N117" s="60"/>
      <c r="O117" s="60"/>
      <c r="P117" s="60"/>
      <c r="Q117" s="60"/>
      <c r="R117" s="60"/>
      <c r="S117" s="60"/>
      <c r="T117" s="60"/>
      <c r="U117" s="60"/>
      <c r="V117" s="60"/>
      <c r="W117" s="60"/>
      <c r="X117" s="60"/>
      <c r="Y117" s="60"/>
      <c r="Z117" s="60"/>
    </row>
    <row r="118" spans="1:26" outlineLevel="1" x14ac:dyDescent="0.2">
      <c r="A118" s="287"/>
      <c r="B118" s="287"/>
      <c r="C118" s="212">
        <v>3</v>
      </c>
      <c r="D118" s="270" t="s">
        <v>278</v>
      </c>
      <c r="E118" s="65"/>
      <c r="F118" s="65"/>
      <c r="G118" s="65"/>
      <c r="H118" s="65"/>
      <c r="I118" s="65"/>
      <c r="J118" s="65"/>
      <c r="K118" s="220"/>
      <c r="L118" s="287"/>
      <c r="M118" s="60"/>
      <c r="N118" s="60"/>
      <c r="O118" s="60"/>
      <c r="P118" s="60"/>
      <c r="Q118" s="60"/>
      <c r="R118" s="60"/>
      <c r="S118" s="60"/>
      <c r="T118" s="60"/>
      <c r="U118" s="60"/>
      <c r="V118" s="60"/>
      <c r="W118" s="60"/>
      <c r="X118" s="60"/>
      <c r="Y118" s="60"/>
      <c r="Z118" s="60"/>
    </row>
    <row r="119" spans="1:26" outlineLevel="1" collapsed="1" x14ac:dyDescent="0.2">
      <c r="A119" s="287"/>
      <c r="B119" s="287"/>
      <c r="C119" s="287"/>
      <c r="D119" s="287"/>
      <c r="E119" s="287"/>
      <c r="F119" s="287"/>
      <c r="G119" s="287"/>
      <c r="H119" s="287"/>
      <c r="I119" s="287"/>
      <c r="J119" s="287"/>
      <c r="K119" s="287"/>
      <c r="L119" s="287"/>
      <c r="M119" s="60"/>
      <c r="N119" s="60"/>
      <c r="O119" s="60"/>
      <c r="P119" s="60"/>
      <c r="Q119" s="60"/>
      <c r="R119" s="60"/>
      <c r="S119" s="60"/>
      <c r="T119" s="60"/>
      <c r="U119" s="60"/>
      <c r="V119" s="60"/>
      <c r="W119" s="60"/>
      <c r="X119" s="60"/>
      <c r="Y119" s="60"/>
      <c r="Z119" s="60"/>
    </row>
    <row r="120" spans="1:26" x14ac:dyDescent="0.2">
      <c r="A120" s="287"/>
      <c r="B120" s="287"/>
      <c r="C120" s="287"/>
      <c r="D120" s="287"/>
      <c r="E120" s="287"/>
      <c r="F120" s="287"/>
      <c r="G120" s="287"/>
      <c r="H120" s="287"/>
      <c r="I120" s="287"/>
      <c r="J120" s="287"/>
      <c r="K120" s="287"/>
      <c r="L120" s="287"/>
      <c r="M120" s="60"/>
      <c r="N120" s="60"/>
      <c r="O120" s="60"/>
      <c r="P120" s="60"/>
      <c r="Q120" s="60"/>
      <c r="R120" s="60"/>
      <c r="S120" s="60"/>
      <c r="T120" s="60"/>
      <c r="U120" s="60"/>
      <c r="V120" s="60"/>
      <c r="W120" s="60"/>
      <c r="X120" s="60"/>
      <c r="Y120" s="60"/>
      <c r="Z120" s="60"/>
    </row>
    <row r="121" spans="1:26" ht="15.75" x14ac:dyDescent="0.2">
      <c r="A121" s="287"/>
      <c r="B121" s="83">
        <f>IF(E125&lt;&gt;"",VLOOKUP(E125,GenderCode,2,FALSE),0)</f>
        <v>0</v>
      </c>
      <c r="C121" s="212">
        <v>7</v>
      </c>
      <c r="D121" s="110" t="str">
        <f>IF(B121=0,MsgNotUsed, CONCATENATE("AIHW population ", C121, ": ", E123,": ", E125, " (", E128, "-", J128, ")"))</f>
        <v>** NOT USED **</v>
      </c>
      <c r="E121" s="178"/>
      <c r="F121" s="178"/>
      <c r="G121" s="178"/>
      <c r="H121" s="178"/>
      <c r="I121" s="268"/>
      <c r="J121" s="178"/>
      <c r="K121" s="178"/>
      <c r="L121" s="178"/>
      <c r="M121" s="371"/>
      <c r="N121" s="371"/>
      <c r="O121" s="371"/>
      <c r="P121" s="371"/>
      <c r="Q121" s="371"/>
      <c r="R121" s="371"/>
      <c r="S121" s="371"/>
      <c r="T121" s="371"/>
      <c r="U121" s="371"/>
      <c r="V121" s="371"/>
      <c r="W121" s="371"/>
      <c r="X121" s="371"/>
      <c r="Y121" s="371"/>
      <c r="Z121" s="371"/>
    </row>
    <row r="122" spans="1:26" ht="14.25" outlineLevel="1" x14ac:dyDescent="0.2">
      <c r="A122" s="287"/>
      <c r="B122" s="287"/>
      <c r="C122" s="287"/>
      <c r="D122" s="209"/>
      <c r="E122" s="220"/>
      <c r="F122" s="220"/>
      <c r="G122" s="220"/>
      <c r="H122" s="220"/>
      <c r="I122" s="220"/>
      <c r="J122" s="220"/>
      <c r="K122" s="220"/>
      <c r="L122" s="502"/>
      <c r="M122" s="502"/>
      <c r="N122" s="502"/>
      <c r="O122" s="502"/>
      <c r="P122" s="502"/>
      <c r="Q122" s="502"/>
      <c r="R122" s="502"/>
      <c r="S122" s="502"/>
      <c r="T122" s="502"/>
      <c r="U122" s="502"/>
      <c r="V122" s="502"/>
      <c r="W122" s="502"/>
      <c r="X122" s="572"/>
      <c r="Y122" s="572"/>
      <c r="Z122" s="572"/>
    </row>
    <row r="123" spans="1:26" outlineLevel="1" x14ac:dyDescent="0.2">
      <c r="A123" s="287"/>
      <c r="B123" s="287"/>
      <c r="C123" s="287"/>
      <c r="D123" s="58" t="s">
        <v>314</v>
      </c>
      <c r="E123" s="870"/>
      <c r="F123" s="871"/>
      <c r="G123" s="871"/>
      <c r="H123" s="871"/>
      <c r="I123" s="871"/>
      <c r="J123" s="872"/>
      <c r="K123" s="220"/>
      <c r="L123" s="58" t="s">
        <v>305</v>
      </c>
      <c r="M123" s="870"/>
      <c r="N123" s="871"/>
      <c r="O123" s="871"/>
      <c r="P123" s="871"/>
      <c r="Q123" s="871"/>
      <c r="R123" s="872"/>
      <c r="S123" s="59"/>
      <c r="T123" s="59"/>
      <c r="U123" s="59"/>
      <c r="V123" s="59"/>
      <c r="W123" s="59"/>
      <c r="X123" s="59"/>
      <c r="Y123" s="59"/>
      <c r="Z123" s="59"/>
    </row>
    <row r="124" spans="1:26" ht="14.25" outlineLevel="1" x14ac:dyDescent="0.2">
      <c r="A124" s="287"/>
      <c r="B124" s="287"/>
      <c r="C124" s="287"/>
      <c r="D124" s="209"/>
      <c r="E124" s="220"/>
      <c r="F124" s="220"/>
      <c r="G124" s="220"/>
      <c r="H124" s="220"/>
      <c r="I124" s="220"/>
      <c r="J124" s="220"/>
      <c r="K124" s="220"/>
      <c r="L124" s="288"/>
      <c r="M124" s="59"/>
      <c r="N124" s="59"/>
      <c r="O124" s="59"/>
      <c r="P124" s="59"/>
      <c r="Q124" s="59"/>
      <c r="R124" s="59"/>
      <c r="S124" s="59"/>
      <c r="T124" s="59"/>
      <c r="U124" s="59"/>
      <c r="V124" s="59"/>
      <c r="W124" s="59"/>
      <c r="X124" s="59"/>
      <c r="Y124" s="59"/>
      <c r="Z124" s="59"/>
    </row>
    <row r="125" spans="1:26" outlineLevel="1" x14ac:dyDescent="0.2">
      <c r="A125" s="287"/>
      <c r="B125" s="287"/>
      <c r="C125" s="287"/>
      <c r="D125" s="114" t="s">
        <v>52</v>
      </c>
      <c r="E125" s="107"/>
      <c r="F125" s="220"/>
      <c r="G125" s="220"/>
      <c r="H125" s="287"/>
      <c r="I125" s="114" t="s">
        <v>405</v>
      </c>
      <c r="J125" s="107"/>
      <c r="K125" s="220"/>
      <c r="L125" s="288"/>
      <c r="M125" s="59"/>
      <c r="N125" s="59"/>
      <c r="O125" s="59"/>
      <c r="P125" s="59"/>
      <c r="Q125" s="59"/>
      <c r="R125" s="59"/>
      <c r="S125" s="59"/>
      <c r="T125" s="59"/>
      <c r="U125" s="59"/>
      <c r="V125" s="59"/>
      <c r="W125" s="59"/>
      <c r="X125" s="59"/>
      <c r="Y125" s="59"/>
      <c r="Z125" s="59"/>
    </row>
    <row r="126" spans="1:26" outlineLevel="1" x14ac:dyDescent="0.2">
      <c r="A126" s="287"/>
      <c r="B126" s="287"/>
      <c r="C126" s="287"/>
      <c r="D126" s="6"/>
      <c r="E126" s="220"/>
      <c r="F126" s="220"/>
      <c r="G126" s="220"/>
      <c r="H126" s="220"/>
      <c r="I126" s="220"/>
      <c r="J126" s="220"/>
      <c r="K126" s="220"/>
      <c r="L126" s="288"/>
      <c r="M126" s="59"/>
      <c r="N126" s="59"/>
      <c r="O126" s="59"/>
      <c r="P126" s="59"/>
      <c r="Q126" s="59"/>
      <c r="R126" s="59"/>
      <c r="S126" s="59"/>
      <c r="T126" s="59"/>
      <c r="U126" s="59"/>
      <c r="V126" s="59"/>
      <c r="W126" s="59"/>
      <c r="X126" s="59"/>
      <c r="Y126" s="59"/>
      <c r="Z126" s="59"/>
    </row>
    <row r="127" spans="1:26" outlineLevel="1" x14ac:dyDescent="0.2">
      <c r="A127" s="287"/>
      <c r="B127" s="287"/>
      <c r="C127" s="287"/>
      <c r="D127" s="220"/>
      <c r="E127" s="195" t="s">
        <v>289</v>
      </c>
      <c r="F127" s="220"/>
      <c r="G127" s="220"/>
      <c r="H127" s="220"/>
      <c r="I127" s="220"/>
      <c r="J127" s="220"/>
      <c r="K127" s="220"/>
      <c r="L127" s="288"/>
      <c r="M127" s="59"/>
      <c r="N127" s="59"/>
      <c r="O127" s="59"/>
      <c r="P127" s="59"/>
      <c r="Q127" s="59"/>
      <c r="R127" s="59"/>
      <c r="S127" s="59"/>
      <c r="T127" s="59"/>
      <c r="U127" s="59"/>
      <c r="V127" s="59"/>
      <c r="W127" s="59"/>
      <c r="X127" s="59"/>
      <c r="Y127" s="59"/>
      <c r="Z127" s="59"/>
    </row>
    <row r="128" spans="1:26" outlineLevel="1" x14ac:dyDescent="0.2">
      <c r="A128" s="287"/>
      <c r="B128" s="287"/>
      <c r="C128" s="287"/>
      <c r="D128" s="6"/>
      <c r="E128" s="108">
        <f>IF(J125&lt;&gt;"",J125,FirstYear)</f>
        <v>0</v>
      </c>
      <c r="F128" s="112">
        <f>E128+1</f>
        <v>1</v>
      </c>
      <c r="G128" s="112">
        <f>F128+1</f>
        <v>2</v>
      </c>
      <c r="H128" s="112">
        <f>G128+1</f>
        <v>3</v>
      </c>
      <c r="I128" s="112">
        <f>H128+1</f>
        <v>4</v>
      </c>
      <c r="J128" s="112">
        <f>I128+1</f>
        <v>5</v>
      </c>
      <c r="K128" s="220"/>
      <c r="L128" s="288"/>
      <c r="M128" s="59"/>
      <c r="N128" s="59"/>
      <c r="O128" s="59"/>
      <c r="P128" s="59"/>
      <c r="Q128" s="59"/>
      <c r="R128" s="59"/>
      <c r="S128" s="59"/>
      <c r="T128" s="59"/>
      <c r="U128" s="59"/>
      <c r="V128" s="59"/>
      <c r="W128" s="59"/>
      <c r="X128" s="59"/>
      <c r="Y128" s="59"/>
      <c r="Z128" s="59"/>
    </row>
    <row r="129" spans="1:26" outlineLevel="1" x14ac:dyDescent="0.2">
      <c r="A129" s="287"/>
      <c r="B129" s="287"/>
      <c r="C129" s="287"/>
      <c r="D129" s="220"/>
      <c r="E129" s="86">
        <f>IF($B$121&lt;&gt;0,VLOOKUP($B$121,$C$133:$J$135,E130),0)</f>
        <v>0</v>
      </c>
      <c r="F129" s="86">
        <f t="shared" ref="F129:J129" si="48">IF($B$121&lt;&gt;0,VLOOKUP($B$121,$C$133:$J$135,F130),0)</f>
        <v>0</v>
      </c>
      <c r="G129" s="86">
        <f t="shared" si="48"/>
        <v>0</v>
      </c>
      <c r="H129" s="86">
        <f t="shared" si="48"/>
        <v>0</v>
      </c>
      <c r="I129" s="86">
        <f t="shared" si="48"/>
        <v>0</v>
      </c>
      <c r="J129" s="86">
        <f t="shared" si="48"/>
        <v>0</v>
      </c>
      <c r="K129" s="220"/>
      <c r="L129" s="288"/>
      <c r="M129" s="59"/>
      <c r="N129" s="59"/>
      <c r="O129" s="59"/>
      <c r="P129" s="59"/>
      <c r="Q129" s="59"/>
      <c r="R129" s="59"/>
      <c r="S129" s="59"/>
      <c r="T129" s="59"/>
      <c r="U129" s="59"/>
      <c r="V129" s="59"/>
      <c r="W129" s="59"/>
      <c r="X129" s="59"/>
      <c r="Y129" s="59"/>
      <c r="Z129" s="59"/>
    </row>
    <row r="130" spans="1:26" outlineLevel="1" x14ac:dyDescent="0.2">
      <c r="A130" s="287"/>
      <c r="B130" s="287"/>
      <c r="C130" s="287"/>
      <c r="D130" s="220"/>
      <c r="E130" s="269">
        <v>3</v>
      </c>
      <c r="F130" s="269">
        <v>4</v>
      </c>
      <c r="G130" s="269">
        <v>5</v>
      </c>
      <c r="H130" s="269">
        <v>6</v>
      </c>
      <c r="I130" s="269">
        <v>7</v>
      </c>
      <c r="J130" s="269">
        <v>8</v>
      </c>
      <c r="K130" s="220"/>
      <c r="L130" s="288"/>
      <c r="M130" s="59"/>
      <c r="N130" s="59"/>
      <c r="O130" s="59"/>
      <c r="P130" s="59"/>
      <c r="Q130" s="59"/>
      <c r="R130" s="59"/>
      <c r="S130" s="59"/>
      <c r="T130" s="59"/>
      <c r="U130" s="59"/>
      <c r="V130" s="59"/>
      <c r="W130" s="59"/>
      <c r="X130" s="59"/>
      <c r="Y130" s="59"/>
      <c r="Z130" s="59"/>
    </row>
    <row r="131" spans="1:26" outlineLevel="1" x14ac:dyDescent="0.2">
      <c r="A131" s="287"/>
      <c r="B131" s="287"/>
      <c r="C131" s="287"/>
      <c r="D131" s="46" t="s">
        <v>362</v>
      </c>
      <c r="E131" s="108">
        <f t="shared" ref="E131:J131" si="49">E128</f>
        <v>0</v>
      </c>
      <c r="F131" s="108">
        <f t="shared" si="49"/>
        <v>1</v>
      </c>
      <c r="G131" s="108">
        <f t="shared" si="49"/>
        <v>2</v>
      </c>
      <c r="H131" s="108">
        <f t="shared" si="49"/>
        <v>3</v>
      </c>
      <c r="I131" s="108">
        <f t="shared" si="49"/>
        <v>4</v>
      </c>
      <c r="J131" s="108">
        <f t="shared" si="49"/>
        <v>5</v>
      </c>
      <c r="K131" s="220"/>
      <c r="L131" s="287"/>
      <c r="M131" s="60"/>
      <c r="N131" s="60"/>
      <c r="O131" s="60"/>
      <c r="P131" s="60"/>
      <c r="Q131" s="60"/>
      <c r="R131" s="60"/>
      <c r="S131" s="60"/>
      <c r="T131" s="60"/>
      <c r="U131" s="60"/>
      <c r="V131" s="60"/>
      <c r="W131" s="60"/>
      <c r="X131" s="60"/>
      <c r="Y131" s="60"/>
      <c r="Z131" s="60"/>
    </row>
    <row r="132" spans="1:26" outlineLevel="1" x14ac:dyDescent="0.2">
      <c r="A132" s="287"/>
      <c r="B132" s="287"/>
      <c r="D132" s="270" t="s">
        <v>274</v>
      </c>
      <c r="E132" s="86">
        <f>IF(OR(E133="",E133=0),SUM(E134:E135),E133)</f>
        <v>0</v>
      </c>
      <c r="F132" s="86">
        <f t="shared" ref="F132" si="50">IF(OR(F133="",F133=0),SUM(F134:F135),F133)</f>
        <v>0</v>
      </c>
      <c r="G132" s="86">
        <f t="shared" ref="G132" si="51">IF(OR(G133="",G133=0),SUM(G134:G135),G133)</f>
        <v>0</v>
      </c>
      <c r="H132" s="86">
        <f t="shared" ref="H132" si="52">IF(OR(H133="",H133=0),SUM(H134:H135),H133)</f>
        <v>0</v>
      </c>
      <c r="I132" s="86">
        <f t="shared" ref="I132" si="53">IF(OR(I133="",I133=0),SUM(I134:I135),I133)</f>
        <v>0</v>
      </c>
      <c r="J132" s="86">
        <f t="shared" ref="J132" si="54">IF(OR(J133="",J133=0),SUM(J134:J135),J133)</f>
        <v>0</v>
      </c>
      <c r="K132" s="220"/>
      <c r="L132" s="287"/>
      <c r="M132" s="60"/>
      <c r="N132" s="60"/>
      <c r="O132" s="60"/>
      <c r="P132" s="60"/>
      <c r="Q132" s="60"/>
      <c r="R132" s="60"/>
      <c r="S132" s="60"/>
      <c r="T132" s="60"/>
      <c r="U132" s="60"/>
      <c r="V132" s="60"/>
      <c r="W132" s="60"/>
      <c r="X132" s="60"/>
      <c r="Y132" s="60"/>
      <c r="Z132" s="60"/>
    </row>
    <row r="133" spans="1:26" outlineLevel="1" x14ac:dyDescent="0.2">
      <c r="A133" s="287"/>
      <c r="B133" s="287"/>
      <c r="C133" s="212">
        <v>1</v>
      </c>
      <c r="D133" s="270" t="s">
        <v>406</v>
      </c>
      <c r="E133" s="65"/>
      <c r="F133" s="65"/>
      <c r="G133" s="65"/>
      <c r="H133" s="65"/>
      <c r="I133" s="65"/>
      <c r="J133" s="65"/>
      <c r="K133" s="220"/>
      <c r="L133" s="287"/>
      <c r="M133" s="60"/>
      <c r="N133" s="60"/>
      <c r="O133" s="60"/>
      <c r="P133" s="60"/>
      <c r="Q133" s="60"/>
      <c r="R133" s="60"/>
      <c r="S133" s="60"/>
      <c r="T133" s="60"/>
      <c r="U133" s="60"/>
      <c r="V133" s="60"/>
      <c r="W133" s="60"/>
      <c r="X133" s="60"/>
      <c r="Y133" s="60"/>
      <c r="Z133" s="60"/>
    </row>
    <row r="134" spans="1:26" outlineLevel="1" x14ac:dyDescent="0.2">
      <c r="A134" s="287"/>
      <c r="B134" s="287"/>
      <c r="C134" s="212">
        <v>2</v>
      </c>
      <c r="D134" s="270" t="s">
        <v>277</v>
      </c>
      <c r="E134" s="65"/>
      <c r="F134" s="65"/>
      <c r="G134" s="65"/>
      <c r="H134" s="65"/>
      <c r="I134" s="65"/>
      <c r="J134" s="65"/>
      <c r="K134" s="220"/>
      <c r="L134" s="287"/>
      <c r="M134" s="60"/>
      <c r="N134" s="60"/>
      <c r="O134" s="60"/>
      <c r="P134" s="60"/>
      <c r="Q134" s="60"/>
      <c r="R134" s="60"/>
      <c r="S134" s="60"/>
      <c r="T134" s="60"/>
      <c r="U134" s="60"/>
      <c r="V134" s="60"/>
      <c r="W134" s="60"/>
      <c r="X134" s="60"/>
      <c r="Y134" s="60"/>
      <c r="Z134" s="60"/>
    </row>
    <row r="135" spans="1:26" outlineLevel="1" x14ac:dyDescent="0.2">
      <c r="A135" s="287"/>
      <c r="B135" s="287"/>
      <c r="C135" s="212">
        <v>3</v>
      </c>
      <c r="D135" s="270" t="s">
        <v>278</v>
      </c>
      <c r="E135" s="65"/>
      <c r="F135" s="65"/>
      <c r="G135" s="65"/>
      <c r="H135" s="65"/>
      <c r="I135" s="65"/>
      <c r="J135" s="65"/>
      <c r="K135" s="220"/>
      <c r="L135" s="287"/>
      <c r="M135" s="60"/>
      <c r="N135" s="60"/>
      <c r="O135" s="60"/>
      <c r="P135" s="60"/>
      <c r="Q135" s="60"/>
      <c r="R135" s="60"/>
      <c r="S135" s="60"/>
      <c r="T135" s="60"/>
      <c r="U135" s="60"/>
      <c r="V135" s="60"/>
      <c r="W135" s="60"/>
      <c r="X135" s="60"/>
      <c r="Y135" s="60"/>
      <c r="Z135" s="60"/>
    </row>
    <row r="136" spans="1:26" outlineLevel="1" collapsed="1" x14ac:dyDescent="0.2">
      <c r="A136" s="287"/>
      <c r="B136" s="287"/>
      <c r="C136" s="287"/>
      <c r="D136" s="287"/>
      <c r="E136" s="287"/>
      <c r="F136" s="287"/>
      <c r="G136" s="287"/>
      <c r="H136" s="287"/>
      <c r="I136" s="287"/>
      <c r="J136" s="287"/>
      <c r="K136" s="287"/>
      <c r="L136" s="287"/>
      <c r="M136" s="60"/>
      <c r="N136" s="60"/>
      <c r="O136" s="60"/>
      <c r="P136" s="60"/>
      <c r="Q136" s="60"/>
      <c r="R136" s="60"/>
      <c r="S136" s="60"/>
      <c r="T136" s="60"/>
      <c r="U136" s="60"/>
      <c r="V136" s="60"/>
      <c r="W136" s="60"/>
      <c r="X136" s="60"/>
      <c r="Y136" s="60"/>
      <c r="Z136" s="60"/>
    </row>
    <row r="137" spans="1:26" x14ac:dyDescent="0.2">
      <c r="A137" s="287"/>
      <c r="B137" s="287"/>
      <c r="C137" s="287"/>
      <c r="D137" s="287"/>
      <c r="E137" s="287"/>
      <c r="F137" s="287"/>
      <c r="G137" s="287"/>
      <c r="H137" s="287"/>
      <c r="I137" s="287"/>
      <c r="J137" s="287"/>
      <c r="K137" s="287"/>
      <c r="L137" s="287"/>
      <c r="M137" s="60"/>
      <c r="N137" s="60"/>
      <c r="O137" s="60"/>
      <c r="P137" s="60"/>
      <c r="Q137" s="60"/>
      <c r="R137" s="60"/>
      <c r="S137" s="60"/>
      <c r="T137" s="60"/>
      <c r="U137" s="60"/>
      <c r="V137" s="60"/>
      <c r="W137" s="60"/>
      <c r="X137" s="60"/>
      <c r="Y137" s="60"/>
      <c r="Z137" s="60"/>
    </row>
    <row r="138" spans="1:26" ht="15.75" x14ac:dyDescent="0.2">
      <c r="A138" s="287"/>
      <c r="B138" s="83">
        <f>IF(E142&lt;&gt;"",VLOOKUP(E142,GenderCode,2,FALSE),0)</f>
        <v>0</v>
      </c>
      <c r="C138" s="212">
        <v>8</v>
      </c>
      <c r="D138" s="110" t="str">
        <f>IF(B138=0,MsgNotUsed, CONCATENATE("AIHW population ", C138, ": ", E140,": ", E142, " (", E145, "-", J145, ")"))</f>
        <v>** NOT USED **</v>
      </c>
      <c r="E138" s="178"/>
      <c r="F138" s="178"/>
      <c r="G138" s="178"/>
      <c r="H138" s="178"/>
      <c r="I138" s="268"/>
      <c r="J138" s="178"/>
      <c r="K138" s="178"/>
      <c r="L138" s="178"/>
      <c r="M138" s="371"/>
      <c r="N138" s="371"/>
      <c r="O138" s="371"/>
      <c r="P138" s="371"/>
      <c r="Q138" s="371"/>
      <c r="R138" s="371"/>
      <c r="S138" s="371"/>
      <c r="T138" s="371"/>
      <c r="U138" s="371"/>
      <c r="V138" s="371"/>
      <c r="W138" s="371"/>
      <c r="X138" s="371"/>
      <c r="Y138" s="371"/>
      <c r="Z138" s="371"/>
    </row>
    <row r="139" spans="1:26" ht="14.25" outlineLevel="1" x14ac:dyDescent="0.2">
      <c r="A139" s="287"/>
      <c r="B139" s="287"/>
      <c r="C139" s="287"/>
      <c r="D139" s="209"/>
      <c r="E139" s="220"/>
      <c r="F139" s="220"/>
      <c r="G139" s="220"/>
      <c r="H139" s="220"/>
      <c r="I139" s="220"/>
      <c r="J139" s="220"/>
      <c r="K139" s="220"/>
      <c r="L139" s="502"/>
      <c r="M139" s="502"/>
      <c r="N139" s="502"/>
      <c r="O139" s="502"/>
      <c r="P139" s="502"/>
      <c r="Q139" s="502"/>
      <c r="R139" s="502"/>
      <c r="S139" s="502"/>
      <c r="T139" s="502"/>
      <c r="U139" s="502"/>
      <c r="V139" s="502"/>
      <c r="W139" s="502"/>
      <c r="X139" s="572"/>
      <c r="Y139" s="572"/>
      <c r="Z139" s="572"/>
    </row>
    <row r="140" spans="1:26" outlineLevel="1" x14ac:dyDescent="0.2">
      <c r="A140" s="287"/>
      <c r="B140" s="287"/>
      <c r="C140" s="287"/>
      <c r="D140" s="58" t="s">
        <v>314</v>
      </c>
      <c r="E140" s="870"/>
      <c r="F140" s="871"/>
      <c r="G140" s="871"/>
      <c r="H140" s="871"/>
      <c r="I140" s="871"/>
      <c r="J140" s="872"/>
      <c r="K140" s="220"/>
      <c r="L140" s="58" t="s">
        <v>305</v>
      </c>
      <c r="M140" s="870"/>
      <c r="N140" s="871"/>
      <c r="O140" s="871"/>
      <c r="P140" s="871"/>
      <c r="Q140" s="871"/>
      <c r="R140" s="872"/>
      <c r="S140" s="59"/>
      <c r="T140" s="59"/>
      <c r="U140" s="59"/>
      <c r="V140" s="59"/>
      <c r="W140" s="59"/>
      <c r="X140" s="59"/>
      <c r="Y140" s="59"/>
      <c r="Z140" s="59"/>
    </row>
    <row r="141" spans="1:26" ht="14.25" outlineLevel="1" x14ac:dyDescent="0.2">
      <c r="A141" s="287"/>
      <c r="B141" s="287"/>
      <c r="C141" s="287"/>
      <c r="D141" s="209"/>
      <c r="E141" s="220"/>
      <c r="F141" s="220"/>
      <c r="G141" s="220"/>
      <c r="H141" s="220"/>
      <c r="I141" s="220"/>
      <c r="J141" s="220"/>
      <c r="K141" s="220"/>
      <c r="L141" s="288"/>
      <c r="M141" s="59"/>
      <c r="N141" s="59"/>
      <c r="O141" s="59"/>
      <c r="P141" s="59"/>
      <c r="Q141" s="59"/>
      <c r="R141" s="59"/>
      <c r="S141" s="59"/>
      <c r="T141" s="59"/>
      <c r="U141" s="59"/>
      <c r="V141" s="59"/>
      <c r="W141" s="59"/>
      <c r="X141" s="59"/>
      <c r="Y141" s="59"/>
      <c r="Z141" s="59"/>
    </row>
    <row r="142" spans="1:26" outlineLevel="1" x14ac:dyDescent="0.2">
      <c r="A142" s="287"/>
      <c r="B142" s="287"/>
      <c r="C142" s="287"/>
      <c r="D142" s="114" t="s">
        <v>52</v>
      </c>
      <c r="E142" s="107"/>
      <c r="F142" s="220"/>
      <c r="G142" s="220"/>
      <c r="H142" s="287"/>
      <c r="I142" s="114" t="s">
        <v>405</v>
      </c>
      <c r="J142" s="107"/>
      <c r="K142" s="220"/>
      <c r="L142" s="288"/>
      <c r="M142" s="59"/>
      <c r="N142" s="59"/>
      <c r="O142" s="59"/>
      <c r="P142" s="59"/>
      <c r="Q142" s="59"/>
      <c r="R142" s="59"/>
      <c r="S142" s="59"/>
      <c r="T142" s="59"/>
      <c r="U142" s="59"/>
      <c r="V142" s="59"/>
      <c r="W142" s="59"/>
      <c r="X142" s="59"/>
      <c r="Y142" s="59"/>
      <c r="Z142" s="59"/>
    </row>
    <row r="143" spans="1:26" outlineLevel="1" x14ac:dyDescent="0.2">
      <c r="A143" s="287"/>
      <c r="B143" s="287"/>
      <c r="C143" s="287"/>
      <c r="D143" s="6"/>
      <c r="E143" s="220"/>
      <c r="F143" s="220"/>
      <c r="G143" s="220"/>
      <c r="H143" s="220"/>
      <c r="I143" s="220"/>
      <c r="J143" s="220"/>
      <c r="K143" s="220"/>
      <c r="L143" s="288"/>
      <c r="M143" s="59"/>
      <c r="N143" s="59"/>
      <c r="O143" s="59"/>
      <c r="P143" s="59"/>
      <c r="Q143" s="59"/>
      <c r="R143" s="59"/>
      <c r="S143" s="59"/>
      <c r="T143" s="59"/>
      <c r="U143" s="59"/>
      <c r="V143" s="59"/>
      <c r="W143" s="59"/>
      <c r="X143" s="59"/>
      <c r="Y143" s="59"/>
      <c r="Z143" s="59"/>
    </row>
    <row r="144" spans="1:26" outlineLevel="1" x14ac:dyDescent="0.2">
      <c r="A144" s="287"/>
      <c r="B144" s="287"/>
      <c r="C144" s="287"/>
      <c r="D144" s="220"/>
      <c r="E144" s="195" t="s">
        <v>289</v>
      </c>
      <c r="F144" s="220"/>
      <c r="G144" s="220"/>
      <c r="H144" s="220"/>
      <c r="I144" s="220"/>
      <c r="J144" s="220"/>
      <c r="K144" s="220"/>
      <c r="L144" s="288"/>
      <c r="M144" s="59"/>
      <c r="N144" s="59"/>
      <c r="O144" s="59"/>
      <c r="P144" s="59"/>
      <c r="Q144" s="59"/>
      <c r="R144" s="59"/>
      <c r="S144" s="59"/>
      <c r="T144" s="59"/>
      <c r="U144" s="59"/>
      <c r="V144" s="59"/>
      <c r="W144" s="59"/>
      <c r="X144" s="59"/>
      <c r="Y144" s="59"/>
      <c r="Z144" s="59"/>
    </row>
    <row r="145" spans="1:26" outlineLevel="1" x14ac:dyDescent="0.2">
      <c r="A145" s="287"/>
      <c r="B145" s="287"/>
      <c r="C145" s="287"/>
      <c r="D145" s="6"/>
      <c r="E145" s="108">
        <f>IF(J142&lt;&gt;"",J142,FirstYear)</f>
        <v>0</v>
      </c>
      <c r="F145" s="112">
        <f>E145+1</f>
        <v>1</v>
      </c>
      <c r="G145" s="112">
        <f>F145+1</f>
        <v>2</v>
      </c>
      <c r="H145" s="112">
        <f>G145+1</f>
        <v>3</v>
      </c>
      <c r="I145" s="112">
        <f>H145+1</f>
        <v>4</v>
      </c>
      <c r="J145" s="112">
        <f>I145+1</f>
        <v>5</v>
      </c>
      <c r="K145" s="220"/>
      <c r="L145" s="288"/>
      <c r="M145" s="59"/>
      <c r="N145" s="59"/>
      <c r="O145" s="59"/>
      <c r="P145" s="59"/>
      <c r="Q145" s="59"/>
      <c r="R145" s="59"/>
      <c r="S145" s="59"/>
      <c r="T145" s="59"/>
      <c r="U145" s="59"/>
      <c r="V145" s="59"/>
      <c r="W145" s="59"/>
      <c r="X145" s="59"/>
      <c r="Y145" s="59"/>
      <c r="Z145" s="59"/>
    </row>
    <row r="146" spans="1:26" outlineLevel="1" x14ac:dyDescent="0.2">
      <c r="A146" s="287"/>
      <c r="B146" s="287"/>
      <c r="C146" s="287"/>
      <c r="D146" s="220"/>
      <c r="E146" s="86">
        <f>IF($B$138&lt;&gt;0,VLOOKUP($B$138,$C$150:$J$152,E147),0)</f>
        <v>0</v>
      </c>
      <c r="F146" s="86">
        <f t="shared" ref="F146:J146" si="55">IF($B$138&lt;&gt;0,VLOOKUP($B$138,$C$150:$J$152,F147),0)</f>
        <v>0</v>
      </c>
      <c r="G146" s="86">
        <f t="shared" si="55"/>
        <v>0</v>
      </c>
      <c r="H146" s="86">
        <f t="shared" si="55"/>
        <v>0</v>
      </c>
      <c r="I146" s="86">
        <f t="shared" si="55"/>
        <v>0</v>
      </c>
      <c r="J146" s="86">
        <f t="shared" si="55"/>
        <v>0</v>
      </c>
      <c r="K146" s="220"/>
      <c r="L146" s="288"/>
      <c r="M146" s="59"/>
      <c r="N146" s="59"/>
      <c r="O146" s="59"/>
      <c r="P146" s="59"/>
      <c r="Q146" s="59"/>
      <c r="R146" s="59"/>
      <c r="S146" s="59"/>
      <c r="T146" s="59"/>
      <c r="U146" s="59"/>
      <c r="V146" s="59"/>
      <c r="W146" s="59"/>
      <c r="X146" s="59"/>
      <c r="Y146" s="59"/>
      <c r="Z146" s="59"/>
    </row>
    <row r="147" spans="1:26" outlineLevel="1" x14ac:dyDescent="0.2">
      <c r="A147" s="287"/>
      <c r="B147" s="287"/>
      <c r="C147" s="287"/>
      <c r="D147" s="220"/>
      <c r="E147" s="269">
        <v>3</v>
      </c>
      <c r="F147" s="269">
        <v>4</v>
      </c>
      <c r="G147" s="269">
        <v>5</v>
      </c>
      <c r="H147" s="269">
        <v>6</v>
      </c>
      <c r="I147" s="269">
        <v>7</v>
      </c>
      <c r="J147" s="269">
        <v>8</v>
      </c>
      <c r="K147" s="220"/>
      <c r="L147" s="288"/>
      <c r="M147" s="59"/>
      <c r="N147" s="59"/>
      <c r="O147" s="59"/>
      <c r="P147" s="59"/>
      <c r="Q147" s="59"/>
      <c r="R147" s="59"/>
      <c r="S147" s="59"/>
      <c r="T147" s="59"/>
      <c r="U147" s="59"/>
      <c r="V147" s="59"/>
      <c r="W147" s="59"/>
      <c r="X147" s="59"/>
      <c r="Y147" s="59"/>
      <c r="Z147" s="59"/>
    </row>
    <row r="148" spans="1:26" outlineLevel="1" x14ac:dyDescent="0.2">
      <c r="A148" s="287"/>
      <c r="B148" s="287"/>
      <c r="C148" s="287"/>
      <c r="D148" s="46" t="s">
        <v>362</v>
      </c>
      <c r="E148" s="108">
        <f t="shared" ref="E148:J148" si="56">E145</f>
        <v>0</v>
      </c>
      <c r="F148" s="108">
        <f t="shared" si="56"/>
        <v>1</v>
      </c>
      <c r="G148" s="108">
        <f t="shared" si="56"/>
        <v>2</v>
      </c>
      <c r="H148" s="108">
        <f t="shared" si="56"/>
        <v>3</v>
      </c>
      <c r="I148" s="108">
        <f t="shared" si="56"/>
        <v>4</v>
      </c>
      <c r="J148" s="108">
        <f t="shared" si="56"/>
        <v>5</v>
      </c>
      <c r="K148" s="220"/>
      <c r="L148" s="287"/>
      <c r="M148" s="60"/>
      <c r="N148" s="60"/>
      <c r="O148" s="60"/>
      <c r="P148" s="60"/>
      <c r="Q148" s="60"/>
      <c r="R148" s="60"/>
      <c r="S148" s="60"/>
      <c r="T148" s="60"/>
      <c r="U148" s="60"/>
      <c r="V148" s="60"/>
      <c r="W148" s="60"/>
      <c r="X148" s="60"/>
      <c r="Y148" s="60"/>
      <c r="Z148" s="60"/>
    </row>
    <row r="149" spans="1:26" outlineLevel="1" x14ac:dyDescent="0.2">
      <c r="A149" s="287"/>
      <c r="B149" s="287"/>
      <c r="D149" s="270" t="s">
        <v>274</v>
      </c>
      <c r="E149" s="86">
        <f>IF(OR(E150="",E150=0),SUM(E151:E152),E150)</f>
        <v>0</v>
      </c>
      <c r="F149" s="86">
        <f t="shared" ref="F149" si="57">IF(OR(F150="",F150=0),SUM(F151:F152),F150)</f>
        <v>0</v>
      </c>
      <c r="G149" s="86">
        <f t="shared" ref="G149" si="58">IF(OR(G150="",G150=0),SUM(G151:G152),G150)</f>
        <v>0</v>
      </c>
      <c r="H149" s="86">
        <f t="shared" ref="H149" si="59">IF(OR(H150="",H150=0),SUM(H151:H152),H150)</f>
        <v>0</v>
      </c>
      <c r="I149" s="86">
        <f t="shared" ref="I149" si="60">IF(OR(I150="",I150=0),SUM(I151:I152),I150)</f>
        <v>0</v>
      </c>
      <c r="J149" s="86">
        <f t="shared" ref="J149" si="61">IF(OR(J150="",J150=0),SUM(J151:J152),J150)</f>
        <v>0</v>
      </c>
      <c r="K149" s="220"/>
      <c r="L149" s="287"/>
      <c r="M149" s="60"/>
      <c r="N149" s="60"/>
      <c r="O149" s="60"/>
      <c r="P149" s="60"/>
      <c r="Q149" s="60"/>
      <c r="R149" s="60"/>
      <c r="S149" s="60"/>
      <c r="T149" s="60"/>
      <c r="U149" s="60"/>
      <c r="V149" s="60"/>
      <c r="W149" s="60"/>
      <c r="X149" s="60"/>
      <c r="Y149" s="60"/>
      <c r="Z149" s="60"/>
    </row>
    <row r="150" spans="1:26" outlineLevel="1" x14ac:dyDescent="0.2">
      <c r="A150" s="287"/>
      <c r="B150" s="287"/>
      <c r="C150" s="212">
        <v>1</v>
      </c>
      <c r="D150" s="270" t="s">
        <v>406</v>
      </c>
      <c r="E150" s="65"/>
      <c r="F150" s="65"/>
      <c r="G150" s="65"/>
      <c r="H150" s="65"/>
      <c r="I150" s="65"/>
      <c r="J150" s="65"/>
      <c r="K150" s="220"/>
      <c r="L150" s="287"/>
      <c r="M150" s="60"/>
      <c r="N150" s="60"/>
      <c r="O150" s="60"/>
      <c r="P150" s="60"/>
      <c r="Q150" s="60"/>
      <c r="R150" s="60"/>
      <c r="S150" s="60"/>
      <c r="T150" s="60"/>
      <c r="U150" s="60"/>
      <c r="V150" s="60"/>
      <c r="W150" s="60"/>
      <c r="X150" s="60"/>
      <c r="Y150" s="60"/>
      <c r="Z150" s="60"/>
    </row>
    <row r="151" spans="1:26" outlineLevel="1" x14ac:dyDescent="0.2">
      <c r="A151" s="287"/>
      <c r="B151" s="287"/>
      <c r="C151" s="212">
        <v>2</v>
      </c>
      <c r="D151" s="270" t="s">
        <v>277</v>
      </c>
      <c r="E151" s="65"/>
      <c r="F151" s="65"/>
      <c r="G151" s="65"/>
      <c r="H151" s="65"/>
      <c r="I151" s="65"/>
      <c r="J151" s="65"/>
      <c r="K151" s="220"/>
      <c r="L151" s="287"/>
      <c r="M151" s="60"/>
      <c r="N151" s="60"/>
      <c r="O151" s="60"/>
      <c r="P151" s="60"/>
      <c r="Q151" s="60"/>
      <c r="R151" s="60"/>
      <c r="S151" s="60"/>
      <c r="T151" s="60"/>
      <c r="U151" s="60"/>
      <c r="V151" s="60"/>
      <c r="W151" s="60"/>
      <c r="X151" s="60"/>
      <c r="Y151" s="60"/>
      <c r="Z151" s="60"/>
    </row>
    <row r="152" spans="1:26" outlineLevel="1" x14ac:dyDescent="0.2">
      <c r="A152" s="287"/>
      <c r="B152" s="287"/>
      <c r="C152" s="212">
        <v>3</v>
      </c>
      <c r="D152" s="270" t="s">
        <v>278</v>
      </c>
      <c r="E152" s="65"/>
      <c r="F152" s="65"/>
      <c r="G152" s="65"/>
      <c r="H152" s="65"/>
      <c r="I152" s="65"/>
      <c r="J152" s="65"/>
      <c r="K152" s="220"/>
      <c r="L152" s="287"/>
      <c r="M152" s="60"/>
      <c r="N152" s="60"/>
      <c r="O152" s="60"/>
      <c r="P152" s="60"/>
      <c r="Q152" s="60"/>
      <c r="R152" s="60"/>
      <c r="S152" s="60"/>
      <c r="T152" s="60"/>
      <c r="U152" s="60"/>
      <c r="V152" s="60"/>
      <c r="W152" s="60"/>
      <c r="X152" s="60"/>
      <c r="Y152" s="60"/>
      <c r="Z152" s="60"/>
    </row>
    <row r="153" spans="1:26" outlineLevel="1" collapsed="1" x14ac:dyDescent="0.2">
      <c r="A153" s="287"/>
      <c r="B153" s="287"/>
      <c r="C153" s="287"/>
      <c r="D153" s="287"/>
      <c r="E153" s="287"/>
      <c r="F153" s="287"/>
      <c r="G153" s="287"/>
      <c r="H153" s="287"/>
      <c r="I153" s="287"/>
      <c r="J153" s="287"/>
      <c r="K153" s="287"/>
      <c r="L153" s="287"/>
      <c r="M153" s="60"/>
      <c r="N153" s="60"/>
      <c r="O153" s="60"/>
      <c r="P153" s="60"/>
      <c r="Q153" s="60"/>
      <c r="R153" s="60"/>
      <c r="S153" s="60"/>
      <c r="T153" s="60"/>
      <c r="U153" s="60"/>
      <c r="V153" s="60"/>
      <c r="W153" s="60"/>
      <c r="X153" s="60"/>
      <c r="Y153" s="60"/>
      <c r="Z153" s="60"/>
    </row>
    <row r="154" spans="1:26" x14ac:dyDescent="0.2">
      <c r="A154" s="287"/>
      <c r="B154" s="287"/>
      <c r="C154" s="287"/>
      <c r="D154" s="287"/>
      <c r="E154" s="287"/>
      <c r="F154" s="287"/>
      <c r="G154" s="287"/>
      <c r="H154" s="287"/>
      <c r="I154" s="287"/>
      <c r="J154" s="287"/>
      <c r="K154" s="287"/>
      <c r="L154" s="287"/>
      <c r="M154" s="60"/>
      <c r="N154" s="60"/>
      <c r="O154" s="60"/>
      <c r="P154" s="60"/>
      <c r="Q154" s="60"/>
      <c r="R154" s="60"/>
      <c r="S154" s="60"/>
      <c r="T154" s="60"/>
      <c r="U154" s="60"/>
      <c r="V154" s="60"/>
      <c r="W154" s="60"/>
      <c r="X154" s="60"/>
      <c r="Y154" s="60"/>
      <c r="Z154" s="60"/>
    </row>
    <row r="155" spans="1:26" ht="15.75" x14ac:dyDescent="0.2">
      <c r="A155" s="287"/>
      <c r="B155" s="83">
        <f>IF(E159&lt;&gt;"",VLOOKUP(E159,GenderCode,2,FALSE),0)</f>
        <v>0</v>
      </c>
      <c r="C155" s="212">
        <v>9</v>
      </c>
      <c r="D155" s="110" t="str">
        <f>IF(B155=0,MsgNotUsed, CONCATENATE("AIHW population ", C155, ": ", E157,": ", E159, " (", E162, "-", J162, ")"))</f>
        <v>** NOT USED **</v>
      </c>
      <c r="E155" s="178"/>
      <c r="F155" s="178"/>
      <c r="G155" s="178"/>
      <c r="H155" s="178"/>
      <c r="I155" s="268"/>
      <c r="J155" s="178"/>
      <c r="K155" s="178"/>
      <c r="L155" s="178"/>
      <c r="M155" s="371"/>
      <c r="N155" s="371"/>
      <c r="O155" s="371"/>
      <c r="P155" s="371"/>
      <c r="Q155" s="371"/>
      <c r="R155" s="371"/>
      <c r="S155" s="371"/>
      <c r="T155" s="371"/>
      <c r="U155" s="371"/>
      <c r="V155" s="371"/>
      <c r="W155" s="371"/>
      <c r="X155" s="371"/>
      <c r="Y155" s="371"/>
      <c r="Z155" s="371"/>
    </row>
    <row r="156" spans="1:26" ht="14.25" outlineLevel="1" x14ac:dyDescent="0.2">
      <c r="A156" s="287"/>
      <c r="B156" s="287"/>
      <c r="C156" s="287"/>
      <c r="D156" s="209"/>
      <c r="E156" s="220"/>
      <c r="F156" s="220"/>
      <c r="G156" s="220"/>
      <c r="H156" s="220"/>
      <c r="I156" s="220"/>
      <c r="J156" s="220"/>
      <c r="K156" s="220"/>
      <c r="L156" s="502"/>
      <c r="M156" s="502"/>
      <c r="N156" s="502"/>
      <c r="O156" s="502"/>
      <c r="P156" s="502"/>
      <c r="Q156" s="502"/>
      <c r="R156" s="502"/>
      <c r="S156" s="502"/>
      <c r="T156" s="502"/>
      <c r="U156" s="502"/>
      <c r="V156" s="502"/>
      <c r="W156" s="502"/>
      <c r="X156" s="572"/>
      <c r="Y156" s="572"/>
      <c r="Z156" s="572"/>
    </row>
    <row r="157" spans="1:26" outlineLevel="1" x14ac:dyDescent="0.2">
      <c r="A157" s="287"/>
      <c r="B157" s="287"/>
      <c r="C157" s="287"/>
      <c r="D157" s="58" t="s">
        <v>314</v>
      </c>
      <c r="E157" s="870"/>
      <c r="F157" s="871"/>
      <c r="G157" s="871"/>
      <c r="H157" s="871"/>
      <c r="I157" s="871"/>
      <c r="J157" s="872"/>
      <c r="K157" s="220"/>
      <c r="L157" s="58" t="s">
        <v>305</v>
      </c>
      <c r="M157" s="870"/>
      <c r="N157" s="871"/>
      <c r="O157" s="871"/>
      <c r="P157" s="871"/>
      <c r="Q157" s="871"/>
      <c r="R157" s="872"/>
      <c r="S157" s="59"/>
      <c r="T157" s="59"/>
      <c r="U157" s="59"/>
      <c r="V157" s="59"/>
      <c r="W157" s="59"/>
      <c r="X157" s="59"/>
      <c r="Y157" s="59"/>
      <c r="Z157" s="59"/>
    </row>
    <row r="158" spans="1:26" ht="14.25" outlineLevel="1" x14ac:dyDescent="0.2">
      <c r="A158" s="287"/>
      <c r="B158" s="287"/>
      <c r="C158" s="287"/>
      <c r="D158" s="209"/>
      <c r="E158" s="220"/>
      <c r="F158" s="220"/>
      <c r="G158" s="220"/>
      <c r="H158" s="220"/>
      <c r="I158" s="220"/>
      <c r="J158" s="220"/>
      <c r="K158" s="220"/>
      <c r="L158" s="288"/>
      <c r="M158" s="59"/>
      <c r="N158" s="59"/>
      <c r="O158" s="59"/>
      <c r="P158" s="59"/>
      <c r="Q158" s="59"/>
      <c r="R158" s="59"/>
      <c r="S158" s="59"/>
      <c r="T158" s="59"/>
      <c r="U158" s="59"/>
      <c r="V158" s="59"/>
      <c r="W158" s="59"/>
      <c r="X158" s="59"/>
      <c r="Y158" s="59"/>
      <c r="Z158" s="59"/>
    </row>
    <row r="159" spans="1:26" outlineLevel="1" x14ac:dyDescent="0.2">
      <c r="A159" s="287"/>
      <c r="B159" s="287"/>
      <c r="C159" s="287"/>
      <c r="D159" s="114" t="s">
        <v>52</v>
      </c>
      <c r="E159" s="107"/>
      <c r="F159" s="220"/>
      <c r="G159" s="220"/>
      <c r="H159" s="287"/>
      <c r="I159" s="114" t="s">
        <v>405</v>
      </c>
      <c r="J159" s="107"/>
      <c r="K159" s="220"/>
      <c r="L159" s="288"/>
      <c r="M159" s="59"/>
      <c r="N159" s="59"/>
      <c r="O159" s="59"/>
      <c r="P159" s="59"/>
      <c r="Q159" s="59"/>
      <c r="R159" s="59"/>
      <c r="S159" s="59"/>
      <c r="T159" s="59"/>
      <c r="U159" s="59"/>
      <c r="V159" s="59"/>
      <c r="W159" s="59"/>
      <c r="X159" s="59"/>
      <c r="Y159" s="59"/>
      <c r="Z159" s="59"/>
    </row>
    <row r="160" spans="1:26" outlineLevel="1" x14ac:dyDescent="0.2">
      <c r="A160" s="287"/>
      <c r="B160" s="287"/>
      <c r="C160" s="287"/>
      <c r="D160" s="6"/>
      <c r="E160" s="220"/>
      <c r="F160" s="220"/>
      <c r="G160" s="220"/>
      <c r="H160" s="220"/>
      <c r="I160" s="220"/>
      <c r="J160" s="220"/>
      <c r="K160" s="220"/>
      <c r="L160" s="288"/>
      <c r="M160" s="59"/>
      <c r="N160" s="59"/>
      <c r="O160" s="59"/>
      <c r="P160" s="59"/>
      <c r="Q160" s="59"/>
      <c r="R160" s="59"/>
      <c r="S160" s="59"/>
      <c r="T160" s="59"/>
      <c r="U160" s="59"/>
      <c r="V160" s="59"/>
      <c r="W160" s="59"/>
      <c r="X160" s="59"/>
      <c r="Y160" s="59"/>
      <c r="Z160" s="59"/>
    </row>
    <row r="161" spans="1:26" outlineLevel="1" x14ac:dyDescent="0.2">
      <c r="A161" s="287"/>
      <c r="B161" s="287"/>
      <c r="C161" s="287"/>
      <c r="D161" s="220"/>
      <c r="E161" s="195" t="s">
        <v>289</v>
      </c>
      <c r="F161" s="220"/>
      <c r="G161" s="220"/>
      <c r="H161" s="220"/>
      <c r="I161" s="220"/>
      <c r="J161" s="220"/>
      <c r="K161" s="220"/>
      <c r="L161" s="288"/>
      <c r="M161" s="59"/>
      <c r="N161" s="59"/>
      <c r="O161" s="59"/>
      <c r="P161" s="59"/>
      <c r="Q161" s="59"/>
      <c r="R161" s="59"/>
      <c r="S161" s="59"/>
      <c r="T161" s="59"/>
      <c r="U161" s="59"/>
      <c r="V161" s="59"/>
      <c r="W161" s="59"/>
      <c r="X161" s="59"/>
      <c r="Y161" s="59"/>
      <c r="Z161" s="59"/>
    </row>
    <row r="162" spans="1:26" outlineLevel="1" x14ac:dyDescent="0.2">
      <c r="A162" s="287"/>
      <c r="B162" s="287"/>
      <c r="C162" s="287"/>
      <c r="D162" s="6"/>
      <c r="E162" s="108">
        <f>IF(J159&lt;&gt;"",J159,FirstYear)</f>
        <v>0</v>
      </c>
      <c r="F162" s="112">
        <f>E162+1</f>
        <v>1</v>
      </c>
      <c r="G162" s="112">
        <f>F162+1</f>
        <v>2</v>
      </c>
      <c r="H162" s="112">
        <f>G162+1</f>
        <v>3</v>
      </c>
      <c r="I162" s="112">
        <f>H162+1</f>
        <v>4</v>
      </c>
      <c r="J162" s="112">
        <f>I162+1</f>
        <v>5</v>
      </c>
      <c r="K162" s="220"/>
      <c r="L162" s="288"/>
      <c r="M162" s="59"/>
      <c r="N162" s="59"/>
      <c r="O162" s="59"/>
      <c r="P162" s="59"/>
      <c r="Q162" s="59"/>
      <c r="R162" s="59"/>
      <c r="S162" s="59"/>
      <c r="T162" s="59"/>
      <c r="U162" s="59"/>
      <c r="V162" s="59"/>
      <c r="W162" s="59"/>
      <c r="X162" s="59"/>
      <c r="Y162" s="59"/>
      <c r="Z162" s="59"/>
    </row>
    <row r="163" spans="1:26" outlineLevel="1" x14ac:dyDescent="0.2">
      <c r="A163" s="287"/>
      <c r="B163" s="287"/>
      <c r="C163" s="287"/>
      <c r="D163" s="220"/>
      <c r="E163" s="86">
        <f>IF($B$155&lt;&gt;0,VLOOKUP($B$155,$C$167:$J$169,E164),0)</f>
        <v>0</v>
      </c>
      <c r="F163" s="86">
        <f t="shared" ref="F163:J163" si="62">IF($B$155&lt;&gt;0,VLOOKUP($B$155,$C$167:$J$169,F164),0)</f>
        <v>0</v>
      </c>
      <c r="G163" s="86">
        <f t="shared" si="62"/>
        <v>0</v>
      </c>
      <c r="H163" s="86">
        <f t="shared" si="62"/>
        <v>0</v>
      </c>
      <c r="I163" s="86">
        <f t="shared" si="62"/>
        <v>0</v>
      </c>
      <c r="J163" s="86">
        <f t="shared" si="62"/>
        <v>0</v>
      </c>
      <c r="K163" s="220"/>
      <c r="L163" s="288"/>
      <c r="M163" s="59"/>
      <c r="N163" s="59"/>
      <c r="O163" s="59"/>
      <c r="P163" s="59"/>
      <c r="Q163" s="59"/>
      <c r="R163" s="59"/>
      <c r="S163" s="59"/>
      <c r="T163" s="59"/>
      <c r="U163" s="59"/>
      <c r="V163" s="59"/>
      <c r="W163" s="59"/>
      <c r="X163" s="59"/>
      <c r="Y163" s="59"/>
      <c r="Z163" s="59"/>
    </row>
    <row r="164" spans="1:26" outlineLevel="1" x14ac:dyDescent="0.2">
      <c r="A164" s="287"/>
      <c r="B164" s="287"/>
      <c r="C164" s="287"/>
      <c r="D164" s="220"/>
      <c r="E164" s="269">
        <v>3</v>
      </c>
      <c r="F164" s="269">
        <v>4</v>
      </c>
      <c r="G164" s="269">
        <v>5</v>
      </c>
      <c r="H164" s="269">
        <v>6</v>
      </c>
      <c r="I164" s="269">
        <v>7</v>
      </c>
      <c r="J164" s="269">
        <v>8</v>
      </c>
      <c r="K164" s="220"/>
      <c r="L164" s="288"/>
      <c r="M164" s="59"/>
      <c r="N164" s="59"/>
      <c r="O164" s="59"/>
      <c r="P164" s="59"/>
      <c r="Q164" s="59"/>
      <c r="R164" s="59"/>
      <c r="S164" s="59"/>
      <c r="T164" s="59"/>
      <c r="U164" s="59"/>
      <c r="V164" s="59"/>
      <c r="W164" s="59"/>
      <c r="X164" s="59"/>
      <c r="Y164" s="59"/>
      <c r="Z164" s="59"/>
    </row>
    <row r="165" spans="1:26" outlineLevel="1" x14ac:dyDescent="0.2">
      <c r="A165" s="287"/>
      <c r="B165" s="287"/>
      <c r="D165" s="46" t="s">
        <v>362</v>
      </c>
      <c r="E165" s="108">
        <f t="shared" ref="E165:J165" si="63">E162</f>
        <v>0</v>
      </c>
      <c r="F165" s="108">
        <f t="shared" si="63"/>
        <v>1</v>
      </c>
      <c r="G165" s="108">
        <f t="shared" si="63"/>
        <v>2</v>
      </c>
      <c r="H165" s="108">
        <f t="shared" si="63"/>
        <v>3</v>
      </c>
      <c r="I165" s="108">
        <f t="shared" si="63"/>
        <v>4</v>
      </c>
      <c r="J165" s="108">
        <f t="shared" si="63"/>
        <v>5</v>
      </c>
      <c r="K165" s="220"/>
      <c r="L165" s="287"/>
      <c r="M165" s="60"/>
      <c r="N165" s="60"/>
      <c r="O165" s="60"/>
      <c r="P165" s="60"/>
      <c r="Q165" s="60"/>
      <c r="R165" s="60"/>
      <c r="S165" s="60"/>
      <c r="T165" s="60"/>
      <c r="U165" s="60"/>
      <c r="V165" s="60"/>
      <c r="W165" s="60"/>
      <c r="X165" s="60"/>
      <c r="Y165" s="60"/>
      <c r="Z165" s="60"/>
    </row>
    <row r="166" spans="1:26" outlineLevel="1" x14ac:dyDescent="0.2">
      <c r="A166" s="287"/>
      <c r="B166" s="287"/>
      <c r="C166" s="287"/>
      <c r="D166" s="270" t="s">
        <v>274</v>
      </c>
      <c r="E166" s="86">
        <f>IF(OR(E167="",E167=0),SUM(E168:E169),E167)</f>
        <v>0</v>
      </c>
      <c r="F166" s="86">
        <f t="shared" ref="F166" si="64">IF(OR(F167="",F167=0),SUM(F168:F169),F167)</f>
        <v>0</v>
      </c>
      <c r="G166" s="86">
        <f t="shared" ref="G166" si="65">IF(OR(G167="",G167=0),SUM(G168:G169),G167)</f>
        <v>0</v>
      </c>
      <c r="H166" s="86">
        <f t="shared" ref="H166" si="66">IF(OR(H167="",H167=0),SUM(H168:H169),H167)</f>
        <v>0</v>
      </c>
      <c r="I166" s="86">
        <f t="shared" ref="I166" si="67">IF(OR(I167="",I167=0),SUM(I168:I169),I167)</f>
        <v>0</v>
      </c>
      <c r="J166" s="86">
        <f t="shared" ref="J166" si="68">IF(OR(J167="",J167=0),SUM(J168:J169),J167)</f>
        <v>0</v>
      </c>
      <c r="K166" s="220"/>
      <c r="L166" s="287"/>
      <c r="M166" s="60"/>
      <c r="N166" s="60"/>
      <c r="O166" s="60"/>
      <c r="P166" s="60"/>
      <c r="Q166" s="60"/>
      <c r="R166" s="60"/>
      <c r="S166" s="60"/>
      <c r="T166" s="60"/>
      <c r="U166" s="60"/>
      <c r="V166" s="60"/>
      <c r="W166" s="60"/>
      <c r="X166" s="60"/>
      <c r="Y166" s="60"/>
      <c r="Z166" s="60"/>
    </row>
    <row r="167" spans="1:26" outlineLevel="1" x14ac:dyDescent="0.2">
      <c r="A167" s="287"/>
      <c r="B167" s="287"/>
      <c r="C167" s="212">
        <v>1</v>
      </c>
      <c r="D167" s="270" t="s">
        <v>406</v>
      </c>
      <c r="E167" s="65"/>
      <c r="F167" s="65"/>
      <c r="G167" s="65"/>
      <c r="H167" s="65"/>
      <c r="I167" s="65"/>
      <c r="J167" s="65"/>
      <c r="K167" s="220"/>
      <c r="L167" s="287"/>
      <c r="M167" s="60"/>
      <c r="N167" s="60"/>
      <c r="O167" s="60"/>
      <c r="P167" s="60"/>
      <c r="Q167" s="60"/>
      <c r="R167" s="60"/>
      <c r="S167" s="60"/>
      <c r="T167" s="60"/>
      <c r="U167" s="60"/>
      <c r="V167" s="60"/>
      <c r="W167" s="60"/>
      <c r="X167" s="60"/>
      <c r="Y167" s="60"/>
      <c r="Z167" s="60"/>
    </row>
    <row r="168" spans="1:26" outlineLevel="1" x14ac:dyDescent="0.2">
      <c r="A168" s="287"/>
      <c r="B168" s="287"/>
      <c r="C168" s="212">
        <v>2</v>
      </c>
      <c r="D168" s="270" t="s">
        <v>277</v>
      </c>
      <c r="E168" s="65"/>
      <c r="F168" s="65"/>
      <c r="G168" s="65"/>
      <c r="H168" s="65"/>
      <c r="I168" s="65"/>
      <c r="J168" s="65"/>
      <c r="K168" s="220"/>
      <c r="L168" s="287"/>
      <c r="M168" s="60"/>
      <c r="N168" s="60"/>
      <c r="O168" s="60"/>
      <c r="P168" s="60"/>
      <c r="Q168" s="60"/>
      <c r="R168" s="60"/>
      <c r="S168" s="60"/>
      <c r="T168" s="60"/>
      <c r="U168" s="60"/>
      <c r="V168" s="60"/>
      <c r="W168" s="60"/>
      <c r="X168" s="60"/>
      <c r="Y168" s="60"/>
      <c r="Z168" s="60"/>
    </row>
    <row r="169" spans="1:26" outlineLevel="1" x14ac:dyDescent="0.2">
      <c r="A169" s="287"/>
      <c r="B169" s="287"/>
      <c r="C169" s="212">
        <v>3</v>
      </c>
      <c r="D169" s="270" t="s">
        <v>278</v>
      </c>
      <c r="E169" s="65"/>
      <c r="F169" s="65"/>
      <c r="G169" s="65"/>
      <c r="H169" s="65"/>
      <c r="I169" s="65"/>
      <c r="J169" s="65"/>
      <c r="K169" s="220"/>
      <c r="L169" s="287"/>
      <c r="M169" s="60"/>
      <c r="N169" s="60"/>
      <c r="O169" s="60"/>
      <c r="P169" s="60"/>
      <c r="Q169" s="60"/>
      <c r="R169" s="60"/>
      <c r="S169" s="60"/>
      <c r="T169" s="60"/>
      <c r="U169" s="60"/>
      <c r="V169" s="60"/>
      <c r="W169" s="60"/>
      <c r="X169" s="60"/>
      <c r="Y169" s="60"/>
      <c r="Z169" s="60"/>
    </row>
    <row r="170" spans="1:26" outlineLevel="1" collapsed="1" x14ac:dyDescent="0.2">
      <c r="A170" s="287"/>
      <c r="B170" s="287"/>
      <c r="C170" s="287"/>
      <c r="D170" s="287"/>
      <c r="E170" s="287"/>
      <c r="F170" s="287"/>
      <c r="G170" s="287"/>
      <c r="H170" s="287"/>
      <c r="I170" s="287"/>
      <c r="J170" s="287"/>
      <c r="K170" s="287"/>
      <c r="L170" s="287"/>
      <c r="M170" s="60"/>
      <c r="N170" s="60"/>
      <c r="O170" s="60"/>
      <c r="P170" s="60"/>
      <c r="Q170" s="60"/>
      <c r="R170" s="60"/>
      <c r="S170" s="60"/>
      <c r="T170" s="60"/>
      <c r="U170" s="60"/>
      <c r="V170" s="60"/>
      <c r="W170" s="60"/>
      <c r="X170" s="60"/>
      <c r="Y170" s="60"/>
      <c r="Z170" s="60"/>
    </row>
    <row r="171" spans="1:26" x14ac:dyDescent="0.2">
      <c r="A171" s="287"/>
      <c r="B171" s="287"/>
      <c r="C171" s="287"/>
      <c r="D171" s="287"/>
      <c r="E171" s="287"/>
      <c r="F171" s="287"/>
      <c r="G171" s="287"/>
      <c r="H171" s="287"/>
      <c r="I171" s="287"/>
      <c r="J171" s="287"/>
      <c r="K171" s="287"/>
      <c r="L171" s="287"/>
      <c r="M171" s="60"/>
      <c r="N171" s="60"/>
      <c r="O171" s="60"/>
      <c r="P171" s="60"/>
      <c r="Q171" s="60"/>
      <c r="R171" s="60"/>
      <c r="S171" s="60"/>
      <c r="T171" s="60"/>
      <c r="U171" s="60"/>
      <c r="V171" s="60"/>
      <c r="W171" s="60"/>
      <c r="X171" s="60"/>
      <c r="Y171" s="60"/>
      <c r="Z171" s="60"/>
    </row>
    <row r="172" spans="1:26" ht="15.75" x14ac:dyDescent="0.2">
      <c r="A172" s="287"/>
      <c r="B172" s="83">
        <f>IF(E176&lt;&gt;"",VLOOKUP(E176,GenderCode,2,FALSE),0)</f>
        <v>0</v>
      </c>
      <c r="C172" s="212">
        <v>10</v>
      </c>
      <c r="D172" s="110" t="str">
        <f>IF(B172=0,MsgNotUsed, CONCATENATE("AIHW population ", C172, ": ", E174,": ", E176, " (", E179, "-", J179, ")"))</f>
        <v>** NOT USED **</v>
      </c>
      <c r="E172" s="178"/>
      <c r="F172" s="178"/>
      <c r="G172" s="178"/>
      <c r="H172" s="178"/>
      <c r="I172" s="268"/>
      <c r="J172" s="178"/>
      <c r="K172" s="178"/>
      <c r="L172" s="178"/>
      <c r="M172" s="371"/>
      <c r="N172" s="371"/>
      <c r="O172" s="371"/>
      <c r="P172" s="371"/>
      <c r="Q172" s="371"/>
      <c r="R172" s="371"/>
      <c r="S172" s="371"/>
      <c r="T172" s="371"/>
      <c r="U172" s="371"/>
      <c r="V172" s="371"/>
      <c r="W172" s="371"/>
      <c r="X172" s="371"/>
      <c r="Y172" s="371"/>
      <c r="Z172" s="371"/>
    </row>
    <row r="173" spans="1:26" ht="14.25" outlineLevel="1" x14ac:dyDescent="0.2">
      <c r="A173" s="287"/>
      <c r="B173" s="287"/>
      <c r="C173" s="287"/>
      <c r="D173" s="209"/>
      <c r="E173" s="220"/>
      <c r="F173" s="220"/>
      <c r="G173" s="220"/>
      <c r="H173" s="220"/>
      <c r="I173" s="220"/>
      <c r="J173" s="220"/>
      <c r="K173" s="220"/>
      <c r="L173" s="502"/>
      <c r="M173" s="502"/>
      <c r="N173" s="502"/>
      <c r="O173" s="502"/>
      <c r="P173" s="502"/>
      <c r="Q173" s="502"/>
      <c r="R173" s="502"/>
      <c r="S173" s="502"/>
      <c r="T173" s="502"/>
      <c r="U173" s="502"/>
      <c r="V173" s="502"/>
      <c r="W173" s="502"/>
    </row>
    <row r="174" spans="1:26" outlineLevel="1" x14ac:dyDescent="0.2">
      <c r="A174" s="287"/>
      <c r="B174" s="287"/>
      <c r="C174" s="287"/>
      <c r="D174" s="58" t="s">
        <v>314</v>
      </c>
      <c r="E174" s="870"/>
      <c r="F174" s="871"/>
      <c r="G174" s="871"/>
      <c r="H174" s="871"/>
      <c r="I174" s="871"/>
      <c r="J174" s="872"/>
      <c r="K174" s="220"/>
      <c r="L174" s="58" t="s">
        <v>305</v>
      </c>
      <c r="M174" s="870"/>
      <c r="N174" s="871"/>
      <c r="O174" s="871"/>
      <c r="P174" s="871"/>
      <c r="Q174" s="871"/>
      <c r="R174" s="872"/>
      <c r="S174" s="59"/>
      <c r="T174" s="59"/>
      <c r="U174" s="59"/>
      <c r="V174" s="59"/>
      <c r="W174" s="59"/>
    </row>
    <row r="175" spans="1:26" ht="14.25" outlineLevel="1" x14ac:dyDescent="0.2">
      <c r="A175" s="287"/>
      <c r="B175" s="287"/>
      <c r="C175" s="287"/>
      <c r="D175" s="209"/>
      <c r="E175" s="220"/>
      <c r="F175" s="220"/>
      <c r="G175" s="220"/>
      <c r="H175" s="220"/>
      <c r="I175" s="220"/>
      <c r="J175" s="220"/>
      <c r="K175" s="220"/>
      <c r="L175" s="288"/>
      <c r="M175" s="59"/>
      <c r="N175" s="59"/>
      <c r="O175" s="59"/>
      <c r="P175" s="59"/>
      <c r="Q175" s="59"/>
      <c r="R175" s="59"/>
      <c r="S175" s="59"/>
      <c r="T175" s="59"/>
      <c r="U175" s="59"/>
      <c r="V175" s="59"/>
      <c r="W175" s="59"/>
    </row>
    <row r="176" spans="1:26" outlineLevel="1" x14ac:dyDescent="0.2">
      <c r="A176" s="287"/>
      <c r="B176" s="287"/>
      <c r="C176" s="287"/>
      <c r="D176" s="114" t="s">
        <v>52</v>
      </c>
      <c r="E176" s="107"/>
      <c r="F176" s="220"/>
      <c r="G176" s="220"/>
      <c r="H176" s="287"/>
      <c r="I176" s="114" t="s">
        <v>405</v>
      </c>
      <c r="J176" s="107"/>
      <c r="K176" s="220"/>
      <c r="L176" s="288"/>
      <c r="M176" s="59"/>
      <c r="N176" s="59"/>
      <c r="O176" s="59"/>
      <c r="P176" s="59"/>
      <c r="Q176" s="59"/>
      <c r="R176" s="59"/>
      <c r="S176" s="59"/>
      <c r="T176" s="59"/>
      <c r="U176" s="59"/>
      <c r="V176" s="59"/>
      <c r="W176" s="59"/>
    </row>
    <row r="177" spans="1:23" outlineLevel="1" x14ac:dyDescent="0.2">
      <c r="A177" s="287"/>
      <c r="B177" s="287"/>
      <c r="C177" s="287"/>
      <c r="D177" s="6"/>
      <c r="E177" s="220"/>
      <c r="F177" s="220"/>
      <c r="G177" s="220"/>
      <c r="H177" s="220"/>
      <c r="I177" s="220"/>
      <c r="J177" s="220"/>
      <c r="K177" s="220"/>
      <c r="L177" s="288"/>
      <c r="M177" s="59"/>
      <c r="N177" s="59"/>
      <c r="O177" s="59"/>
      <c r="P177" s="59"/>
      <c r="Q177" s="59"/>
      <c r="R177" s="59"/>
      <c r="S177" s="59"/>
      <c r="T177" s="59"/>
      <c r="U177" s="59"/>
      <c r="V177" s="59"/>
      <c r="W177" s="59"/>
    </row>
    <row r="178" spans="1:23" outlineLevel="1" x14ac:dyDescent="0.2">
      <c r="A178" s="287"/>
      <c r="B178" s="287"/>
      <c r="C178" s="287"/>
      <c r="D178" s="220"/>
      <c r="E178" s="195" t="s">
        <v>289</v>
      </c>
      <c r="F178" s="220"/>
      <c r="G178" s="220"/>
      <c r="H178" s="220"/>
      <c r="I178" s="220"/>
      <c r="J178" s="220"/>
      <c r="K178" s="220"/>
      <c r="L178" s="288"/>
      <c r="M178" s="59"/>
      <c r="N178" s="59"/>
      <c r="O178" s="59"/>
      <c r="P178" s="59"/>
      <c r="Q178" s="59"/>
      <c r="R178" s="59"/>
      <c r="S178" s="59"/>
      <c r="T178" s="59"/>
      <c r="U178" s="59"/>
      <c r="V178" s="59"/>
      <c r="W178" s="59"/>
    </row>
    <row r="179" spans="1:23" outlineLevel="1" x14ac:dyDescent="0.2">
      <c r="A179" s="287"/>
      <c r="B179" s="287"/>
      <c r="C179" s="287"/>
      <c r="D179" s="6"/>
      <c r="E179" s="108">
        <f>IF(J176&lt;&gt;"",J176,FirstYear)</f>
        <v>0</v>
      </c>
      <c r="F179" s="112">
        <f>E179+1</f>
        <v>1</v>
      </c>
      <c r="G179" s="112">
        <f>F179+1</f>
        <v>2</v>
      </c>
      <c r="H179" s="112">
        <f>G179+1</f>
        <v>3</v>
      </c>
      <c r="I179" s="112">
        <f>H179+1</f>
        <v>4</v>
      </c>
      <c r="J179" s="112">
        <f>I179+1</f>
        <v>5</v>
      </c>
      <c r="K179" s="220"/>
      <c r="L179" s="288"/>
      <c r="M179" s="59"/>
      <c r="N179" s="59"/>
      <c r="O179" s="59"/>
      <c r="P179" s="59"/>
      <c r="Q179" s="59"/>
      <c r="R179" s="59"/>
      <c r="S179" s="59"/>
      <c r="T179" s="59"/>
      <c r="U179" s="59"/>
      <c r="V179" s="59"/>
      <c r="W179" s="59"/>
    </row>
    <row r="180" spans="1:23" outlineLevel="1" x14ac:dyDescent="0.2">
      <c r="A180" s="287"/>
      <c r="B180" s="287"/>
      <c r="C180" s="287"/>
      <c r="D180" s="220"/>
      <c r="E180" s="86">
        <f>IF($B$172&lt;&gt;0,VLOOKUP($B$172,$C$184:$J$186,E181),0)</f>
        <v>0</v>
      </c>
      <c r="F180" s="86">
        <f t="shared" ref="F180:J180" si="69">IF($B$172&lt;&gt;0,VLOOKUP($B$172,$C$184:$J$186,F181),0)</f>
        <v>0</v>
      </c>
      <c r="G180" s="86">
        <f t="shared" si="69"/>
        <v>0</v>
      </c>
      <c r="H180" s="86">
        <f t="shared" si="69"/>
        <v>0</v>
      </c>
      <c r="I180" s="86">
        <f t="shared" si="69"/>
        <v>0</v>
      </c>
      <c r="J180" s="86">
        <f t="shared" si="69"/>
        <v>0</v>
      </c>
      <c r="K180" s="220"/>
      <c r="L180" s="288"/>
      <c r="M180" s="59"/>
      <c r="N180" s="59"/>
      <c r="O180" s="59"/>
      <c r="P180" s="59"/>
      <c r="Q180" s="59"/>
      <c r="R180" s="59"/>
      <c r="S180" s="59"/>
      <c r="T180" s="59"/>
      <c r="U180" s="59"/>
      <c r="V180" s="59"/>
      <c r="W180" s="59"/>
    </row>
    <row r="181" spans="1:23" outlineLevel="1" x14ac:dyDescent="0.2">
      <c r="A181" s="287"/>
      <c r="B181" s="287"/>
      <c r="C181" s="287"/>
      <c r="D181" s="220"/>
      <c r="E181" s="269">
        <v>3</v>
      </c>
      <c r="F181" s="269">
        <v>4</v>
      </c>
      <c r="G181" s="269">
        <v>5</v>
      </c>
      <c r="H181" s="269">
        <v>6</v>
      </c>
      <c r="I181" s="269">
        <v>7</v>
      </c>
      <c r="J181" s="269">
        <v>8</v>
      </c>
      <c r="K181" s="220"/>
      <c r="L181" s="288"/>
      <c r="M181" s="59"/>
      <c r="N181" s="59"/>
      <c r="O181" s="59"/>
      <c r="P181" s="59"/>
      <c r="Q181" s="59"/>
      <c r="R181" s="59"/>
      <c r="S181" s="59"/>
      <c r="T181" s="59"/>
      <c r="U181" s="59"/>
      <c r="V181" s="59"/>
      <c r="W181" s="59"/>
    </row>
    <row r="182" spans="1:23" outlineLevel="1" x14ac:dyDescent="0.2">
      <c r="A182" s="287"/>
      <c r="B182" s="287"/>
      <c r="C182" s="287"/>
      <c r="D182" s="46" t="s">
        <v>362</v>
      </c>
      <c r="E182" s="108">
        <f t="shared" ref="E182:J182" si="70">E179</f>
        <v>0</v>
      </c>
      <c r="F182" s="108">
        <f t="shared" si="70"/>
        <v>1</v>
      </c>
      <c r="G182" s="108">
        <f t="shared" si="70"/>
        <v>2</v>
      </c>
      <c r="H182" s="108">
        <f t="shared" si="70"/>
        <v>3</v>
      </c>
      <c r="I182" s="108">
        <f t="shared" si="70"/>
        <v>4</v>
      </c>
      <c r="J182" s="108">
        <f t="shared" si="70"/>
        <v>5</v>
      </c>
      <c r="K182" s="220"/>
      <c r="L182" s="287"/>
      <c r="M182" s="60"/>
      <c r="N182" s="60"/>
      <c r="O182" s="60"/>
      <c r="P182" s="60"/>
      <c r="Q182" s="60"/>
      <c r="R182" s="60"/>
      <c r="S182" s="60"/>
      <c r="T182" s="60"/>
      <c r="U182" s="60"/>
      <c r="V182" s="60"/>
      <c r="W182" s="60"/>
    </row>
    <row r="183" spans="1:23" outlineLevel="1" x14ac:dyDescent="0.2">
      <c r="A183" s="287"/>
      <c r="B183" s="287"/>
      <c r="D183" s="270" t="s">
        <v>274</v>
      </c>
      <c r="E183" s="86">
        <f>IF(OR(E184="",E184=0),SUM(E185:E186),E184)</f>
        <v>0</v>
      </c>
      <c r="F183" s="86">
        <f t="shared" ref="F183" si="71">IF(OR(F184="",F184=0),SUM(F185:F186),F184)</f>
        <v>0</v>
      </c>
      <c r="G183" s="86">
        <f t="shared" ref="G183" si="72">IF(OR(G184="",G184=0),SUM(G185:G186),G184)</f>
        <v>0</v>
      </c>
      <c r="H183" s="86">
        <f t="shared" ref="H183" si="73">IF(OR(H184="",H184=0),SUM(H185:H186),H184)</f>
        <v>0</v>
      </c>
      <c r="I183" s="86">
        <f t="shared" ref="I183" si="74">IF(OR(I184="",I184=0),SUM(I185:I186),I184)</f>
        <v>0</v>
      </c>
      <c r="J183" s="86">
        <f t="shared" ref="J183" si="75">IF(OR(J184="",J184=0),SUM(J185:J186),J184)</f>
        <v>0</v>
      </c>
      <c r="K183" s="220"/>
      <c r="L183" s="287"/>
      <c r="M183" s="60"/>
      <c r="N183" s="60"/>
      <c r="O183" s="60"/>
      <c r="P183" s="60"/>
      <c r="Q183" s="60"/>
      <c r="R183" s="60"/>
      <c r="S183" s="60"/>
      <c r="T183" s="60"/>
      <c r="U183" s="60"/>
      <c r="V183" s="60"/>
      <c r="W183" s="60"/>
    </row>
    <row r="184" spans="1:23" outlineLevel="1" x14ac:dyDescent="0.2">
      <c r="A184" s="287"/>
      <c r="B184" s="287"/>
      <c r="C184" s="212">
        <v>1</v>
      </c>
      <c r="D184" s="270" t="s">
        <v>406</v>
      </c>
      <c r="E184" s="65"/>
      <c r="F184" s="65"/>
      <c r="G184" s="65"/>
      <c r="H184" s="65"/>
      <c r="I184" s="65"/>
      <c r="J184" s="65"/>
      <c r="K184" s="220"/>
      <c r="L184" s="287"/>
      <c r="M184" s="60"/>
      <c r="N184" s="60"/>
      <c r="O184" s="60"/>
      <c r="P184" s="60"/>
      <c r="Q184" s="60"/>
      <c r="R184" s="60"/>
      <c r="S184" s="60"/>
      <c r="T184" s="60"/>
      <c r="U184" s="60"/>
      <c r="V184" s="60"/>
      <c r="W184" s="60"/>
    </row>
    <row r="185" spans="1:23" outlineLevel="1" x14ac:dyDescent="0.2">
      <c r="A185" s="287"/>
      <c r="B185" s="287"/>
      <c r="C185" s="212">
        <v>2</v>
      </c>
      <c r="D185" s="270" t="s">
        <v>277</v>
      </c>
      <c r="E185" s="65"/>
      <c r="F185" s="65"/>
      <c r="G185" s="65"/>
      <c r="H185" s="65"/>
      <c r="I185" s="65"/>
      <c r="J185" s="65"/>
      <c r="K185" s="220"/>
      <c r="L185" s="287"/>
      <c r="M185" s="60"/>
      <c r="N185" s="60"/>
      <c r="O185" s="60"/>
      <c r="P185" s="60"/>
      <c r="Q185" s="60"/>
      <c r="R185" s="60"/>
      <c r="S185" s="60"/>
      <c r="T185" s="60"/>
      <c r="U185" s="60"/>
      <c r="V185" s="60"/>
      <c r="W185" s="60"/>
    </row>
    <row r="186" spans="1:23" outlineLevel="1" x14ac:dyDescent="0.2">
      <c r="A186" s="287"/>
      <c r="B186" s="287"/>
      <c r="C186" s="212">
        <v>3</v>
      </c>
      <c r="D186" s="270" t="s">
        <v>278</v>
      </c>
      <c r="E186" s="65"/>
      <c r="F186" s="65"/>
      <c r="G186" s="65"/>
      <c r="H186" s="65"/>
      <c r="I186" s="65"/>
      <c r="J186" s="65"/>
      <c r="K186" s="220"/>
      <c r="L186" s="287"/>
      <c r="M186" s="60"/>
      <c r="N186" s="60"/>
      <c r="O186" s="60"/>
      <c r="P186" s="60"/>
      <c r="Q186" s="60"/>
      <c r="R186" s="60"/>
      <c r="S186" s="60"/>
      <c r="T186" s="60"/>
      <c r="U186" s="60"/>
      <c r="V186" s="60"/>
      <c r="W186" s="60"/>
    </row>
    <row r="187" spans="1:23" ht="12.75" customHeight="1" outlineLevel="1" x14ac:dyDescent="0.2"/>
  </sheetData>
  <sheetProtection selectLockedCells="1"/>
  <mergeCells count="21">
    <mergeCell ref="X1:Z1"/>
    <mergeCell ref="E106:J106"/>
    <mergeCell ref="E123:J123"/>
    <mergeCell ref="E140:J140"/>
    <mergeCell ref="E157:J157"/>
    <mergeCell ref="M21:R21"/>
    <mergeCell ref="M38:R38"/>
    <mergeCell ref="M55:R55"/>
    <mergeCell ref="M72:R72"/>
    <mergeCell ref="M89:R89"/>
    <mergeCell ref="M106:R106"/>
    <mergeCell ref="M123:R123"/>
    <mergeCell ref="M140:R140"/>
    <mergeCell ref="M157:R157"/>
    <mergeCell ref="M174:R174"/>
    <mergeCell ref="E174:J174"/>
    <mergeCell ref="E89:J89"/>
    <mergeCell ref="E21:J21"/>
    <mergeCell ref="E38:J38"/>
    <mergeCell ref="E55:J55"/>
    <mergeCell ref="E72:J72"/>
  </mergeCells>
  <conditionalFormatting sqref="E23">
    <cfRule type="expression" dxfId="64" priority="44">
      <formula>#REF!=""</formula>
    </cfRule>
  </conditionalFormatting>
  <conditionalFormatting sqref="E40">
    <cfRule type="expression" dxfId="63" priority="42">
      <formula>#REF!=""</formula>
    </cfRule>
  </conditionalFormatting>
  <conditionalFormatting sqref="E57">
    <cfRule type="expression" dxfId="62" priority="40">
      <formula>#REF!=""</formula>
    </cfRule>
  </conditionalFormatting>
  <conditionalFormatting sqref="E74">
    <cfRule type="expression" dxfId="61" priority="38">
      <formula>#REF!=""</formula>
    </cfRule>
  </conditionalFormatting>
  <conditionalFormatting sqref="E91">
    <cfRule type="expression" dxfId="60" priority="36">
      <formula>#REF!=""</formula>
    </cfRule>
  </conditionalFormatting>
  <conditionalFormatting sqref="E21 J23 E27:J27">
    <cfRule type="expression" dxfId="59" priority="35">
      <formula>$B$19=0</formula>
    </cfRule>
  </conditionalFormatting>
  <conditionalFormatting sqref="E38 J40 E44:J44">
    <cfRule type="expression" dxfId="58" priority="34">
      <formula>$B$36=0</formula>
    </cfRule>
  </conditionalFormatting>
  <conditionalFormatting sqref="E55 J57 E61:J61">
    <cfRule type="expression" dxfId="57" priority="33">
      <formula>$B$53=0</formula>
    </cfRule>
  </conditionalFormatting>
  <conditionalFormatting sqref="E72 J74 E78:J78">
    <cfRule type="expression" dxfId="56" priority="32">
      <formula>$B$70=0</formula>
    </cfRule>
  </conditionalFormatting>
  <conditionalFormatting sqref="E89 J91 E95:J95">
    <cfRule type="expression" dxfId="55" priority="31">
      <formula>$B$87=0</formula>
    </cfRule>
  </conditionalFormatting>
  <conditionalFormatting sqref="E108">
    <cfRule type="expression" dxfId="54" priority="30">
      <formula>#REF!=""</formula>
    </cfRule>
  </conditionalFormatting>
  <conditionalFormatting sqref="E106 J108 E112:J112">
    <cfRule type="expression" dxfId="53" priority="29">
      <formula>$B$104=0</formula>
    </cfRule>
  </conditionalFormatting>
  <conditionalFormatting sqref="E125">
    <cfRule type="expression" dxfId="52" priority="28">
      <formula>#REF!=""</formula>
    </cfRule>
  </conditionalFormatting>
  <conditionalFormatting sqref="E123 J125 E129:J129">
    <cfRule type="expression" dxfId="51" priority="27">
      <formula>$B$121=0</formula>
    </cfRule>
  </conditionalFormatting>
  <conditionalFormatting sqref="E142">
    <cfRule type="expression" dxfId="50" priority="26">
      <formula>#REF!=""</formula>
    </cfRule>
  </conditionalFormatting>
  <conditionalFormatting sqref="E140 J142 E146:J146">
    <cfRule type="expression" dxfId="49" priority="25">
      <formula>$B$138=0</formula>
    </cfRule>
  </conditionalFormatting>
  <conditionalFormatting sqref="E159">
    <cfRule type="expression" dxfId="48" priority="24">
      <formula>#REF!=""</formula>
    </cfRule>
  </conditionalFormatting>
  <conditionalFormatting sqref="E157 J159 E163:J163">
    <cfRule type="expression" dxfId="47" priority="23">
      <formula>$B$155=0</formula>
    </cfRule>
  </conditionalFormatting>
  <conditionalFormatting sqref="E176">
    <cfRule type="expression" dxfId="46" priority="22">
      <formula>#REF!=""</formula>
    </cfRule>
  </conditionalFormatting>
  <conditionalFormatting sqref="E174 J176 E180:J180">
    <cfRule type="expression" dxfId="45" priority="21">
      <formula>$B$172=0</formula>
    </cfRule>
  </conditionalFormatting>
  <conditionalFormatting sqref="M21">
    <cfRule type="expression" dxfId="44" priority="10">
      <formula>$B$19=0</formula>
    </cfRule>
  </conditionalFormatting>
  <conditionalFormatting sqref="M38">
    <cfRule type="expression" dxfId="43" priority="9">
      <formula>$B$36=0</formula>
    </cfRule>
  </conditionalFormatting>
  <conditionalFormatting sqref="M55">
    <cfRule type="expression" dxfId="42" priority="8">
      <formula>$B$53=0</formula>
    </cfRule>
  </conditionalFormatting>
  <conditionalFormatting sqref="M72">
    <cfRule type="expression" dxfId="41" priority="7">
      <formula>$B$70=0</formula>
    </cfRule>
  </conditionalFormatting>
  <conditionalFormatting sqref="M89">
    <cfRule type="expression" dxfId="40" priority="6">
      <formula>$B$87=0</formula>
    </cfRule>
  </conditionalFormatting>
  <conditionalFormatting sqref="M106">
    <cfRule type="expression" dxfId="39" priority="5">
      <formula>$B$104=0</formula>
    </cfRule>
  </conditionalFormatting>
  <conditionalFormatting sqref="M123">
    <cfRule type="expression" dxfId="38" priority="4">
      <formula>$B$121=0</formula>
    </cfRule>
  </conditionalFormatting>
  <conditionalFormatting sqref="M140">
    <cfRule type="expression" dxfId="37" priority="3">
      <formula>$B$138=0</formula>
    </cfRule>
  </conditionalFormatting>
  <conditionalFormatting sqref="M157">
    <cfRule type="expression" dxfId="36" priority="2">
      <formula>$B$155=0</formula>
    </cfRule>
  </conditionalFormatting>
  <conditionalFormatting sqref="M174">
    <cfRule type="expression" dxfId="35" priority="1">
      <formula>$B$172=0</formula>
    </cfRule>
  </conditionalFormatting>
  <dataValidations count="1">
    <dataValidation type="list" allowBlank="1" showInputMessage="1" showErrorMessage="1" sqref="E23 E40 E57 E74 E91 E108 E125 E142 E159 E176">
      <formula1>Gender</formula1>
    </dataValidation>
  </dataValidations>
  <pageMargins left="0.75" right="0.75" top="1" bottom="1" header="0.5" footer="0.5"/>
  <pageSetup paperSize="9"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sheetPr>
  <dimension ref="A1:Z187"/>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 width="10.7109375" customWidth="1"/>
    <col min="11" max="11" width="3.7109375" customWidth="1"/>
    <col min="12" max="23" width="10.7109375" customWidth="1"/>
    <col min="24" max="108" width="13" customWidth="1"/>
  </cols>
  <sheetData>
    <row r="1" spans="1:26" ht="23.25" x14ac:dyDescent="0.2">
      <c r="A1" s="144">
        <f>IF((SUM(E8:J17)&lt;&gt;0),2,0)</f>
        <v>0</v>
      </c>
      <c r="B1" s="168"/>
      <c r="C1" s="168"/>
      <c r="D1" s="167" t="s">
        <v>1019</v>
      </c>
      <c r="E1" s="168"/>
      <c r="F1" s="168"/>
      <c r="G1" s="168"/>
      <c r="H1" s="168"/>
      <c r="I1" s="168"/>
      <c r="J1" s="168"/>
      <c r="K1" s="168"/>
      <c r="L1" s="168"/>
      <c r="M1" s="370"/>
      <c r="N1" s="370"/>
      <c r="O1" s="370"/>
      <c r="P1" s="370"/>
      <c r="Q1" s="370"/>
      <c r="R1" s="370"/>
      <c r="S1" s="370"/>
      <c r="T1" s="370"/>
      <c r="U1" s="370"/>
      <c r="V1" s="370"/>
      <c r="W1" s="370"/>
      <c r="X1" s="773" t="str">
        <f>IF(A1=0,MsgNotUsed,"")</f>
        <v>** NOT USED **</v>
      </c>
      <c r="Y1" s="773"/>
      <c r="Z1" s="773"/>
    </row>
    <row r="2" spans="1:26" ht="15.75" x14ac:dyDescent="0.2">
      <c r="A2" s="168"/>
      <c r="B2" s="168"/>
      <c r="C2" s="168"/>
      <c r="D2" s="147" t="str">
        <f>CONCATENATE("Name of medicine: ", MedicineBrand)</f>
        <v>Name of medicine:  (®)</v>
      </c>
      <c r="E2" s="168"/>
      <c r="F2" s="168"/>
      <c r="G2" s="168"/>
      <c r="H2" s="168"/>
      <c r="I2" s="168"/>
      <c r="J2" s="168"/>
      <c r="K2" s="168"/>
      <c r="L2" s="168"/>
      <c r="M2" s="370"/>
      <c r="N2" s="370"/>
      <c r="O2" s="370"/>
      <c r="P2" s="370"/>
      <c r="Q2" s="370"/>
      <c r="R2" s="370"/>
      <c r="S2" s="370"/>
      <c r="T2" s="370"/>
      <c r="U2" s="370"/>
      <c r="V2" s="370"/>
      <c r="W2" s="370"/>
      <c r="X2" s="370"/>
      <c r="Y2" s="370"/>
      <c r="Z2" s="370"/>
    </row>
    <row r="3" spans="1:26" ht="15.75" x14ac:dyDescent="0.2">
      <c r="A3" s="168"/>
      <c r="B3" s="168"/>
      <c r="C3" s="168"/>
      <c r="D3" s="147" t="str">
        <f>CONCATENATE("Indication: ",Indication)</f>
        <v xml:space="preserve">Indication: </v>
      </c>
      <c r="E3" s="168"/>
      <c r="F3" s="168"/>
      <c r="G3" s="168"/>
      <c r="H3" s="168"/>
      <c r="I3" s="168"/>
      <c r="J3" s="168"/>
      <c r="K3" s="168"/>
      <c r="L3" s="168"/>
      <c r="M3" s="370"/>
      <c r="N3" s="370"/>
      <c r="O3" s="370"/>
      <c r="P3" s="370"/>
      <c r="Q3" s="370"/>
      <c r="R3" s="370"/>
      <c r="S3" s="370"/>
      <c r="T3" s="370"/>
      <c r="U3" s="370"/>
      <c r="V3" s="370"/>
      <c r="W3" s="370"/>
      <c r="X3" s="370"/>
      <c r="Y3" s="370"/>
      <c r="Z3" s="370"/>
    </row>
    <row r="4" spans="1:26" s="575" customFormat="1" x14ac:dyDescent="0.2">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ht="15.75" x14ac:dyDescent="0.2">
      <c r="A5" s="247"/>
      <c r="B5" s="247"/>
      <c r="C5" s="247"/>
      <c r="D5" s="174" t="s">
        <v>956</v>
      </c>
      <c r="E5" s="178"/>
      <c r="F5" s="178"/>
      <c r="G5" s="178"/>
      <c r="H5" s="178"/>
      <c r="I5" s="178"/>
      <c r="J5" s="178"/>
      <c r="K5" s="178"/>
      <c r="L5" s="178"/>
      <c r="M5" s="371"/>
      <c r="N5" s="371"/>
      <c r="O5" s="371"/>
      <c r="P5" s="371"/>
      <c r="Q5" s="371"/>
      <c r="R5" s="371"/>
      <c r="S5" s="371"/>
      <c r="T5" s="371"/>
      <c r="U5" s="371"/>
      <c r="V5" s="371"/>
      <c r="W5" s="371"/>
      <c r="X5" s="371"/>
      <c r="Y5" s="371"/>
      <c r="Z5" s="371"/>
    </row>
    <row r="6" spans="1:26" s="575" customFormat="1" x14ac:dyDescent="0.2">
      <c r="A6" s="572"/>
      <c r="B6" s="572"/>
      <c r="C6" s="572"/>
      <c r="D6" s="266"/>
      <c r="E6" s="572"/>
      <c r="F6" s="572"/>
      <c r="G6" s="572"/>
      <c r="H6" s="180"/>
      <c r="I6" s="572"/>
      <c r="J6" s="572"/>
      <c r="K6" s="572"/>
      <c r="L6" s="572"/>
      <c r="M6" s="571"/>
      <c r="N6" s="571"/>
      <c r="O6" s="571"/>
      <c r="P6" s="571"/>
      <c r="Q6" s="571"/>
      <c r="R6" s="571"/>
      <c r="S6" s="571"/>
      <c r="T6" s="571"/>
      <c r="U6" s="571"/>
      <c r="V6" s="571"/>
      <c r="W6" s="571"/>
      <c r="X6" s="571"/>
      <c r="Y6" s="571"/>
      <c r="Z6" s="571"/>
    </row>
    <row r="7" spans="1:26" hidden="1" x14ac:dyDescent="0.2">
      <c r="A7" s="6"/>
      <c r="B7" s="6"/>
      <c r="C7" s="6"/>
      <c r="D7" s="266"/>
      <c r="E7" s="108">
        <f>FirstYear</f>
        <v>0</v>
      </c>
      <c r="F7" s="112">
        <f>E7+1</f>
        <v>1</v>
      </c>
      <c r="G7" s="112">
        <f>F7+1</f>
        <v>2</v>
      </c>
      <c r="H7" s="112">
        <f>G7+1</f>
        <v>3</v>
      </c>
      <c r="I7" s="112">
        <f>H7+1</f>
        <v>4</v>
      </c>
      <c r="J7" s="112">
        <f>I7+1</f>
        <v>5</v>
      </c>
      <c r="K7" s="6"/>
      <c r="L7" s="6"/>
      <c r="M7" s="1"/>
      <c r="N7" s="1"/>
      <c r="O7" s="1"/>
      <c r="P7" s="1"/>
      <c r="Q7" s="1"/>
      <c r="R7" s="1"/>
      <c r="S7" s="1"/>
      <c r="T7" s="1"/>
      <c r="U7" s="1"/>
      <c r="V7" s="1"/>
      <c r="W7" s="1"/>
      <c r="X7" s="571"/>
      <c r="Y7" s="571"/>
      <c r="Z7" s="571"/>
    </row>
    <row r="8" spans="1:26" hidden="1" x14ac:dyDescent="0.2">
      <c r="A8" s="6"/>
      <c r="B8" s="6"/>
      <c r="C8" s="6"/>
      <c r="D8" s="180">
        <v>1</v>
      </c>
      <c r="E8" s="267">
        <f t="shared" ref="E8:J8" si="0">E27</f>
        <v>0</v>
      </c>
      <c r="F8" s="267">
        <f t="shared" si="0"/>
        <v>0</v>
      </c>
      <c r="G8" s="267">
        <f t="shared" si="0"/>
        <v>0</v>
      </c>
      <c r="H8" s="267">
        <f t="shared" si="0"/>
        <v>0</v>
      </c>
      <c r="I8" s="267">
        <f t="shared" si="0"/>
        <v>0</v>
      </c>
      <c r="J8" s="267">
        <f t="shared" si="0"/>
        <v>0</v>
      </c>
      <c r="K8" s="6"/>
      <c r="L8" s="6"/>
      <c r="M8" s="1"/>
      <c r="N8" s="1"/>
      <c r="O8" s="1"/>
      <c r="P8" s="1"/>
      <c r="Q8" s="1"/>
      <c r="R8" s="1"/>
      <c r="S8" s="1"/>
      <c r="T8" s="1"/>
      <c r="U8" s="1"/>
      <c r="V8" s="1"/>
      <c r="W8" s="1"/>
      <c r="X8" s="571"/>
      <c r="Y8" s="571"/>
      <c r="Z8" s="571"/>
    </row>
    <row r="9" spans="1:26" hidden="1" x14ac:dyDescent="0.2">
      <c r="A9" s="6"/>
      <c r="B9" s="6"/>
      <c r="C9" s="6"/>
      <c r="D9" s="180">
        <v>2</v>
      </c>
      <c r="E9" s="267">
        <f t="shared" ref="E9:J9" si="1">E44</f>
        <v>0</v>
      </c>
      <c r="F9" s="267">
        <f t="shared" si="1"/>
        <v>0</v>
      </c>
      <c r="G9" s="267">
        <f t="shared" si="1"/>
        <v>0</v>
      </c>
      <c r="H9" s="267">
        <f t="shared" si="1"/>
        <v>0</v>
      </c>
      <c r="I9" s="267">
        <f t="shared" si="1"/>
        <v>0</v>
      </c>
      <c r="J9" s="267">
        <f t="shared" si="1"/>
        <v>0</v>
      </c>
      <c r="K9" s="6"/>
      <c r="L9" s="6"/>
      <c r="M9" s="1"/>
      <c r="N9" s="1"/>
      <c r="O9" s="1"/>
      <c r="P9" s="1"/>
      <c r="Q9" s="1"/>
      <c r="R9" s="1"/>
      <c r="S9" s="1"/>
      <c r="T9" s="1"/>
      <c r="U9" s="1"/>
      <c r="V9" s="1"/>
      <c r="W9" s="1"/>
      <c r="X9" s="571"/>
      <c r="Y9" s="571"/>
      <c r="Z9" s="571"/>
    </row>
    <row r="10" spans="1:26" hidden="1" x14ac:dyDescent="0.2">
      <c r="A10" s="6"/>
      <c r="B10" s="6"/>
      <c r="C10" s="6"/>
      <c r="D10" s="180">
        <v>3</v>
      </c>
      <c r="E10" s="267">
        <f t="shared" ref="E10:J10" si="2">E61</f>
        <v>0</v>
      </c>
      <c r="F10" s="267">
        <f t="shared" si="2"/>
        <v>0</v>
      </c>
      <c r="G10" s="267">
        <f t="shared" si="2"/>
        <v>0</v>
      </c>
      <c r="H10" s="267">
        <f t="shared" si="2"/>
        <v>0</v>
      </c>
      <c r="I10" s="267">
        <f t="shared" si="2"/>
        <v>0</v>
      </c>
      <c r="J10" s="267">
        <f t="shared" si="2"/>
        <v>0</v>
      </c>
      <c r="K10" s="6"/>
      <c r="L10" s="6"/>
      <c r="M10" s="1"/>
      <c r="N10" s="1"/>
      <c r="O10" s="1"/>
      <c r="P10" s="1"/>
      <c r="Q10" s="1"/>
      <c r="R10" s="1"/>
      <c r="S10" s="1"/>
      <c r="T10" s="1"/>
      <c r="U10" s="1"/>
      <c r="V10" s="1"/>
      <c r="W10" s="1"/>
      <c r="X10" s="571"/>
      <c r="Y10" s="571"/>
      <c r="Z10" s="571"/>
    </row>
    <row r="11" spans="1:26" hidden="1" x14ac:dyDescent="0.2">
      <c r="A11" s="6"/>
      <c r="B11" s="6"/>
      <c r="C11" s="6"/>
      <c r="D11" s="180">
        <v>4</v>
      </c>
      <c r="E11" s="267">
        <f t="shared" ref="E11:J11" si="3">E78</f>
        <v>0</v>
      </c>
      <c r="F11" s="267">
        <f t="shared" si="3"/>
        <v>0</v>
      </c>
      <c r="G11" s="267">
        <f t="shared" si="3"/>
        <v>0</v>
      </c>
      <c r="H11" s="267">
        <f t="shared" si="3"/>
        <v>0</v>
      </c>
      <c r="I11" s="267">
        <f t="shared" si="3"/>
        <v>0</v>
      </c>
      <c r="J11" s="267">
        <f t="shared" si="3"/>
        <v>0</v>
      </c>
      <c r="K11" s="6"/>
      <c r="L11" s="6"/>
      <c r="M11" s="1"/>
      <c r="N11" s="1"/>
      <c r="O11" s="1"/>
      <c r="P11" s="1"/>
      <c r="Q11" s="1"/>
      <c r="R11" s="1"/>
      <c r="S11" s="1"/>
      <c r="T11" s="1"/>
      <c r="U11" s="1"/>
      <c r="V11" s="1"/>
      <c r="W11" s="1"/>
      <c r="X11" s="571"/>
      <c r="Y11" s="571"/>
      <c r="Z11" s="571"/>
    </row>
    <row r="12" spans="1:26" hidden="1" x14ac:dyDescent="0.2">
      <c r="A12" s="6"/>
      <c r="B12" s="6"/>
      <c r="C12" s="6"/>
      <c r="D12" s="180">
        <v>5</v>
      </c>
      <c r="E12" s="267">
        <f t="shared" ref="E12:J12" si="4">E95</f>
        <v>0</v>
      </c>
      <c r="F12" s="267">
        <f t="shared" si="4"/>
        <v>0</v>
      </c>
      <c r="G12" s="267">
        <f t="shared" si="4"/>
        <v>0</v>
      </c>
      <c r="H12" s="267">
        <f t="shared" si="4"/>
        <v>0</v>
      </c>
      <c r="I12" s="267">
        <f t="shared" si="4"/>
        <v>0</v>
      </c>
      <c r="J12" s="267">
        <f t="shared" si="4"/>
        <v>0</v>
      </c>
      <c r="K12" s="6"/>
      <c r="L12" s="6"/>
      <c r="M12" s="1"/>
      <c r="N12" s="1"/>
      <c r="O12" s="1"/>
      <c r="P12" s="1"/>
      <c r="Q12" s="1"/>
      <c r="R12" s="1"/>
      <c r="S12" s="1"/>
      <c r="T12" s="1"/>
      <c r="U12" s="1"/>
      <c r="V12" s="1"/>
      <c r="W12" s="1"/>
      <c r="X12" s="571"/>
      <c r="Y12" s="571"/>
      <c r="Z12" s="571"/>
    </row>
    <row r="13" spans="1:26" hidden="1" x14ac:dyDescent="0.2">
      <c r="A13" s="6"/>
      <c r="B13" s="6"/>
      <c r="C13" s="6"/>
      <c r="D13" s="180">
        <v>6</v>
      </c>
      <c r="E13" s="267">
        <f t="shared" ref="E13:J13" si="5">E112</f>
        <v>0</v>
      </c>
      <c r="F13" s="267">
        <f t="shared" si="5"/>
        <v>0</v>
      </c>
      <c r="G13" s="267">
        <f t="shared" si="5"/>
        <v>0</v>
      </c>
      <c r="H13" s="267">
        <f t="shared" si="5"/>
        <v>0</v>
      </c>
      <c r="I13" s="267">
        <f t="shared" si="5"/>
        <v>0</v>
      </c>
      <c r="J13" s="267">
        <f t="shared" si="5"/>
        <v>0</v>
      </c>
      <c r="K13" s="6"/>
      <c r="L13" s="6"/>
      <c r="M13" s="1"/>
      <c r="N13" s="1"/>
      <c r="O13" s="1"/>
      <c r="P13" s="1"/>
      <c r="Q13" s="1"/>
      <c r="R13" s="1"/>
      <c r="S13" s="1"/>
      <c r="T13" s="1"/>
      <c r="U13" s="1"/>
      <c r="V13" s="1"/>
      <c r="W13" s="1"/>
      <c r="X13" s="571"/>
      <c r="Y13" s="571"/>
      <c r="Z13" s="571"/>
    </row>
    <row r="14" spans="1:26" hidden="1" x14ac:dyDescent="0.2">
      <c r="A14" s="6"/>
      <c r="B14" s="6"/>
      <c r="C14" s="6"/>
      <c r="D14" s="180">
        <v>7</v>
      </c>
      <c r="E14" s="267">
        <f t="shared" ref="E14:J14" si="6">E129</f>
        <v>0</v>
      </c>
      <c r="F14" s="267">
        <f t="shared" si="6"/>
        <v>0</v>
      </c>
      <c r="G14" s="267">
        <f t="shared" si="6"/>
        <v>0</v>
      </c>
      <c r="H14" s="267">
        <f t="shared" si="6"/>
        <v>0</v>
      </c>
      <c r="I14" s="267">
        <f t="shared" si="6"/>
        <v>0</v>
      </c>
      <c r="J14" s="267">
        <f t="shared" si="6"/>
        <v>0</v>
      </c>
      <c r="K14" s="6"/>
      <c r="L14" s="6"/>
      <c r="M14" s="1"/>
      <c r="N14" s="1"/>
      <c r="O14" s="1"/>
      <c r="P14" s="1"/>
      <c r="Q14" s="1"/>
      <c r="R14" s="1"/>
      <c r="S14" s="1"/>
      <c r="T14" s="1"/>
      <c r="U14" s="1"/>
      <c r="V14" s="1"/>
      <c r="W14" s="1"/>
      <c r="X14" s="571"/>
      <c r="Y14" s="571"/>
      <c r="Z14" s="571"/>
    </row>
    <row r="15" spans="1:26" hidden="1" x14ac:dyDescent="0.2">
      <c r="A15" s="6"/>
      <c r="B15" s="6"/>
      <c r="C15" s="6"/>
      <c r="D15" s="180">
        <v>8</v>
      </c>
      <c r="E15" s="267">
        <f t="shared" ref="E15:J15" si="7">E146</f>
        <v>0</v>
      </c>
      <c r="F15" s="267">
        <f t="shared" si="7"/>
        <v>0</v>
      </c>
      <c r="G15" s="267">
        <f t="shared" si="7"/>
        <v>0</v>
      </c>
      <c r="H15" s="267">
        <f t="shared" si="7"/>
        <v>0</v>
      </c>
      <c r="I15" s="267">
        <f t="shared" si="7"/>
        <v>0</v>
      </c>
      <c r="J15" s="267">
        <f t="shared" si="7"/>
        <v>0</v>
      </c>
      <c r="K15" s="6"/>
      <c r="L15" s="6"/>
      <c r="M15" s="1"/>
      <c r="N15" s="1"/>
      <c r="O15" s="1"/>
      <c r="P15" s="1"/>
      <c r="Q15" s="1"/>
      <c r="R15" s="1"/>
      <c r="S15" s="1"/>
      <c r="T15" s="1"/>
      <c r="U15" s="1"/>
      <c r="V15" s="1"/>
      <c r="W15" s="1"/>
      <c r="X15" s="571"/>
      <c r="Y15" s="571"/>
      <c r="Z15" s="571"/>
    </row>
    <row r="16" spans="1:26" hidden="1" x14ac:dyDescent="0.2">
      <c r="A16" s="6"/>
      <c r="B16" s="6"/>
      <c r="C16" s="6"/>
      <c r="D16" s="180">
        <v>9</v>
      </c>
      <c r="E16" s="267">
        <f t="shared" ref="E16:J16" si="8">E163</f>
        <v>0</v>
      </c>
      <c r="F16" s="267">
        <f t="shared" si="8"/>
        <v>0</v>
      </c>
      <c r="G16" s="267">
        <f t="shared" si="8"/>
        <v>0</v>
      </c>
      <c r="H16" s="267">
        <f t="shared" si="8"/>
        <v>0</v>
      </c>
      <c r="I16" s="267">
        <f t="shared" si="8"/>
        <v>0</v>
      </c>
      <c r="J16" s="267">
        <f t="shared" si="8"/>
        <v>0</v>
      </c>
      <c r="K16" s="6"/>
      <c r="L16" s="6"/>
      <c r="M16" s="1"/>
      <c r="N16" s="1"/>
      <c r="O16" s="1"/>
      <c r="P16" s="1"/>
      <c r="Q16" s="1"/>
      <c r="R16" s="1"/>
      <c r="S16" s="1"/>
      <c r="T16" s="1"/>
      <c r="U16" s="1"/>
      <c r="V16" s="1"/>
      <c r="W16" s="1"/>
      <c r="X16" s="571"/>
      <c r="Y16" s="571"/>
      <c r="Z16" s="571"/>
    </row>
    <row r="17" spans="1:26" hidden="1" x14ac:dyDescent="0.2">
      <c r="A17" s="6"/>
      <c r="B17" s="6"/>
      <c r="C17" s="6"/>
      <c r="D17" s="180">
        <v>10</v>
      </c>
      <c r="E17" s="267">
        <f t="shared" ref="E17:J17" si="9">E180</f>
        <v>0</v>
      </c>
      <c r="F17" s="267">
        <f t="shared" si="9"/>
        <v>0</v>
      </c>
      <c r="G17" s="267">
        <f t="shared" si="9"/>
        <v>0</v>
      </c>
      <c r="H17" s="267">
        <f t="shared" si="9"/>
        <v>0</v>
      </c>
      <c r="I17" s="267">
        <f t="shared" si="9"/>
        <v>0</v>
      </c>
      <c r="J17" s="267">
        <f t="shared" si="9"/>
        <v>0</v>
      </c>
      <c r="K17" s="6"/>
      <c r="L17" s="6"/>
      <c r="M17" s="1"/>
      <c r="N17" s="1"/>
      <c r="O17" s="1"/>
      <c r="P17" s="1"/>
      <c r="Q17" s="1"/>
      <c r="R17" s="1"/>
      <c r="S17" s="1"/>
      <c r="T17" s="1"/>
      <c r="U17" s="1"/>
      <c r="V17" s="1"/>
      <c r="W17" s="1"/>
      <c r="X17" s="571"/>
      <c r="Y17" s="571"/>
      <c r="Z17" s="571"/>
    </row>
    <row r="18" spans="1:26" hidden="1" x14ac:dyDescent="0.2">
      <c r="A18" s="6"/>
      <c r="B18" s="6"/>
      <c r="C18" s="6"/>
      <c r="D18" s="266"/>
      <c r="E18" s="6"/>
      <c r="F18" s="6"/>
      <c r="G18" s="6"/>
      <c r="H18" s="6"/>
      <c r="I18" s="6"/>
      <c r="J18" s="6"/>
      <c r="K18" s="6"/>
      <c r="L18" s="6"/>
      <c r="M18" s="1"/>
      <c r="N18" s="1"/>
      <c r="O18" s="1"/>
      <c r="P18" s="1"/>
      <c r="Q18" s="1"/>
      <c r="R18" s="1"/>
      <c r="S18" s="1"/>
      <c r="T18" s="1"/>
      <c r="U18" s="1"/>
      <c r="V18" s="1"/>
      <c r="W18" s="1"/>
      <c r="X18" s="571"/>
      <c r="Y18" s="571"/>
      <c r="Z18" s="571"/>
    </row>
    <row r="19" spans="1:26" ht="15.75" x14ac:dyDescent="0.2">
      <c r="A19" s="287"/>
      <c r="B19" s="83">
        <f>IF(E23&lt;&gt;"",VLOOKUP(E23,GenderCode,2,FALSE),0)</f>
        <v>0</v>
      </c>
      <c r="C19" s="83">
        <v>1</v>
      </c>
      <c r="D19" s="110" t="str">
        <f>IF(B19=0,MsgNotUsed, CONCATENATE("Other population ", C19, ": ", E21,": ", E23, " (", E26, "-", J26, ")"))</f>
        <v>** NOT USED **</v>
      </c>
      <c r="E19" s="178"/>
      <c r="F19" s="178"/>
      <c r="G19" s="178"/>
      <c r="H19" s="178"/>
      <c r="I19" s="268"/>
      <c r="J19" s="178"/>
      <c r="K19" s="178"/>
      <c r="L19" s="178"/>
      <c r="M19" s="371"/>
      <c r="N19" s="371"/>
      <c r="O19" s="371"/>
      <c r="P19" s="371"/>
      <c r="Q19" s="371"/>
      <c r="R19" s="371"/>
      <c r="S19" s="371"/>
      <c r="T19" s="371"/>
      <c r="U19" s="371"/>
      <c r="V19" s="371"/>
      <c r="W19" s="371"/>
      <c r="X19" s="371"/>
      <c r="Y19" s="371"/>
      <c r="Z19" s="371"/>
    </row>
    <row r="20" spans="1:26" outlineLevel="1" x14ac:dyDescent="0.2">
      <c r="A20" s="287"/>
      <c r="B20" s="287"/>
      <c r="C20" s="287"/>
      <c r="D20" s="288"/>
      <c r="E20" s="288"/>
      <c r="F20" s="288"/>
      <c r="G20" s="288"/>
      <c r="H20" s="288"/>
      <c r="I20" s="288"/>
      <c r="J20" s="288"/>
      <c r="K20" s="288"/>
      <c r="L20" s="288"/>
      <c r="M20" s="59"/>
      <c r="N20" s="59"/>
      <c r="O20" s="59"/>
      <c r="P20" s="59"/>
      <c r="Q20" s="59"/>
      <c r="R20" s="59"/>
      <c r="S20" s="59"/>
      <c r="T20" s="59"/>
      <c r="U20" s="59"/>
      <c r="V20" s="59"/>
      <c r="W20" s="59"/>
      <c r="X20" s="59"/>
      <c r="Y20" s="59"/>
      <c r="Z20" s="59"/>
    </row>
    <row r="21" spans="1:26" outlineLevel="1" x14ac:dyDescent="0.2">
      <c r="A21" s="287"/>
      <c r="B21" s="287"/>
      <c r="C21" s="287"/>
      <c r="D21" s="58" t="s">
        <v>314</v>
      </c>
      <c r="E21" s="870"/>
      <c r="F21" s="848"/>
      <c r="G21" s="848"/>
      <c r="H21" s="848"/>
      <c r="I21" s="848"/>
      <c r="J21" s="849"/>
      <c r="K21" s="220"/>
      <c r="L21" s="58" t="s">
        <v>292</v>
      </c>
      <c r="M21" s="870"/>
      <c r="N21" s="848"/>
      <c r="O21" s="848"/>
      <c r="P21" s="848"/>
      <c r="Q21" s="848"/>
      <c r="R21" s="849"/>
      <c r="S21" s="59"/>
      <c r="T21" s="59"/>
      <c r="U21" s="59"/>
      <c r="V21" s="59"/>
      <c r="W21" s="59"/>
      <c r="X21" s="59"/>
      <c r="Y21" s="59"/>
      <c r="Z21" s="59"/>
    </row>
    <row r="22" spans="1:26" ht="14.25" outlineLevel="1" x14ac:dyDescent="0.2">
      <c r="A22" s="287"/>
      <c r="B22" s="287"/>
      <c r="C22" s="287"/>
      <c r="D22" s="209"/>
      <c r="E22" s="220"/>
      <c r="F22" s="220"/>
      <c r="G22" s="220"/>
      <c r="H22" s="220"/>
      <c r="I22" s="220"/>
      <c r="J22" s="220"/>
      <c r="K22" s="220"/>
      <c r="L22" s="288"/>
      <c r="M22" s="59"/>
      <c r="N22" s="59"/>
      <c r="O22" s="59"/>
      <c r="P22" s="59"/>
      <c r="Q22" s="59"/>
      <c r="R22" s="59"/>
      <c r="S22" s="59"/>
      <c r="T22" s="59"/>
      <c r="U22" s="59"/>
      <c r="V22" s="59"/>
      <c r="W22" s="59"/>
      <c r="X22" s="59"/>
      <c r="Y22" s="59"/>
      <c r="Z22" s="59"/>
    </row>
    <row r="23" spans="1:26" outlineLevel="1" x14ac:dyDescent="0.2">
      <c r="A23" s="287"/>
      <c r="B23" s="287"/>
      <c r="C23" s="287"/>
      <c r="D23" s="114" t="s">
        <v>52</v>
      </c>
      <c r="E23" s="107"/>
      <c r="F23" s="220"/>
      <c r="G23" s="220"/>
      <c r="H23" s="287"/>
      <c r="I23" s="114" t="s">
        <v>405</v>
      </c>
      <c r="J23" s="107"/>
      <c r="K23" s="220"/>
      <c r="L23" s="288"/>
      <c r="M23" s="59"/>
      <c r="N23" s="59"/>
      <c r="O23" s="59"/>
      <c r="P23" s="59"/>
      <c r="Q23" s="59"/>
      <c r="R23" s="59"/>
      <c r="S23" s="59"/>
      <c r="T23" s="59"/>
      <c r="U23" s="59"/>
      <c r="V23" s="59"/>
      <c r="W23" s="59"/>
      <c r="X23" s="59"/>
      <c r="Y23" s="59"/>
      <c r="Z23" s="59"/>
    </row>
    <row r="24" spans="1:26" outlineLevel="1" x14ac:dyDescent="0.2">
      <c r="A24" s="287"/>
      <c r="B24" s="287"/>
      <c r="C24" s="287"/>
      <c r="D24" s="6"/>
      <c r="E24" s="220"/>
      <c r="F24" s="220"/>
      <c r="G24" s="220"/>
      <c r="H24" s="220"/>
      <c r="I24" s="220"/>
      <c r="J24" s="220"/>
      <c r="K24" s="220"/>
      <c r="L24" s="288"/>
      <c r="M24" s="59"/>
      <c r="N24" s="59"/>
      <c r="O24" s="59"/>
      <c r="P24" s="59"/>
      <c r="Q24" s="59"/>
      <c r="R24" s="59"/>
      <c r="S24" s="59"/>
      <c r="T24" s="59"/>
      <c r="U24" s="59"/>
      <c r="V24" s="59"/>
      <c r="W24" s="59"/>
      <c r="X24" s="59"/>
      <c r="Y24" s="59"/>
      <c r="Z24" s="59"/>
    </row>
    <row r="25" spans="1:26" outlineLevel="1" x14ac:dyDescent="0.2">
      <c r="A25" s="287"/>
      <c r="B25" s="287"/>
      <c r="C25" s="287"/>
      <c r="D25" s="220"/>
      <c r="E25" s="195" t="s">
        <v>289</v>
      </c>
      <c r="F25" s="220"/>
      <c r="G25" s="220"/>
      <c r="H25" s="220"/>
      <c r="I25" s="220"/>
      <c r="J25" s="220"/>
      <c r="K25" s="220"/>
      <c r="L25" s="288"/>
      <c r="M25" s="59"/>
      <c r="N25" s="59"/>
      <c r="O25" s="59"/>
      <c r="P25" s="59"/>
      <c r="Q25" s="59"/>
      <c r="R25" s="59"/>
      <c r="S25" s="59"/>
      <c r="T25" s="59"/>
      <c r="U25" s="59"/>
      <c r="V25" s="59"/>
      <c r="W25" s="59"/>
      <c r="X25" s="59"/>
      <c r="Y25" s="59"/>
      <c r="Z25" s="59"/>
    </row>
    <row r="26" spans="1:26" outlineLevel="1" x14ac:dyDescent="0.2">
      <c r="A26" s="287"/>
      <c r="B26" s="287"/>
      <c r="C26" s="287"/>
      <c r="D26" s="6"/>
      <c r="E26" s="108">
        <f>IF(J23&lt;&gt;"",J23,FirstYear)</f>
        <v>0</v>
      </c>
      <c r="F26" s="112">
        <f>E26+1</f>
        <v>1</v>
      </c>
      <c r="G26" s="112">
        <f>F26+1</f>
        <v>2</v>
      </c>
      <c r="H26" s="112">
        <f>G26+1</f>
        <v>3</v>
      </c>
      <c r="I26" s="112">
        <f>H26+1</f>
        <v>4</v>
      </c>
      <c r="J26" s="112">
        <f>I26+1</f>
        <v>5</v>
      </c>
      <c r="K26" s="220"/>
      <c r="L26" s="288"/>
      <c r="M26" s="59"/>
      <c r="N26" s="59"/>
      <c r="O26" s="59"/>
      <c r="P26" s="59"/>
      <c r="Q26" s="59"/>
      <c r="R26" s="59"/>
      <c r="S26" s="59"/>
      <c r="T26" s="59"/>
      <c r="U26" s="59"/>
      <c r="V26" s="59"/>
      <c r="W26" s="59"/>
      <c r="X26" s="59"/>
      <c r="Y26" s="59"/>
      <c r="Z26" s="59"/>
    </row>
    <row r="27" spans="1:26" outlineLevel="1" x14ac:dyDescent="0.2">
      <c r="A27" s="287"/>
      <c r="B27" s="287"/>
      <c r="C27" s="287"/>
      <c r="D27" s="220"/>
      <c r="E27" s="86">
        <f>IF($B$19&lt;&gt;0,VLOOKUP($B$19,$C$31:$J$33,E28),0)</f>
        <v>0</v>
      </c>
      <c r="F27" s="86">
        <f t="shared" ref="F27:J27" si="10">IF($B$19&lt;&gt;0,VLOOKUP($B$19,$C$31:$J$33,F28),0)</f>
        <v>0</v>
      </c>
      <c r="G27" s="86">
        <f t="shared" si="10"/>
        <v>0</v>
      </c>
      <c r="H27" s="86">
        <f t="shared" si="10"/>
        <v>0</v>
      </c>
      <c r="I27" s="86">
        <f t="shared" si="10"/>
        <v>0</v>
      </c>
      <c r="J27" s="86">
        <f t="shared" si="10"/>
        <v>0</v>
      </c>
      <c r="K27" s="220"/>
      <c r="L27" s="288"/>
      <c r="M27" s="59"/>
      <c r="N27" s="59"/>
      <c r="O27" s="59"/>
      <c r="P27" s="59"/>
      <c r="Q27" s="59"/>
      <c r="R27" s="59"/>
      <c r="S27" s="59"/>
      <c r="T27" s="59"/>
      <c r="U27" s="59"/>
      <c r="V27" s="59"/>
      <c r="W27" s="59"/>
      <c r="X27" s="59"/>
      <c r="Y27" s="59"/>
      <c r="Z27" s="59"/>
    </row>
    <row r="28" spans="1:26" outlineLevel="1" x14ac:dyDescent="0.2">
      <c r="A28" s="287"/>
      <c r="B28" s="287"/>
      <c r="C28" s="287"/>
      <c r="D28" s="220"/>
      <c r="E28" s="269">
        <v>3</v>
      </c>
      <c r="F28" s="269">
        <v>4</v>
      </c>
      <c r="G28" s="269">
        <v>5</v>
      </c>
      <c r="H28" s="269">
        <v>6</v>
      </c>
      <c r="I28" s="269">
        <v>7</v>
      </c>
      <c r="J28" s="269">
        <v>8</v>
      </c>
      <c r="K28" s="220"/>
      <c r="L28" s="288"/>
      <c r="M28" s="59"/>
      <c r="N28" s="59"/>
      <c r="O28" s="59"/>
      <c r="P28" s="59"/>
      <c r="Q28" s="59"/>
      <c r="R28" s="59"/>
      <c r="S28" s="59"/>
      <c r="T28" s="59"/>
      <c r="U28" s="59"/>
      <c r="V28" s="59"/>
      <c r="W28" s="59"/>
      <c r="X28" s="59"/>
      <c r="Y28" s="59"/>
      <c r="Z28" s="59"/>
    </row>
    <row r="29" spans="1:26" outlineLevel="1" x14ac:dyDescent="0.2">
      <c r="A29" s="287"/>
      <c r="B29" s="287"/>
      <c r="C29" s="287"/>
      <c r="D29" s="46" t="s">
        <v>362</v>
      </c>
      <c r="E29" s="108">
        <f t="shared" ref="E29:J29" si="11">E26</f>
        <v>0</v>
      </c>
      <c r="F29" s="108">
        <f t="shared" si="11"/>
        <v>1</v>
      </c>
      <c r="G29" s="108">
        <f t="shared" si="11"/>
        <v>2</v>
      </c>
      <c r="H29" s="108">
        <f t="shared" si="11"/>
        <v>3</v>
      </c>
      <c r="I29" s="108">
        <f t="shared" si="11"/>
        <v>4</v>
      </c>
      <c r="J29" s="108">
        <f t="shared" si="11"/>
        <v>5</v>
      </c>
      <c r="K29" s="220"/>
      <c r="L29" s="287"/>
      <c r="M29" s="60"/>
      <c r="N29" s="60"/>
      <c r="O29" s="60"/>
      <c r="P29" s="60"/>
      <c r="Q29" s="60"/>
      <c r="R29" s="60"/>
      <c r="S29" s="60"/>
      <c r="T29" s="60"/>
      <c r="U29" s="60"/>
      <c r="V29" s="60"/>
      <c r="W29" s="60"/>
      <c r="X29" s="60"/>
      <c r="Y29" s="60"/>
      <c r="Z29" s="60"/>
    </row>
    <row r="30" spans="1:26" outlineLevel="1" x14ac:dyDescent="0.2">
      <c r="A30" s="287"/>
      <c r="B30" s="287"/>
      <c r="D30" s="270" t="s">
        <v>274</v>
      </c>
      <c r="E30" s="86">
        <f>IF(OR(E31="",E31=0),SUM(E32:E33),E31)</f>
        <v>0</v>
      </c>
      <c r="F30" s="86">
        <f t="shared" ref="F30:J30" si="12">IF(OR(F31="",F31=0),SUM(F32:F33),F31)</f>
        <v>0</v>
      </c>
      <c r="G30" s="86">
        <f t="shared" si="12"/>
        <v>0</v>
      </c>
      <c r="H30" s="86">
        <f t="shared" si="12"/>
        <v>0</v>
      </c>
      <c r="I30" s="86">
        <f t="shared" si="12"/>
        <v>0</v>
      </c>
      <c r="J30" s="86">
        <f t="shared" si="12"/>
        <v>0</v>
      </c>
      <c r="K30" s="220"/>
      <c r="L30" s="287"/>
      <c r="M30" s="60"/>
      <c r="N30" s="60"/>
      <c r="O30" s="60"/>
      <c r="P30" s="60"/>
      <c r="Q30" s="60"/>
      <c r="R30" s="60"/>
      <c r="S30" s="60"/>
      <c r="T30" s="60"/>
      <c r="U30" s="60"/>
      <c r="V30" s="60"/>
      <c r="W30" s="60"/>
      <c r="X30" s="60"/>
      <c r="Y30" s="60"/>
      <c r="Z30" s="60"/>
    </row>
    <row r="31" spans="1:26" outlineLevel="1" x14ac:dyDescent="0.2">
      <c r="A31" s="287"/>
      <c r="B31" s="287"/>
      <c r="C31" s="212">
        <v>1</v>
      </c>
      <c r="D31" s="270" t="s">
        <v>406</v>
      </c>
      <c r="E31" s="505"/>
      <c r="F31" s="505"/>
      <c r="G31" s="505"/>
      <c r="H31" s="505"/>
      <c r="I31" s="505"/>
      <c r="J31" s="505"/>
      <c r="K31" s="220"/>
      <c r="L31" s="287"/>
      <c r="M31" s="60"/>
      <c r="N31" s="60"/>
      <c r="O31" s="60"/>
      <c r="P31" s="60"/>
      <c r="Q31" s="60"/>
      <c r="R31" s="60"/>
      <c r="S31" s="60"/>
      <c r="T31" s="60"/>
      <c r="U31" s="60"/>
      <c r="V31" s="60"/>
      <c r="W31" s="60"/>
      <c r="X31" s="60"/>
      <c r="Y31" s="60"/>
      <c r="Z31" s="60"/>
    </row>
    <row r="32" spans="1:26" outlineLevel="1" x14ac:dyDescent="0.2">
      <c r="A32" s="287"/>
      <c r="B32" s="287"/>
      <c r="C32" s="212">
        <v>2</v>
      </c>
      <c r="D32" s="270" t="s">
        <v>277</v>
      </c>
      <c r="E32" s="505"/>
      <c r="F32" s="505"/>
      <c r="G32" s="505"/>
      <c r="H32" s="505"/>
      <c r="I32" s="505"/>
      <c r="J32" s="505"/>
      <c r="K32" s="220"/>
      <c r="L32" s="287"/>
      <c r="M32" s="60"/>
      <c r="N32" s="60"/>
      <c r="O32" s="60"/>
      <c r="P32" s="60"/>
      <c r="Q32" s="60"/>
      <c r="R32" s="60"/>
      <c r="S32" s="60"/>
      <c r="T32" s="60"/>
      <c r="U32" s="60"/>
      <c r="V32" s="60"/>
      <c r="W32" s="60"/>
      <c r="X32" s="60"/>
      <c r="Y32" s="60"/>
      <c r="Z32" s="60"/>
    </row>
    <row r="33" spans="1:26" outlineLevel="1" x14ac:dyDescent="0.2">
      <c r="A33" s="287"/>
      <c r="B33" s="287"/>
      <c r="C33" s="212">
        <v>3</v>
      </c>
      <c r="D33" s="270" t="s">
        <v>278</v>
      </c>
      <c r="E33" s="504"/>
      <c r="F33" s="504"/>
      <c r="G33" s="504"/>
      <c r="H33" s="504"/>
      <c r="I33" s="504"/>
      <c r="J33" s="504"/>
      <c r="K33" s="220"/>
      <c r="L33" s="287"/>
      <c r="M33" s="60"/>
      <c r="N33" s="60"/>
      <c r="O33" s="60"/>
      <c r="P33" s="60"/>
      <c r="Q33" s="60"/>
      <c r="R33" s="60"/>
      <c r="S33" s="60"/>
      <c r="T33" s="60"/>
      <c r="U33" s="60"/>
      <c r="V33" s="60"/>
      <c r="W33" s="60"/>
      <c r="X33" s="60"/>
      <c r="Y33" s="60"/>
      <c r="Z33" s="60"/>
    </row>
    <row r="34" spans="1:26" outlineLevel="1" x14ac:dyDescent="0.2">
      <c r="A34" s="287"/>
      <c r="B34" s="287"/>
      <c r="C34" s="287"/>
      <c r="D34" s="6"/>
      <c r="E34" s="220"/>
      <c r="F34" s="220"/>
      <c r="G34" s="220"/>
      <c r="H34" s="220"/>
      <c r="I34" s="220"/>
      <c r="J34" s="220"/>
      <c r="K34" s="220"/>
      <c r="L34" s="287"/>
      <c r="M34" s="60"/>
      <c r="N34" s="60"/>
      <c r="O34" s="60"/>
      <c r="P34" s="60"/>
      <c r="Q34" s="60"/>
      <c r="R34" s="60"/>
      <c r="S34" s="60"/>
      <c r="T34" s="60"/>
      <c r="U34" s="60"/>
      <c r="V34" s="60"/>
      <c r="W34" s="60"/>
      <c r="X34" s="60"/>
      <c r="Y34" s="60"/>
      <c r="Z34" s="60"/>
    </row>
    <row r="35" spans="1:26" x14ac:dyDescent="0.2">
      <c r="A35" s="287"/>
      <c r="B35" s="287"/>
      <c r="C35" s="287"/>
      <c r="D35" s="6"/>
      <c r="E35" s="220"/>
      <c r="F35" s="220"/>
      <c r="G35" s="220"/>
      <c r="H35" s="220"/>
      <c r="I35" s="220"/>
      <c r="J35" s="220"/>
      <c r="K35" s="220"/>
      <c r="L35" s="287"/>
      <c r="M35" s="60"/>
      <c r="N35" s="60"/>
      <c r="O35" s="60"/>
      <c r="P35" s="60"/>
      <c r="Q35" s="60"/>
      <c r="R35" s="60"/>
      <c r="S35" s="60"/>
      <c r="T35" s="60"/>
      <c r="U35" s="60"/>
      <c r="V35" s="60"/>
      <c r="W35" s="60"/>
      <c r="X35" s="60"/>
      <c r="Y35" s="60"/>
      <c r="Z35" s="60"/>
    </row>
    <row r="36" spans="1:26" ht="15.75" x14ac:dyDescent="0.2">
      <c r="A36" s="287"/>
      <c r="B36" s="83">
        <f>IF(E40&lt;&gt;"",VLOOKUP(E40,GenderCode,2,FALSE),0)</f>
        <v>0</v>
      </c>
      <c r="C36" s="83">
        <v>2</v>
      </c>
      <c r="D36" s="110" t="str">
        <f>IF(B36=0,MsgNotUsed, CONCATENATE("Other population ", C36, ": ", E38,": ", E40, " (", E43, "-", J43, ")"))</f>
        <v>** NOT USED **</v>
      </c>
      <c r="E36" s="178"/>
      <c r="F36" s="178"/>
      <c r="G36" s="178"/>
      <c r="H36" s="178"/>
      <c r="I36" s="268"/>
      <c r="J36" s="178"/>
      <c r="K36" s="178"/>
      <c r="L36" s="178"/>
      <c r="M36" s="371"/>
      <c r="N36" s="371"/>
      <c r="O36" s="371"/>
      <c r="P36" s="371"/>
      <c r="Q36" s="371"/>
      <c r="R36" s="371"/>
      <c r="S36" s="371"/>
      <c r="T36" s="371"/>
      <c r="U36" s="371"/>
      <c r="V36" s="371"/>
      <c r="W36" s="371"/>
      <c r="X36" s="371"/>
      <c r="Y36" s="371"/>
      <c r="Z36" s="371"/>
    </row>
    <row r="37" spans="1:26" outlineLevel="1" x14ac:dyDescent="0.2">
      <c r="A37" s="287"/>
      <c r="B37" s="287"/>
      <c r="C37" s="287"/>
      <c r="D37" s="288"/>
      <c r="E37" s="288"/>
      <c r="F37" s="288"/>
      <c r="G37" s="288"/>
      <c r="H37" s="288"/>
      <c r="I37" s="288"/>
      <c r="J37" s="288"/>
      <c r="K37" s="288"/>
      <c r="L37" s="288"/>
      <c r="M37" s="59"/>
      <c r="N37" s="59"/>
      <c r="O37" s="59"/>
      <c r="P37" s="59"/>
      <c r="Q37" s="59"/>
      <c r="R37" s="59"/>
      <c r="S37" s="59"/>
      <c r="T37" s="59"/>
      <c r="U37" s="59"/>
      <c r="V37" s="59"/>
      <c r="W37" s="59"/>
      <c r="X37" s="59"/>
      <c r="Y37" s="59"/>
      <c r="Z37" s="59"/>
    </row>
    <row r="38" spans="1:26" outlineLevel="1" x14ac:dyDescent="0.2">
      <c r="A38" s="287"/>
      <c r="B38" s="287"/>
      <c r="C38" s="287"/>
      <c r="D38" s="58" t="s">
        <v>314</v>
      </c>
      <c r="E38" s="870"/>
      <c r="F38" s="848"/>
      <c r="G38" s="848"/>
      <c r="H38" s="848"/>
      <c r="I38" s="848"/>
      <c r="J38" s="849"/>
      <c r="K38" s="220"/>
      <c r="L38" s="58" t="s">
        <v>292</v>
      </c>
      <c r="M38" s="870"/>
      <c r="N38" s="848"/>
      <c r="O38" s="848"/>
      <c r="P38" s="848"/>
      <c r="Q38" s="848"/>
      <c r="R38" s="849"/>
      <c r="S38" s="59"/>
      <c r="T38" s="59"/>
      <c r="U38" s="59"/>
      <c r="V38" s="59"/>
      <c r="W38" s="59"/>
      <c r="X38" s="59"/>
      <c r="Y38" s="59"/>
      <c r="Z38" s="59"/>
    </row>
    <row r="39" spans="1:26" ht="14.25" outlineLevel="1" x14ac:dyDescent="0.2">
      <c r="A39" s="287"/>
      <c r="B39" s="287"/>
      <c r="C39" s="287"/>
      <c r="D39" s="209"/>
      <c r="E39" s="220"/>
      <c r="F39" s="220"/>
      <c r="G39" s="220"/>
      <c r="H39" s="220"/>
      <c r="I39" s="220"/>
      <c r="J39" s="220"/>
      <c r="K39" s="220"/>
      <c r="L39" s="288"/>
      <c r="M39" s="59"/>
      <c r="N39" s="59"/>
      <c r="O39" s="59"/>
      <c r="P39" s="59"/>
      <c r="Q39" s="59"/>
      <c r="R39" s="59"/>
      <c r="S39" s="59"/>
      <c r="T39" s="59"/>
      <c r="U39" s="59"/>
      <c r="V39" s="59"/>
      <c r="W39" s="59"/>
      <c r="X39" s="59"/>
      <c r="Y39" s="59"/>
      <c r="Z39" s="59"/>
    </row>
    <row r="40" spans="1:26" outlineLevel="1" x14ac:dyDescent="0.2">
      <c r="A40" s="287"/>
      <c r="B40" s="287"/>
      <c r="C40" s="287"/>
      <c r="D40" s="114" t="s">
        <v>52</v>
      </c>
      <c r="E40" s="107"/>
      <c r="F40" s="220"/>
      <c r="G40" s="220"/>
      <c r="H40" s="287"/>
      <c r="I40" s="114" t="s">
        <v>405</v>
      </c>
      <c r="J40" s="107"/>
      <c r="K40" s="220"/>
      <c r="L40" s="288"/>
      <c r="M40" s="59"/>
      <c r="N40" s="59"/>
      <c r="O40" s="59"/>
      <c r="P40" s="59"/>
      <c r="Q40" s="59"/>
      <c r="R40" s="59"/>
      <c r="S40" s="59"/>
      <c r="T40" s="59"/>
      <c r="U40" s="59"/>
      <c r="V40" s="59"/>
      <c r="W40" s="59"/>
      <c r="X40" s="59"/>
      <c r="Y40" s="59"/>
      <c r="Z40" s="59"/>
    </row>
    <row r="41" spans="1:26" outlineLevel="1" x14ac:dyDescent="0.2">
      <c r="A41" s="287"/>
      <c r="B41" s="287"/>
      <c r="C41" s="287"/>
      <c r="D41" s="6"/>
      <c r="E41" s="220"/>
      <c r="F41" s="220"/>
      <c r="G41" s="220"/>
      <c r="H41" s="220"/>
      <c r="I41" s="220"/>
      <c r="J41" s="220"/>
      <c r="K41" s="220"/>
      <c r="L41" s="288"/>
      <c r="M41" s="59"/>
      <c r="N41" s="59"/>
      <c r="O41" s="59"/>
      <c r="P41" s="59"/>
      <c r="Q41" s="59"/>
      <c r="R41" s="59"/>
      <c r="S41" s="59"/>
      <c r="T41" s="59"/>
      <c r="U41" s="59"/>
      <c r="V41" s="59"/>
      <c r="W41" s="59"/>
      <c r="X41" s="59"/>
      <c r="Y41" s="59"/>
      <c r="Z41" s="59"/>
    </row>
    <row r="42" spans="1:26" outlineLevel="1" x14ac:dyDescent="0.2">
      <c r="A42" s="287"/>
      <c r="B42" s="287"/>
      <c r="C42" s="287"/>
      <c r="D42" s="220"/>
      <c r="E42" s="195" t="s">
        <v>289</v>
      </c>
      <c r="F42" s="220"/>
      <c r="G42" s="220"/>
      <c r="H42" s="220"/>
      <c r="I42" s="220"/>
      <c r="J42" s="220"/>
      <c r="K42" s="220"/>
      <c r="L42" s="288"/>
      <c r="M42" s="59"/>
      <c r="N42" s="59"/>
      <c r="O42" s="59"/>
      <c r="P42" s="59"/>
      <c r="Q42" s="59"/>
      <c r="R42" s="59"/>
      <c r="S42" s="59"/>
      <c r="T42" s="59"/>
      <c r="U42" s="59"/>
      <c r="V42" s="59"/>
      <c r="W42" s="59"/>
      <c r="X42" s="59"/>
      <c r="Y42" s="59"/>
      <c r="Z42" s="59"/>
    </row>
    <row r="43" spans="1:26" outlineLevel="1" x14ac:dyDescent="0.2">
      <c r="A43" s="287"/>
      <c r="B43" s="287"/>
      <c r="C43" s="287"/>
      <c r="D43" s="6"/>
      <c r="E43" s="108">
        <f>IF(J40&lt;&gt;"",J40,FirstYear)</f>
        <v>0</v>
      </c>
      <c r="F43" s="112">
        <f>E43+1</f>
        <v>1</v>
      </c>
      <c r="G43" s="112">
        <f>F43+1</f>
        <v>2</v>
      </c>
      <c r="H43" s="112">
        <f>G43+1</f>
        <v>3</v>
      </c>
      <c r="I43" s="112">
        <f>H43+1</f>
        <v>4</v>
      </c>
      <c r="J43" s="112">
        <f>I43+1</f>
        <v>5</v>
      </c>
      <c r="K43" s="220"/>
      <c r="L43" s="288"/>
      <c r="M43" s="59"/>
      <c r="N43" s="59"/>
      <c r="O43" s="59"/>
      <c r="P43" s="59"/>
      <c r="Q43" s="59"/>
      <c r="R43" s="59"/>
      <c r="S43" s="59"/>
      <c r="T43" s="59"/>
      <c r="U43" s="59"/>
      <c r="V43" s="59"/>
      <c r="W43" s="59"/>
      <c r="X43" s="59"/>
      <c r="Y43" s="59"/>
      <c r="Z43" s="59"/>
    </row>
    <row r="44" spans="1:26" outlineLevel="1" x14ac:dyDescent="0.2">
      <c r="A44" s="287"/>
      <c r="B44" s="287"/>
      <c r="C44" s="287"/>
      <c r="D44" s="220"/>
      <c r="E44" s="86">
        <f>IF($B$36&lt;&gt;0,VLOOKUP($B$36,$C$48:$J$50,E45),0)</f>
        <v>0</v>
      </c>
      <c r="F44" s="86">
        <f t="shared" ref="F44:J44" si="13">IF($B$36&lt;&gt;0,VLOOKUP($B$36,$C$48:$J$50,F45),0)</f>
        <v>0</v>
      </c>
      <c r="G44" s="86">
        <f t="shared" si="13"/>
        <v>0</v>
      </c>
      <c r="H44" s="86">
        <f t="shared" si="13"/>
        <v>0</v>
      </c>
      <c r="I44" s="86">
        <f t="shared" si="13"/>
        <v>0</v>
      </c>
      <c r="J44" s="86">
        <f t="shared" si="13"/>
        <v>0</v>
      </c>
      <c r="K44" s="220"/>
      <c r="L44" s="288"/>
      <c r="M44" s="59"/>
      <c r="N44" s="59"/>
      <c r="O44" s="59"/>
      <c r="P44" s="59"/>
      <c r="Q44" s="59"/>
      <c r="R44" s="59"/>
      <c r="S44" s="59"/>
      <c r="T44" s="59"/>
      <c r="U44" s="59"/>
      <c r="V44" s="59"/>
      <c r="W44" s="59"/>
      <c r="X44" s="59"/>
      <c r="Y44" s="59"/>
      <c r="Z44" s="59"/>
    </row>
    <row r="45" spans="1:26" outlineLevel="1" x14ac:dyDescent="0.2">
      <c r="A45" s="287"/>
      <c r="B45" s="287"/>
      <c r="C45" s="287"/>
      <c r="D45" s="220"/>
      <c r="E45" s="269">
        <v>3</v>
      </c>
      <c r="F45" s="269">
        <v>4</v>
      </c>
      <c r="G45" s="269">
        <v>5</v>
      </c>
      <c r="H45" s="269">
        <v>6</v>
      </c>
      <c r="I45" s="269">
        <v>7</v>
      </c>
      <c r="J45" s="269">
        <v>8</v>
      </c>
      <c r="K45" s="220"/>
      <c r="L45" s="288"/>
      <c r="M45" s="59"/>
      <c r="N45" s="59"/>
      <c r="O45" s="59"/>
      <c r="P45" s="59"/>
      <c r="Q45" s="59"/>
      <c r="R45" s="59"/>
      <c r="S45" s="59"/>
      <c r="T45" s="59"/>
      <c r="U45" s="59"/>
      <c r="V45" s="59"/>
      <c r="W45" s="59"/>
      <c r="X45" s="59"/>
      <c r="Y45" s="59"/>
      <c r="Z45" s="59"/>
    </row>
    <row r="46" spans="1:26" outlineLevel="1" x14ac:dyDescent="0.2">
      <c r="A46" s="287"/>
      <c r="B46" s="287"/>
      <c r="C46" s="287"/>
      <c r="D46" s="46" t="s">
        <v>362</v>
      </c>
      <c r="E46" s="108">
        <f t="shared" ref="E46:J46" si="14">E43</f>
        <v>0</v>
      </c>
      <c r="F46" s="108">
        <f t="shared" si="14"/>
        <v>1</v>
      </c>
      <c r="G46" s="108">
        <f t="shared" si="14"/>
        <v>2</v>
      </c>
      <c r="H46" s="108">
        <f t="shared" si="14"/>
        <v>3</v>
      </c>
      <c r="I46" s="108">
        <f t="shared" si="14"/>
        <v>4</v>
      </c>
      <c r="J46" s="108">
        <f t="shared" si="14"/>
        <v>5</v>
      </c>
      <c r="K46" s="220"/>
      <c r="L46" s="287"/>
      <c r="M46" s="60"/>
      <c r="N46" s="60"/>
      <c r="O46" s="60"/>
      <c r="P46" s="60"/>
      <c r="Q46" s="60"/>
      <c r="R46" s="60"/>
      <c r="S46" s="60"/>
      <c r="T46" s="60"/>
      <c r="U46" s="60"/>
      <c r="V46" s="60"/>
      <c r="W46" s="60"/>
      <c r="X46" s="60"/>
      <c r="Y46" s="60"/>
      <c r="Z46" s="60"/>
    </row>
    <row r="47" spans="1:26" outlineLevel="1" x14ac:dyDescent="0.2">
      <c r="A47" s="287"/>
      <c r="B47" s="287"/>
      <c r="D47" s="270" t="s">
        <v>274</v>
      </c>
      <c r="E47" s="86">
        <f>IF(OR(E48="",E48=0),SUM(E49:E50),E48)</f>
        <v>0</v>
      </c>
      <c r="F47" s="86">
        <f t="shared" ref="F47" si="15">IF(OR(F48="",F48=0),SUM(F49:F50),F48)</f>
        <v>0</v>
      </c>
      <c r="G47" s="86">
        <f t="shared" ref="G47" si="16">IF(OR(G48="",G48=0),SUM(G49:G50),G48)</f>
        <v>0</v>
      </c>
      <c r="H47" s="86">
        <f t="shared" ref="H47" si="17">IF(OR(H48="",H48=0),SUM(H49:H50),H48)</f>
        <v>0</v>
      </c>
      <c r="I47" s="86">
        <f t="shared" ref="I47" si="18">IF(OR(I48="",I48=0),SUM(I49:I50),I48)</f>
        <v>0</v>
      </c>
      <c r="J47" s="86">
        <f t="shared" ref="J47" si="19">IF(OR(J48="",J48=0),SUM(J49:J50),J48)</f>
        <v>0</v>
      </c>
      <c r="K47" s="220"/>
      <c r="L47" s="287"/>
      <c r="M47" s="60"/>
      <c r="N47" s="60"/>
      <c r="O47" s="60"/>
      <c r="P47" s="60"/>
      <c r="Q47" s="60"/>
      <c r="R47" s="60"/>
      <c r="S47" s="60"/>
      <c r="T47" s="60"/>
      <c r="U47" s="60"/>
      <c r="V47" s="60"/>
      <c r="W47" s="60"/>
      <c r="X47" s="60"/>
      <c r="Y47" s="60"/>
      <c r="Z47" s="60"/>
    </row>
    <row r="48" spans="1:26" outlineLevel="1" x14ac:dyDescent="0.2">
      <c r="A48" s="287"/>
      <c r="B48" s="287"/>
      <c r="C48" s="212">
        <v>1</v>
      </c>
      <c r="D48" s="270" t="s">
        <v>406</v>
      </c>
      <c r="E48" s="109"/>
      <c r="F48" s="109"/>
      <c r="G48" s="109"/>
      <c r="H48" s="109"/>
      <c r="I48" s="109"/>
      <c r="J48" s="109"/>
      <c r="K48" s="220"/>
      <c r="L48" s="287"/>
      <c r="M48" s="60"/>
      <c r="N48" s="60"/>
      <c r="O48" s="60"/>
      <c r="P48" s="60"/>
      <c r="Q48" s="60"/>
      <c r="R48" s="60"/>
      <c r="S48" s="60"/>
      <c r="T48" s="60"/>
      <c r="U48" s="60"/>
      <c r="V48" s="60"/>
      <c r="W48" s="60"/>
      <c r="X48" s="60"/>
      <c r="Y48" s="60"/>
      <c r="Z48" s="60"/>
    </row>
    <row r="49" spans="1:26" outlineLevel="1" x14ac:dyDescent="0.2">
      <c r="A49" s="287"/>
      <c r="B49" s="287"/>
      <c r="C49" s="212">
        <v>2</v>
      </c>
      <c r="D49" s="270" t="s">
        <v>277</v>
      </c>
      <c r="E49" s="109"/>
      <c r="F49" s="109"/>
      <c r="G49" s="109"/>
      <c r="H49" s="109"/>
      <c r="I49" s="109"/>
      <c r="J49" s="109"/>
      <c r="K49" s="220"/>
      <c r="L49" s="287"/>
      <c r="M49" s="60"/>
      <c r="N49" s="60"/>
      <c r="O49" s="60"/>
      <c r="P49" s="60"/>
      <c r="Q49" s="60"/>
      <c r="R49" s="60"/>
      <c r="S49" s="60"/>
      <c r="T49" s="60"/>
      <c r="U49" s="60"/>
      <c r="V49" s="60"/>
      <c r="W49" s="60"/>
      <c r="X49" s="60"/>
      <c r="Y49" s="60"/>
      <c r="Z49" s="60"/>
    </row>
    <row r="50" spans="1:26" outlineLevel="1" x14ac:dyDescent="0.2">
      <c r="A50" s="287"/>
      <c r="B50" s="287"/>
      <c r="C50" s="212">
        <v>3</v>
      </c>
      <c r="D50" s="270" t="s">
        <v>278</v>
      </c>
      <c r="E50" s="65"/>
      <c r="F50" s="65"/>
      <c r="G50" s="65"/>
      <c r="H50" s="65"/>
      <c r="I50" s="65"/>
      <c r="J50" s="65"/>
      <c r="K50" s="220"/>
      <c r="L50" s="287"/>
      <c r="M50" s="60"/>
      <c r="N50" s="60"/>
      <c r="O50" s="60"/>
      <c r="P50" s="60"/>
      <c r="Q50" s="60"/>
      <c r="R50" s="60"/>
      <c r="S50" s="60"/>
      <c r="T50" s="60"/>
      <c r="U50" s="60"/>
      <c r="V50" s="60"/>
      <c r="W50" s="60"/>
      <c r="X50" s="60"/>
      <c r="Y50" s="60"/>
      <c r="Z50" s="60"/>
    </row>
    <row r="51" spans="1:26" outlineLevel="1" x14ac:dyDescent="0.2">
      <c r="A51" s="287"/>
      <c r="B51" s="287"/>
      <c r="C51" s="287"/>
      <c r="D51" s="287"/>
      <c r="E51" s="287"/>
      <c r="F51" s="287"/>
      <c r="G51" s="287"/>
      <c r="H51" s="287"/>
      <c r="I51" s="287"/>
      <c r="J51" s="287"/>
      <c r="K51" s="287"/>
      <c r="L51" s="287"/>
      <c r="M51" s="60"/>
      <c r="N51" s="60"/>
      <c r="O51" s="60"/>
      <c r="P51" s="60"/>
      <c r="Q51" s="60"/>
      <c r="R51" s="60"/>
      <c r="S51" s="60"/>
      <c r="T51" s="60"/>
      <c r="U51" s="60"/>
      <c r="V51" s="60"/>
      <c r="W51" s="60"/>
      <c r="X51" s="60"/>
      <c r="Y51" s="60"/>
      <c r="Z51" s="60"/>
    </row>
    <row r="52" spans="1:26" x14ac:dyDescent="0.2">
      <c r="A52" s="287"/>
      <c r="B52" s="287"/>
      <c r="C52" s="287"/>
      <c r="D52" s="287"/>
      <c r="E52" s="287"/>
      <c r="F52" s="287"/>
      <c r="G52" s="287"/>
      <c r="H52" s="287"/>
      <c r="I52" s="287"/>
      <c r="J52" s="287"/>
      <c r="K52" s="287"/>
      <c r="L52" s="287"/>
      <c r="M52" s="60"/>
      <c r="N52" s="60"/>
      <c r="O52" s="60"/>
      <c r="P52" s="60"/>
      <c r="Q52" s="60"/>
      <c r="R52" s="60"/>
      <c r="S52" s="60"/>
      <c r="T52" s="60"/>
      <c r="U52" s="60"/>
      <c r="V52" s="60"/>
      <c r="W52" s="60"/>
      <c r="X52" s="60"/>
      <c r="Y52" s="60"/>
      <c r="Z52" s="60"/>
    </row>
    <row r="53" spans="1:26" ht="15.75" x14ac:dyDescent="0.2">
      <c r="A53" s="287"/>
      <c r="B53" s="83">
        <f>IF(E57&lt;&gt;"",VLOOKUP(E57,GenderCode,2,FALSE),0)</f>
        <v>0</v>
      </c>
      <c r="C53" s="83">
        <v>3</v>
      </c>
      <c r="D53" s="110" t="str">
        <f>IF(B53=0,MsgNotUsed, CONCATENATE("Other population ", C53, ": ", E55,": ", E57, " (", E60, "-", J60, ")"))</f>
        <v>** NOT USED **</v>
      </c>
      <c r="E53" s="178"/>
      <c r="F53" s="178"/>
      <c r="G53" s="178"/>
      <c r="H53" s="178"/>
      <c r="I53" s="268"/>
      <c r="J53" s="178"/>
      <c r="K53" s="178"/>
      <c r="L53" s="178"/>
      <c r="M53" s="371"/>
      <c r="N53" s="371"/>
      <c r="O53" s="371"/>
      <c r="P53" s="371"/>
      <c r="Q53" s="371"/>
      <c r="R53" s="371"/>
      <c r="S53" s="371"/>
      <c r="T53" s="371"/>
      <c r="U53" s="371"/>
      <c r="V53" s="371"/>
      <c r="W53" s="371"/>
      <c r="X53" s="371"/>
      <c r="Y53" s="371"/>
      <c r="Z53" s="371"/>
    </row>
    <row r="54" spans="1:26" outlineLevel="1" x14ac:dyDescent="0.2">
      <c r="A54" s="287"/>
      <c r="B54" s="287"/>
      <c r="C54" s="287"/>
      <c r="D54" s="288"/>
      <c r="E54" s="288"/>
      <c r="F54" s="288"/>
      <c r="G54" s="288"/>
      <c r="H54" s="288"/>
      <c r="I54" s="288"/>
      <c r="J54" s="288"/>
      <c r="K54" s="288"/>
      <c r="L54" s="288"/>
      <c r="M54" s="59"/>
      <c r="N54" s="59"/>
      <c r="O54" s="59"/>
      <c r="P54" s="59"/>
      <c r="Q54" s="59"/>
      <c r="R54" s="59"/>
      <c r="S54" s="59"/>
      <c r="T54" s="59"/>
      <c r="U54" s="59"/>
      <c r="V54" s="59"/>
      <c r="W54" s="59"/>
      <c r="X54" s="59"/>
      <c r="Y54" s="59"/>
      <c r="Z54" s="59"/>
    </row>
    <row r="55" spans="1:26" outlineLevel="1" x14ac:dyDescent="0.2">
      <c r="A55" s="287"/>
      <c r="B55" s="287"/>
      <c r="C55" s="287"/>
      <c r="D55" s="58" t="s">
        <v>314</v>
      </c>
      <c r="E55" s="870"/>
      <c r="F55" s="848"/>
      <c r="G55" s="848"/>
      <c r="H55" s="848"/>
      <c r="I55" s="848"/>
      <c r="J55" s="849"/>
      <c r="K55" s="220"/>
      <c r="L55" s="58" t="s">
        <v>292</v>
      </c>
      <c r="M55" s="870"/>
      <c r="N55" s="848"/>
      <c r="O55" s="848"/>
      <c r="P55" s="848"/>
      <c r="Q55" s="848"/>
      <c r="R55" s="849"/>
      <c r="S55" s="59"/>
      <c r="T55" s="59"/>
      <c r="U55" s="59"/>
      <c r="V55" s="59"/>
      <c r="W55" s="59"/>
      <c r="X55" s="59"/>
      <c r="Y55" s="59"/>
      <c r="Z55" s="59"/>
    </row>
    <row r="56" spans="1:26" ht="14.25" outlineLevel="1" x14ac:dyDescent="0.2">
      <c r="A56" s="287"/>
      <c r="B56" s="287"/>
      <c r="C56" s="287"/>
      <c r="D56" s="209"/>
      <c r="E56" s="220"/>
      <c r="F56" s="220"/>
      <c r="G56" s="220"/>
      <c r="H56" s="220"/>
      <c r="I56" s="220"/>
      <c r="J56" s="220"/>
      <c r="K56" s="220"/>
      <c r="L56" s="288"/>
      <c r="M56" s="59"/>
      <c r="N56" s="59"/>
      <c r="O56" s="59"/>
      <c r="P56" s="59"/>
      <c r="Q56" s="59"/>
      <c r="R56" s="59"/>
      <c r="S56" s="59"/>
      <c r="T56" s="59"/>
      <c r="U56" s="59"/>
      <c r="V56" s="59"/>
      <c r="W56" s="59"/>
      <c r="X56" s="59"/>
      <c r="Y56" s="59"/>
      <c r="Z56" s="59"/>
    </row>
    <row r="57" spans="1:26" outlineLevel="1" x14ac:dyDescent="0.2">
      <c r="A57" s="287"/>
      <c r="B57" s="287"/>
      <c r="C57" s="287"/>
      <c r="D57" s="114" t="s">
        <v>52</v>
      </c>
      <c r="E57" s="107"/>
      <c r="F57" s="220"/>
      <c r="G57" s="220"/>
      <c r="H57" s="287"/>
      <c r="I57" s="114" t="s">
        <v>405</v>
      </c>
      <c r="J57" s="107"/>
      <c r="K57" s="220"/>
      <c r="L57" s="288"/>
      <c r="M57" s="59"/>
      <c r="N57" s="59"/>
      <c r="O57" s="59"/>
      <c r="P57" s="59"/>
      <c r="Q57" s="59"/>
      <c r="R57" s="59"/>
      <c r="S57" s="59"/>
      <c r="T57" s="59"/>
      <c r="U57" s="59"/>
      <c r="V57" s="59"/>
      <c r="W57" s="59"/>
      <c r="X57" s="59"/>
      <c r="Y57" s="59"/>
      <c r="Z57" s="59"/>
    </row>
    <row r="58" spans="1:26" outlineLevel="1" x14ac:dyDescent="0.2">
      <c r="A58" s="287"/>
      <c r="B58" s="287"/>
      <c r="C58" s="287"/>
      <c r="D58" s="6"/>
      <c r="E58" s="220"/>
      <c r="F58" s="220"/>
      <c r="G58" s="220"/>
      <c r="H58" s="220"/>
      <c r="I58" s="220"/>
      <c r="J58" s="220"/>
      <c r="K58" s="220"/>
      <c r="L58" s="288"/>
      <c r="M58" s="59"/>
      <c r="N58" s="59"/>
      <c r="O58" s="59"/>
      <c r="P58" s="59"/>
      <c r="Q58" s="59"/>
      <c r="R58" s="59"/>
      <c r="S58" s="59"/>
      <c r="T58" s="59"/>
      <c r="U58" s="59"/>
      <c r="V58" s="59"/>
      <c r="W58" s="59"/>
      <c r="X58" s="59"/>
      <c r="Y58" s="59"/>
      <c r="Z58" s="59"/>
    </row>
    <row r="59" spans="1:26" outlineLevel="1" x14ac:dyDescent="0.2">
      <c r="A59" s="287"/>
      <c r="B59" s="287"/>
      <c r="C59" s="287"/>
      <c r="D59" s="220"/>
      <c r="E59" s="195" t="s">
        <v>289</v>
      </c>
      <c r="F59" s="220"/>
      <c r="G59" s="220"/>
      <c r="H59" s="220"/>
      <c r="I59" s="220"/>
      <c r="J59" s="220"/>
      <c r="K59" s="220"/>
      <c r="L59" s="288"/>
      <c r="M59" s="59"/>
      <c r="N59" s="59"/>
      <c r="O59" s="59"/>
      <c r="P59" s="59"/>
      <c r="Q59" s="59"/>
      <c r="R59" s="59"/>
      <c r="S59" s="59"/>
      <c r="T59" s="59"/>
      <c r="U59" s="59"/>
      <c r="V59" s="59"/>
      <c r="W59" s="59"/>
      <c r="X59" s="59"/>
      <c r="Y59" s="59"/>
      <c r="Z59" s="59"/>
    </row>
    <row r="60" spans="1:26" outlineLevel="1" x14ac:dyDescent="0.2">
      <c r="A60" s="287"/>
      <c r="B60" s="287"/>
      <c r="C60" s="287"/>
      <c r="D60" s="6"/>
      <c r="E60" s="108">
        <f>IF(J57&lt;&gt;"",J57,FirstYear)</f>
        <v>0</v>
      </c>
      <c r="F60" s="112">
        <f>E60+1</f>
        <v>1</v>
      </c>
      <c r="G60" s="112">
        <f>F60+1</f>
        <v>2</v>
      </c>
      <c r="H60" s="112">
        <f>G60+1</f>
        <v>3</v>
      </c>
      <c r="I60" s="112">
        <f>H60+1</f>
        <v>4</v>
      </c>
      <c r="J60" s="112">
        <f>I60+1</f>
        <v>5</v>
      </c>
      <c r="K60" s="220"/>
      <c r="L60" s="288"/>
      <c r="M60" s="59"/>
      <c r="N60" s="59"/>
      <c r="O60" s="59"/>
      <c r="P60" s="59"/>
      <c r="Q60" s="59"/>
      <c r="R60" s="59"/>
      <c r="S60" s="59"/>
      <c r="T60" s="59"/>
      <c r="U60" s="59"/>
      <c r="V60" s="59"/>
      <c r="W60" s="59"/>
      <c r="X60" s="59"/>
      <c r="Y60" s="59"/>
      <c r="Z60" s="59"/>
    </row>
    <row r="61" spans="1:26" outlineLevel="1" x14ac:dyDescent="0.2">
      <c r="A61" s="287"/>
      <c r="B61" s="287"/>
      <c r="C61" s="287"/>
      <c r="D61" s="220"/>
      <c r="E61" s="86">
        <f>IF($B$53&lt;&gt;0,VLOOKUP($B$53,$C$65:$J$67,E62),0)</f>
        <v>0</v>
      </c>
      <c r="F61" s="86">
        <f t="shared" ref="F61:J61" si="20">IF($B$53&lt;&gt;0,VLOOKUP($B$53,$C$65:$J$67,F62),0)</f>
        <v>0</v>
      </c>
      <c r="G61" s="86">
        <f t="shared" si="20"/>
        <v>0</v>
      </c>
      <c r="H61" s="86">
        <f t="shared" si="20"/>
        <v>0</v>
      </c>
      <c r="I61" s="86">
        <f t="shared" si="20"/>
        <v>0</v>
      </c>
      <c r="J61" s="86">
        <f t="shared" si="20"/>
        <v>0</v>
      </c>
      <c r="K61" s="220"/>
      <c r="L61" s="288"/>
      <c r="M61" s="59"/>
      <c r="N61" s="59"/>
      <c r="O61" s="59"/>
      <c r="P61" s="59"/>
      <c r="Q61" s="59"/>
      <c r="R61" s="59"/>
      <c r="S61" s="59"/>
      <c r="T61" s="59"/>
      <c r="U61" s="59"/>
      <c r="V61" s="59"/>
      <c r="W61" s="59"/>
      <c r="X61" s="59"/>
      <c r="Y61" s="59"/>
      <c r="Z61" s="59"/>
    </row>
    <row r="62" spans="1:26" outlineLevel="1" x14ac:dyDescent="0.2">
      <c r="A62" s="287"/>
      <c r="B62" s="287"/>
      <c r="C62" s="287"/>
      <c r="D62" s="220"/>
      <c r="E62" s="269">
        <v>3</v>
      </c>
      <c r="F62" s="269">
        <v>4</v>
      </c>
      <c r="G62" s="269">
        <v>5</v>
      </c>
      <c r="H62" s="269">
        <v>6</v>
      </c>
      <c r="I62" s="269">
        <v>7</v>
      </c>
      <c r="J62" s="269">
        <v>8</v>
      </c>
      <c r="K62" s="220"/>
      <c r="L62" s="288"/>
      <c r="M62" s="59"/>
      <c r="N62" s="59"/>
      <c r="O62" s="59"/>
      <c r="P62" s="59"/>
      <c r="Q62" s="59"/>
      <c r="R62" s="59"/>
      <c r="S62" s="59"/>
      <c r="T62" s="59"/>
      <c r="U62" s="59"/>
      <c r="V62" s="59"/>
      <c r="W62" s="59"/>
      <c r="X62" s="59"/>
      <c r="Y62" s="59"/>
      <c r="Z62" s="59"/>
    </row>
    <row r="63" spans="1:26" outlineLevel="1" x14ac:dyDescent="0.2">
      <c r="A63" s="287"/>
      <c r="B63" s="287"/>
      <c r="C63" s="287"/>
      <c r="D63" s="46" t="s">
        <v>362</v>
      </c>
      <c r="E63" s="108">
        <f t="shared" ref="E63:J63" si="21">E60</f>
        <v>0</v>
      </c>
      <c r="F63" s="108">
        <f t="shared" si="21"/>
        <v>1</v>
      </c>
      <c r="G63" s="108">
        <f t="shared" si="21"/>
        <v>2</v>
      </c>
      <c r="H63" s="108">
        <f t="shared" si="21"/>
        <v>3</v>
      </c>
      <c r="I63" s="108">
        <f t="shared" si="21"/>
        <v>4</v>
      </c>
      <c r="J63" s="108">
        <f t="shared" si="21"/>
        <v>5</v>
      </c>
      <c r="K63" s="220"/>
      <c r="L63" s="287"/>
      <c r="M63" s="60"/>
      <c r="N63" s="60"/>
      <c r="O63" s="60"/>
      <c r="P63" s="60"/>
      <c r="Q63" s="60"/>
      <c r="R63" s="60"/>
      <c r="S63" s="60"/>
      <c r="T63" s="60"/>
      <c r="U63" s="60"/>
      <c r="V63" s="60"/>
      <c r="W63" s="60"/>
      <c r="X63" s="60"/>
      <c r="Y63" s="60"/>
      <c r="Z63" s="60"/>
    </row>
    <row r="64" spans="1:26" outlineLevel="1" x14ac:dyDescent="0.2">
      <c r="A64" s="287"/>
      <c r="B64" s="287"/>
      <c r="D64" s="270" t="s">
        <v>274</v>
      </c>
      <c r="E64" s="86">
        <f>IF(OR(E65="",E65=0),SUM(E66:E67),E65)</f>
        <v>0</v>
      </c>
      <c r="F64" s="86">
        <f t="shared" ref="F64" si="22">IF(OR(F65="",F65=0),SUM(F66:F67),F65)</f>
        <v>0</v>
      </c>
      <c r="G64" s="86">
        <f t="shared" ref="G64" si="23">IF(OR(G65="",G65=0),SUM(G66:G67),G65)</f>
        <v>0</v>
      </c>
      <c r="H64" s="86">
        <f t="shared" ref="H64" si="24">IF(OR(H65="",H65=0),SUM(H66:H67),H65)</f>
        <v>0</v>
      </c>
      <c r="I64" s="86">
        <f t="shared" ref="I64" si="25">IF(OR(I65="",I65=0),SUM(I66:I67),I65)</f>
        <v>0</v>
      </c>
      <c r="J64" s="86">
        <f t="shared" ref="J64" si="26">IF(OR(J65="",J65=0),SUM(J66:J67),J65)</f>
        <v>0</v>
      </c>
      <c r="K64" s="220"/>
      <c r="L64" s="287"/>
      <c r="M64" s="60"/>
      <c r="N64" s="60"/>
      <c r="O64" s="60"/>
      <c r="P64" s="60"/>
      <c r="Q64" s="60"/>
      <c r="R64" s="60"/>
      <c r="S64" s="60"/>
      <c r="T64" s="60"/>
      <c r="U64" s="60"/>
      <c r="V64" s="60"/>
      <c r="W64" s="60"/>
      <c r="X64" s="60"/>
      <c r="Y64" s="60"/>
      <c r="Z64" s="60"/>
    </row>
    <row r="65" spans="1:26" outlineLevel="1" x14ac:dyDescent="0.2">
      <c r="A65" s="287"/>
      <c r="B65" s="287"/>
      <c r="C65" s="212">
        <v>1</v>
      </c>
      <c r="D65" s="270" t="s">
        <v>406</v>
      </c>
      <c r="E65" s="109"/>
      <c r="F65" s="109"/>
      <c r="G65" s="109"/>
      <c r="H65" s="109"/>
      <c r="I65" s="109"/>
      <c r="J65" s="109"/>
      <c r="K65" s="220"/>
      <c r="L65" s="287"/>
      <c r="M65" s="60"/>
      <c r="N65" s="60"/>
      <c r="O65" s="60"/>
      <c r="P65" s="60"/>
      <c r="Q65" s="60"/>
      <c r="R65" s="60"/>
      <c r="S65" s="60"/>
      <c r="T65" s="60"/>
      <c r="U65" s="60"/>
      <c r="V65" s="60"/>
      <c r="W65" s="60"/>
      <c r="X65" s="60"/>
      <c r="Y65" s="60"/>
      <c r="Z65" s="60"/>
    </row>
    <row r="66" spans="1:26" outlineLevel="1" x14ac:dyDescent="0.2">
      <c r="A66" s="287"/>
      <c r="B66" s="287"/>
      <c r="C66" s="212">
        <v>2</v>
      </c>
      <c r="D66" s="270" t="s">
        <v>277</v>
      </c>
      <c r="E66" s="109"/>
      <c r="F66" s="109"/>
      <c r="G66" s="109"/>
      <c r="H66" s="109"/>
      <c r="I66" s="109"/>
      <c r="J66" s="109"/>
      <c r="K66" s="220"/>
      <c r="L66" s="287"/>
      <c r="M66" s="60"/>
      <c r="N66" s="60"/>
      <c r="O66" s="60"/>
      <c r="P66" s="60"/>
      <c r="Q66" s="60"/>
      <c r="R66" s="60"/>
      <c r="S66" s="60"/>
      <c r="T66" s="60"/>
      <c r="U66" s="60"/>
      <c r="V66" s="60"/>
      <c r="W66" s="60"/>
      <c r="X66" s="60"/>
      <c r="Y66" s="60"/>
      <c r="Z66" s="60"/>
    </row>
    <row r="67" spans="1:26" outlineLevel="1" x14ac:dyDescent="0.2">
      <c r="A67" s="287"/>
      <c r="B67" s="287"/>
      <c r="C67" s="212">
        <v>3</v>
      </c>
      <c r="D67" s="270" t="s">
        <v>278</v>
      </c>
      <c r="E67" s="65"/>
      <c r="F67" s="65"/>
      <c r="G67" s="65"/>
      <c r="H67" s="65"/>
      <c r="I67" s="65"/>
      <c r="J67" s="65"/>
      <c r="K67" s="220"/>
      <c r="L67" s="287"/>
      <c r="M67" s="60"/>
      <c r="N67" s="60"/>
      <c r="O67" s="60"/>
      <c r="P67" s="60"/>
      <c r="Q67" s="60"/>
      <c r="R67" s="60"/>
      <c r="S67" s="60"/>
      <c r="T67" s="60"/>
      <c r="U67" s="60"/>
      <c r="V67" s="60"/>
      <c r="W67" s="60"/>
      <c r="X67" s="60"/>
      <c r="Y67" s="60"/>
      <c r="Z67" s="60"/>
    </row>
    <row r="68" spans="1:26" outlineLevel="1" x14ac:dyDescent="0.2">
      <c r="A68" s="287"/>
      <c r="B68" s="287"/>
      <c r="C68" s="287"/>
      <c r="D68" s="287"/>
      <c r="E68" s="287"/>
      <c r="F68" s="287"/>
      <c r="G68" s="287"/>
      <c r="H68" s="287"/>
      <c r="I68" s="287"/>
      <c r="J68" s="287"/>
      <c r="K68" s="287"/>
      <c r="L68" s="287"/>
      <c r="M68" s="60"/>
      <c r="N68" s="60"/>
      <c r="O68" s="60"/>
      <c r="P68" s="60"/>
      <c r="Q68" s="60"/>
      <c r="R68" s="60"/>
      <c r="S68" s="60"/>
      <c r="T68" s="60"/>
      <c r="U68" s="60"/>
      <c r="V68" s="60"/>
      <c r="W68" s="60"/>
      <c r="X68" s="60"/>
      <c r="Y68" s="60"/>
      <c r="Z68" s="60"/>
    </row>
    <row r="69" spans="1:26" x14ac:dyDescent="0.2">
      <c r="A69" s="287"/>
      <c r="B69" s="287"/>
      <c r="C69" s="287"/>
      <c r="D69" s="287"/>
      <c r="E69" s="287"/>
      <c r="F69" s="287"/>
      <c r="G69" s="287"/>
      <c r="H69" s="287"/>
      <c r="I69" s="287"/>
      <c r="J69" s="287"/>
      <c r="K69" s="287"/>
      <c r="L69" s="287"/>
      <c r="M69" s="60"/>
      <c r="N69" s="60"/>
      <c r="O69" s="60"/>
      <c r="P69" s="60"/>
      <c r="Q69" s="60"/>
      <c r="R69" s="60"/>
      <c r="S69" s="60"/>
      <c r="T69" s="60"/>
      <c r="U69" s="60"/>
      <c r="V69" s="60"/>
      <c r="W69" s="60"/>
      <c r="X69" s="60"/>
      <c r="Y69" s="60"/>
      <c r="Z69" s="60"/>
    </row>
    <row r="70" spans="1:26" ht="15.75" x14ac:dyDescent="0.2">
      <c r="A70" s="287"/>
      <c r="B70" s="83">
        <f>IF(E74&lt;&gt;"",VLOOKUP(E74,GenderCode,2,FALSE),0)</f>
        <v>0</v>
      </c>
      <c r="C70" s="83">
        <v>4</v>
      </c>
      <c r="D70" s="110" t="str">
        <f>IF(B70=0,MsgNotUsed, CONCATENATE("Other population ", C70, ": ", E72,": ", E74, " (", E77, "-", J77, ")"))</f>
        <v>** NOT USED **</v>
      </c>
      <c r="E70" s="178"/>
      <c r="F70" s="178"/>
      <c r="G70" s="178"/>
      <c r="H70" s="178"/>
      <c r="I70" s="268"/>
      <c r="J70" s="178"/>
      <c r="K70" s="178"/>
      <c r="L70" s="178"/>
      <c r="M70" s="371"/>
      <c r="N70" s="371"/>
      <c r="O70" s="371"/>
      <c r="P70" s="371"/>
      <c r="Q70" s="371"/>
      <c r="R70" s="371"/>
      <c r="S70" s="371"/>
      <c r="T70" s="371"/>
      <c r="U70" s="371"/>
      <c r="V70" s="371"/>
      <c r="W70" s="371"/>
      <c r="X70" s="371"/>
      <c r="Y70" s="371"/>
      <c r="Z70" s="371"/>
    </row>
    <row r="71" spans="1:26" outlineLevel="1" x14ac:dyDescent="0.2">
      <c r="A71" s="287"/>
      <c r="B71" s="287"/>
      <c r="C71" s="287"/>
      <c r="D71" s="288"/>
      <c r="E71" s="288"/>
      <c r="F71" s="288"/>
      <c r="G71" s="288"/>
      <c r="H71" s="288"/>
      <c r="I71" s="288"/>
      <c r="J71" s="288"/>
      <c r="K71" s="288"/>
      <c r="L71" s="288"/>
      <c r="M71" s="59"/>
      <c r="N71" s="59"/>
      <c r="O71" s="59"/>
      <c r="P71" s="59"/>
      <c r="Q71" s="59"/>
      <c r="R71" s="59"/>
      <c r="S71" s="59"/>
      <c r="T71" s="59"/>
      <c r="U71" s="59"/>
      <c r="V71" s="59"/>
      <c r="W71" s="59"/>
      <c r="X71" s="59"/>
      <c r="Y71" s="59"/>
      <c r="Z71" s="59"/>
    </row>
    <row r="72" spans="1:26" outlineLevel="1" x14ac:dyDescent="0.2">
      <c r="A72" s="287"/>
      <c r="B72" s="287"/>
      <c r="C72" s="287"/>
      <c r="D72" s="58" t="s">
        <v>314</v>
      </c>
      <c r="E72" s="870"/>
      <c r="F72" s="848"/>
      <c r="G72" s="848"/>
      <c r="H72" s="848"/>
      <c r="I72" s="848"/>
      <c r="J72" s="849"/>
      <c r="K72" s="220"/>
      <c r="L72" s="58" t="s">
        <v>292</v>
      </c>
      <c r="M72" s="870"/>
      <c r="N72" s="848"/>
      <c r="O72" s="848"/>
      <c r="P72" s="848"/>
      <c r="Q72" s="848"/>
      <c r="R72" s="849"/>
      <c r="S72" s="59"/>
      <c r="T72" s="59"/>
      <c r="U72" s="59"/>
      <c r="V72" s="59"/>
      <c r="W72" s="59"/>
      <c r="X72" s="59"/>
      <c r="Y72" s="59"/>
      <c r="Z72" s="59"/>
    </row>
    <row r="73" spans="1:26" ht="14.25" outlineLevel="1" x14ac:dyDescent="0.2">
      <c r="A73" s="287"/>
      <c r="B73" s="287"/>
      <c r="C73" s="287"/>
      <c r="D73" s="209"/>
      <c r="E73" s="220"/>
      <c r="F73" s="220"/>
      <c r="G73" s="220"/>
      <c r="H73" s="220"/>
      <c r="I73" s="220"/>
      <c r="J73" s="220"/>
      <c r="K73" s="220"/>
      <c r="L73" s="288"/>
      <c r="M73" s="59"/>
      <c r="N73" s="59"/>
      <c r="O73" s="59"/>
      <c r="P73" s="59"/>
      <c r="Q73" s="59"/>
      <c r="R73" s="59"/>
      <c r="S73" s="59"/>
      <c r="T73" s="59"/>
      <c r="U73" s="59"/>
      <c r="V73" s="59"/>
      <c r="W73" s="59"/>
      <c r="X73" s="59"/>
      <c r="Y73" s="59"/>
      <c r="Z73" s="59"/>
    </row>
    <row r="74" spans="1:26" outlineLevel="1" x14ac:dyDescent="0.2">
      <c r="A74" s="287"/>
      <c r="B74" s="287"/>
      <c r="C74" s="287"/>
      <c r="D74" s="114" t="s">
        <v>52</v>
      </c>
      <c r="E74" s="107"/>
      <c r="F74" s="220"/>
      <c r="G74" s="220"/>
      <c r="H74" s="287"/>
      <c r="I74" s="114" t="s">
        <v>405</v>
      </c>
      <c r="J74" s="107"/>
      <c r="K74" s="220"/>
      <c r="L74" s="288"/>
      <c r="M74" s="59"/>
      <c r="N74" s="59"/>
      <c r="O74" s="59"/>
      <c r="P74" s="59"/>
      <c r="Q74" s="59"/>
      <c r="R74" s="59"/>
      <c r="S74" s="59"/>
      <c r="T74" s="59"/>
      <c r="U74" s="59"/>
      <c r="V74" s="59"/>
      <c r="W74" s="59"/>
      <c r="X74" s="59"/>
      <c r="Y74" s="59"/>
      <c r="Z74" s="59"/>
    </row>
    <row r="75" spans="1:26" outlineLevel="1" x14ac:dyDescent="0.2">
      <c r="A75" s="287"/>
      <c r="B75" s="287"/>
      <c r="C75" s="287"/>
      <c r="D75" s="6"/>
      <c r="E75" s="220"/>
      <c r="F75" s="220"/>
      <c r="G75" s="220"/>
      <c r="H75" s="220"/>
      <c r="I75" s="220"/>
      <c r="J75" s="220"/>
      <c r="K75" s="220"/>
      <c r="L75" s="288"/>
      <c r="M75" s="59"/>
      <c r="N75" s="59"/>
      <c r="O75" s="59"/>
      <c r="P75" s="59"/>
      <c r="Q75" s="59"/>
      <c r="R75" s="59"/>
      <c r="S75" s="59"/>
      <c r="T75" s="59"/>
      <c r="U75" s="59"/>
      <c r="V75" s="59"/>
      <c r="W75" s="59"/>
      <c r="X75" s="59"/>
      <c r="Y75" s="59"/>
      <c r="Z75" s="59"/>
    </row>
    <row r="76" spans="1:26" outlineLevel="1" x14ac:dyDescent="0.2">
      <c r="A76" s="287"/>
      <c r="B76" s="287"/>
      <c r="C76" s="287"/>
      <c r="D76" s="220"/>
      <c r="E76" s="195" t="s">
        <v>289</v>
      </c>
      <c r="F76" s="220"/>
      <c r="G76" s="220"/>
      <c r="H76" s="220"/>
      <c r="I76" s="220"/>
      <c r="J76" s="220"/>
      <c r="K76" s="220"/>
      <c r="L76" s="288"/>
      <c r="M76" s="59"/>
      <c r="N76" s="59"/>
      <c r="O76" s="59"/>
      <c r="P76" s="59"/>
      <c r="Q76" s="59"/>
      <c r="R76" s="59"/>
      <c r="S76" s="59"/>
      <c r="T76" s="59"/>
      <c r="U76" s="59"/>
      <c r="V76" s="59"/>
      <c r="W76" s="59"/>
      <c r="X76" s="59"/>
      <c r="Y76" s="59"/>
      <c r="Z76" s="59"/>
    </row>
    <row r="77" spans="1:26" outlineLevel="1" x14ac:dyDescent="0.2">
      <c r="A77" s="287"/>
      <c r="B77" s="287"/>
      <c r="C77" s="287"/>
      <c r="D77" s="6"/>
      <c r="E77" s="108">
        <f>IF(J74&lt;&gt;"",J74,FirstYear)</f>
        <v>0</v>
      </c>
      <c r="F77" s="112">
        <f>E77+1</f>
        <v>1</v>
      </c>
      <c r="G77" s="112">
        <f>F77+1</f>
        <v>2</v>
      </c>
      <c r="H77" s="112">
        <f>G77+1</f>
        <v>3</v>
      </c>
      <c r="I77" s="112">
        <f>H77+1</f>
        <v>4</v>
      </c>
      <c r="J77" s="112">
        <f>I77+1</f>
        <v>5</v>
      </c>
      <c r="K77" s="220"/>
      <c r="L77" s="288"/>
      <c r="M77" s="59"/>
      <c r="N77" s="59"/>
      <c r="O77" s="59"/>
      <c r="P77" s="59"/>
      <c r="Q77" s="59"/>
      <c r="R77" s="59"/>
      <c r="S77" s="59"/>
      <c r="T77" s="59"/>
      <c r="U77" s="59"/>
      <c r="V77" s="59"/>
      <c r="W77" s="59"/>
      <c r="X77" s="59"/>
      <c r="Y77" s="59"/>
      <c r="Z77" s="59"/>
    </row>
    <row r="78" spans="1:26" outlineLevel="1" x14ac:dyDescent="0.2">
      <c r="A78" s="287"/>
      <c r="B78" s="287"/>
      <c r="C78" s="287"/>
      <c r="D78" s="220"/>
      <c r="E78" s="86">
        <f>IF($B$70&lt;&gt;0,VLOOKUP($B$70,$C$82:$J$84,E79),0)</f>
        <v>0</v>
      </c>
      <c r="F78" s="86">
        <f t="shared" ref="F78:J78" si="27">IF($B$70&lt;&gt;0,VLOOKUP($B$70,$C$82:$J$84,F79),0)</f>
        <v>0</v>
      </c>
      <c r="G78" s="86">
        <f t="shared" si="27"/>
        <v>0</v>
      </c>
      <c r="H78" s="86">
        <f t="shared" si="27"/>
        <v>0</v>
      </c>
      <c r="I78" s="86">
        <f t="shared" si="27"/>
        <v>0</v>
      </c>
      <c r="J78" s="86">
        <f t="shared" si="27"/>
        <v>0</v>
      </c>
      <c r="K78" s="220"/>
      <c r="L78" s="288"/>
      <c r="M78" s="59"/>
      <c r="N78" s="59"/>
      <c r="O78" s="59"/>
      <c r="P78" s="59"/>
      <c r="Q78" s="59"/>
      <c r="R78" s="59"/>
      <c r="S78" s="59"/>
      <c r="T78" s="59"/>
      <c r="U78" s="59"/>
      <c r="V78" s="59"/>
      <c r="W78" s="59"/>
      <c r="X78" s="59"/>
      <c r="Y78" s="59"/>
      <c r="Z78" s="59"/>
    </row>
    <row r="79" spans="1:26" outlineLevel="1" x14ac:dyDescent="0.2">
      <c r="A79" s="287"/>
      <c r="B79" s="287"/>
      <c r="C79" s="287"/>
      <c r="D79" s="220"/>
      <c r="E79" s="269">
        <v>3</v>
      </c>
      <c r="F79" s="269">
        <v>4</v>
      </c>
      <c r="G79" s="269">
        <v>5</v>
      </c>
      <c r="H79" s="269">
        <v>6</v>
      </c>
      <c r="I79" s="269">
        <v>7</v>
      </c>
      <c r="J79" s="269">
        <v>8</v>
      </c>
      <c r="K79" s="220"/>
      <c r="L79" s="288"/>
      <c r="M79" s="59"/>
      <c r="N79" s="59"/>
      <c r="O79" s="59"/>
      <c r="P79" s="59"/>
      <c r="Q79" s="59"/>
      <c r="R79" s="59"/>
      <c r="S79" s="59"/>
      <c r="T79" s="59"/>
      <c r="U79" s="59"/>
      <c r="V79" s="59"/>
      <c r="W79" s="59"/>
      <c r="X79" s="59"/>
      <c r="Y79" s="59"/>
      <c r="Z79" s="59"/>
    </row>
    <row r="80" spans="1:26" outlineLevel="1" x14ac:dyDescent="0.2">
      <c r="A80" s="287"/>
      <c r="B80" s="287"/>
      <c r="C80" s="287"/>
      <c r="D80" s="46" t="s">
        <v>362</v>
      </c>
      <c r="E80" s="108">
        <f t="shared" ref="E80:J80" si="28">E77</f>
        <v>0</v>
      </c>
      <c r="F80" s="108">
        <f t="shared" si="28"/>
        <v>1</v>
      </c>
      <c r="G80" s="108">
        <f t="shared" si="28"/>
        <v>2</v>
      </c>
      <c r="H80" s="108">
        <f t="shared" si="28"/>
        <v>3</v>
      </c>
      <c r="I80" s="108">
        <f t="shared" si="28"/>
        <v>4</v>
      </c>
      <c r="J80" s="108">
        <f t="shared" si="28"/>
        <v>5</v>
      </c>
      <c r="K80" s="220"/>
      <c r="L80" s="287"/>
      <c r="M80" s="60"/>
      <c r="N80" s="60"/>
      <c r="O80" s="60"/>
      <c r="P80" s="60"/>
      <c r="Q80" s="60"/>
      <c r="R80" s="60"/>
      <c r="S80" s="60"/>
      <c r="T80" s="60"/>
      <c r="U80" s="60"/>
      <c r="V80" s="60"/>
      <c r="W80" s="60"/>
      <c r="X80" s="60"/>
      <c r="Y80" s="60"/>
      <c r="Z80" s="60"/>
    </row>
    <row r="81" spans="1:26" outlineLevel="1" x14ac:dyDescent="0.2">
      <c r="A81" s="287"/>
      <c r="B81" s="287"/>
      <c r="D81" s="270" t="s">
        <v>274</v>
      </c>
      <c r="E81" s="86">
        <f>IF(OR(E82="",E82=0),SUM(E83:E84),E82)</f>
        <v>0</v>
      </c>
      <c r="F81" s="86">
        <f t="shared" ref="F81" si="29">IF(OR(F82="",F82=0),SUM(F83:F84),F82)</f>
        <v>0</v>
      </c>
      <c r="G81" s="86">
        <f t="shared" ref="G81" si="30">IF(OR(G82="",G82=0),SUM(G83:G84),G82)</f>
        <v>0</v>
      </c>
      <c r="H81" s="86">
        <f t="shared" ref="H81" si="31">IF(OR(H82="",H82=0),SUM(H83:H84),H82)</f>
        <v>0</v>
      </c>
      <c r="I81" s="86">
        <f t="shared" ref="I81" si="32">IF(OR(I82="",I82=0),SUM(I83:I84),I82)</f>
        <v>0</v>
      </c>
      <c r="J81" s="86">
        <f t="shared" ref="J81" si="33">IF(OR(J82="",J82=0),SUM(J83:J84),J82)</f>
        <v>0</v>
      </c>
      <c r="K81" s="220"/>
      <c r="L81" s="287"/>
      <c r="M81" s="60"/>
      <c r="N81" s="60"/>
      <c r="O81" s="60"/>
      <c r="P81" s="60"/>
      <c r="Q81" s="60"/>
      <c r="R81" s="60"/>
      <c r="S81" s="60"/>
      <c r="T81" s="60"/>
      <c r="U81" s="60"/>
      <c r="V81" s="60"/>
      <c r="W81" s="60"/>
      <c r="X81" s="60"/>
      <c r="Y81" s="60"/>
      <c r="Z81" s="60"/>
    </row>
    <row r="82" spans="1:26" outlineLevel="1" x14ac:dyDescent="0.2">
      <c r="A82" s="287"/>
      <c r="B82" s="287"/>
      <c r="C82" s="212">
        <v>1</v>
      </c>
      <c r="D82" s="270" t="s">
        <v>406</v>
      </c>
      <c r="E82" s="109"/>
      <c r="F82" s="109"/>
      <c r="G82" s="109"/>
      <c r="H82" s="109"/>
      <c r="I82" s="109"/>
      <c r="J82" s="109"/>
      <c r="K82" s="220"/>
      <c r="L82" s="287"/>
      <c r="M82" s="60"/>
      <c r="N82" s="60"/>
      <c r="O82" s="60"/>
      <c r="P82" s="60"/>
      <c r="Q82" s="60"/>
      <c r="R82" s="60"/>
      <c r="S82" s="60"/>
      <c r="T82" s="60"/>
      <c r="U82" s="60"/>
      <c r="V82" s="60"/>
      <c r="W82" s="60"/>
      <c r="X82" s="60"/>
      <c r="Y82" s="60"/>
      <c r="Z82" s="60"/>
    </row>
    <row r="83" spans="1:26" outlineLevel="1" x14ac:dyDescent="0.2">
      <c r="A83" s="287"/>
      <c r="B83" s="287"/>
      <c r="C83" s="212">
        <v>2</v>
      </c>
      <c r="D83" s="270" t="s">
        <v>277</v>
      </c>
      <c r="E83" s="109"/>
      <c r="F83" s="109"/>
      <c r="G83" s="109"/>
      <c r="H83" s="109"/>
      <c r="I83" s="109"/>
      <c r="J83" s="109"/>
      <c r="K83" s="220"/>
      <c r="L83" s="287"/>
      <c r="M83" s="60"/>
      <c r="N83" s="60"/>
      <c r="O83" s="60"/>
      <c r="P83" s="60"/>
      <c r="Q83" s="60"/>
      <c r="R83" s="60"/>
      <c r="S83" s="60"/>
      <c r="T83" s="60"/>
      <c r="U83" s="60"/>
      <c r="V83" s="60"/>
      <c r="W83" s="60"/>
      <c r="X83" s="60"/>
      <c r="Y83" s="60"/>
      <c r="Z83" s="60"/>
    </row>
    <row r="84" spans="1:26" outlineLevel="1" x14ac:dyDescent="0.2">
      <c r="A84" s="287"/>
      <c r="B84" s="287"/>
      <c r="C84" s="212">
        <v>3</v>
      </c>
      <c r="D84" s="270" t="s">
        <v>278</v>
      </c>
      <c r="E84" s="65"/>
      <c r="F84" s="65"/>
      <c r="G84" s="65"/>
      <c r="H84" s="65"/>
      <c r="I84" s="65"/>
      <c r="J84" s="65"/>
      <c r="K84" s="220"/>
      <c r="L84" s="287"/>
      <c r="M84" s="60"/>
      <c r="N84" s="60"/>
      <c r="O84" s="60"/>
      <c r="P84" s="60"/>
      <c r="Q84" s="60"/>
      <c r="R84" s="60"/>
      <c r="S84" s="60"/>
      <c r="T84" s="60"/>
      <c r="U84" s="60"/>
      <c r="V84" s="60"/>
      <c r="W84" s="60"/>
      <c r="X84" s="60"/>
      <c r="Y84" s="60"/>
      <c r="Z84" s="60"/>
    </row>
    <row r="85" spans="1:26" outlineLevel="1" x14ac:dyDescent="0.2">
      <c r="A85" s="287"/>
      <c r="B85" s="287"/>
      <c r="C85" s="287"/>
      <c r="D85" s="287"/>
      <c r="E85" s="287"/>
      <c r="F85" s="287"/>
      <c r="G85" s="287"/>
      <c r="H85" s="287"/>
      <c r="I85" s="287"/>
      <c r="J85" s="287"/>
      <c r="K85" s="287"/>
      <c r="L85" s="287"/>
      <c r="M85" s="60"/>
      <c r="N85" s="60"/>
      <c r="O85" s="60"/>
      <c r="P85" s="60"/>
      <c r="Q85" s="60"/>
      <c r="R85" s="60"/>
      <c r="S85" s="60"/>
      <c r="T85" s="60"/>
      <c r="U85" s="60"/>
      <c r="V85" s="60"/>
      <c r="W85" s="60"/>
      <c r="X85" s="60"/>
      <c r="Y85" s="60"/>
      <c r="Z85" s="60"/>
    </row>
    <row r="86" spans="1:26" x14ac:dyDescent="0.2">
      <c r="A86" s="287"/>
      <c r="B86" s="287"/>
      <c r="C86" s="287"/>
      <c r="D86" s="287"/>
      <c r="E86" s="287"/>
      <c r="F86" s="287"/>
      <c r="G86" s="287"/>
      <c r="H86" s="287"/>
      <c r="I86" s="287"/>
      <c r="J86" s="287"/>
      <c r="K86" s="287"/>
      <c r="L86" s="287"/>
      <c r="M86" s="60"/>
      <c r="N86" s="60"/>
      <c r="O86" s="60"/>
      <c r="P86" s="60"/>
      <c r="Q86" s="60"/>
      <c r="R86" s="60"/>
      <c r="S86" s="60"/>
      <c r="T86" s="60"/>
      <c r="U86" s="60"/>
      <c r="V86" s="60"/>
      <c r="W86" s="60"/>
      <c r="X86" s="60"/>
      <c r="Y86" s="60"/>
      <c r="Z86" s="60"/>
    </row>
    <row r="87" spans="1:26" ht="15.75" x14ac:dyDescent="0.2">
      <c r="A87" s="287"/>
      <c r="B87" s="83">
        <f>IF(E91&lt;&gt;"",VLOOKUP(E91,GenderCode,2,FALSE),0)</f>
        <v>0</v>
      </c>
      <c r="C87" s="83">
        <v>5</v>
      </c>
      <c r="D87" s="110" t="str">
        <f>IF(B87=0,MsgNotUsed, CONCATENATE("Other population ", C87, ": ", E89,": ", E91, " (", E94, "-", J94, ")"))</f>
        <v>** NOT USED **</v>
      </c>
      <c r="E87" s="178"/>
      <c r="F87" s="178"/>
      <c r="G87" s="178"/>
      <c r="H87" s="178"/>
      <c r="I87" s="268"/>
      <c r="J87" s="178"/>
      <c r="K87" s="178"/>
      <c r="L87" s="178"/>
      <c r="M87" s="371"/>
      <c r="N87" s="371"/>
      <c r="O87" s="371"/>
      <c r="P87" s="371"/>
      <c r="Q87" s="371"/>
      <c r="R87" s="371"/>
      <c r="S87" s="371"/>
      <c r="T87" s="371"/>
      <c r="U87" s="371"/>
      <c r="V87" s="371"/>
      <c r="W87" s="371"/>
      <c r="X87" s="371"/>
      <c r="Y87" s="371"/>
      <c r="Z87" s="371"/>
    </row>
    <row r="88" spans="1:26" outlineLevel="1" x14ac:dyDescent="0.2">
      <c r="A88" s="287"/>
      <c r="B88" s="287"/>
      <c r="C88" s="287"/>
      <c r="D88" s="288"/>
      <c r="E88" s="288"/>
      <c r="F88" s="288"/>
      <c r="G88" s="288"/>
      <c r="H88" s="288"/>
      <c r="I88" s="288"/>
      <c r="J88" s="288"/>
      <c r="K88" s="288"/>
      <c r="L88" s="288"/>
      <c r="M88" s="59"/>
      <c r="N88" s="59"/>
      <c r="O88" s="59"/>
      <c r="P88" s="59"/>
      <c r="Q88" s="59"/>
      <c r="R88" s="59"/>
      <c r="S88" s="59"/>
      <c r="T88" s="59"/>
      <c r="U88" s="59"/>
      <c r="V88" s="59"/>
      <c r="W88" s="59"/>
      <c r="X88" s="59"/>
      <c r="Y88" s="59"/>
      <c r="Z88" s="59"/>
    </row>
    <row r="89" spans="1:26" outlineLevel="1" x14ac:dyDescent="0.2">
      <c r="A89" s="287"/>
      <c r="B89" s="287"/>
      <c r="C89" s="287"/>
      <c r="D89" s="58" t="s">
        <v>314</v>
      </c>
      <c r="E89" s="870"/>
      <c r="F89" s="871"/>
      <c r="G89" s="871"/>
      <c r="H89" s="871"/>
      <c r="I89" s="871"/>
      <c r="J89" s="872"/>
      <c r="K89" s="220"/>
      <c r="L89" s="58" t="s">
        <v>292</v>
      </c>
      <c r="M89" s="870"/>
      <c r="N89" s="871"/>
      <c r="O89" s="871"/>
      <c r="P89" s="871"/>
      <c r="Q89" s="871"/>
      <c r="R89" s="872"/>
      <c r="S89" s="59"/>
      <c r="T89" s="59"/>
      <c r="U89" s="59"/>
      <c r="V89" s="59"/>
      <c r="W89" s="59"/>
      <c r="X89" s="59"/>
      <c r="Y89" s="59"/>
      <c r="Z89" s="59"/>
    </row>
    <row r="90" spans="1:26" ht="14.25" outlineLevel="1" x14ac:dyDescent="0.2">
      <c r="A90" s="287"/>
      <c r="B90" s="287"/>
      <c r="C90" s="287"/>
      <c r="D90" s="209"/>
      <c r="E90" s="220"/>
      <c r="F90" s="220"/>
      <c r="G90" s="220"/>
      <c r="H90" s="220"/>
      <c r="I90" s="220"/>
      <c r="J90" s="220"/>
      <c r="K90" s="220"/>
      <c r="L90" s="288"/>
      <c r="M90" s="59"/>
      <c r="N90" s="59"/>
      <c r="O90" s="59"/>
      <c r="P90" s="59"/>
      <c r="Q90" s="59"/>
      <c r="R90" s="59"/>
      <c r="S90" s="59"/>
      <c r="T90" s="59"/>
      <c r="U90" s="59"/>
      <c r="V90" s="59"/>
      <c r="W90" s="59"/>
      <c r="X90" s="59"/>
      <c r="Y90" s="59"/>
      <c r="Z90" s="59"/>
    </row>
    <row r="91" spans="1:26" outlineLevel="1" x14ac:dyDescent="0.2">
      <c r="A91" s="287"/>
      <c r="B91" s="287"/>
      <c r="C91" s="287"/>
      <c r="D91" s="114" t="s">
        <v>52</v>
      </c>
      <c r="E91" s="107"/>
      <c r="F91" s="220"/>
      <c r="G91" s="220"/>
      <c r="H91" s="287"/>
      <c r="I91" s="114" t="s">
        <v>405</v>
      </c>
      <c r="J91" s="107"/>
      <c r="K91" s="220"/>
      <c r="L91" s="288"/>
      <c r="M91" s="59"/>
      <c r="N91" s="59"/>
      <c r="O91" s="59"/>
      <c r="P91" s="59"/>
      <c r="Q91" s="59"/>
      <c r="R91" s="59"/>
      <c r="S91" s="59"/>
      <c r="T91" s="59"/>
      <c r="U91" s="59"/>
      <c r="V91" s="59"/>
      <c r="W91" s="59"/>
      <c r="X91" s="59"/>
      <c r="Y91" s="59"/>
      <c r="Z91" s="59"/>
    </row>
    <row r="92" spans="1:26" outlineLevel="1" x14ac:dyDescent="0.2">
      <c r="A92" s="287"/>
      <c r="B92" s="287"/>
      <c r="C92" s="287"/>
      <c r="D92" s="6"/>
      <c r="E92" s="220"/>
      <c r="F92" s="220"/>
      <c r="G92" s="220"/>
      <c r="H92" s="220"/>
      <c r="I92" s="220"/>
      <c r="J92" s="220"/>
      <c r="K92" s="220"/>
      <c r="L92" s="288"/>
      <c r="M92" s="59"/>
      <c r="N92" s="59"/>
      <c r="O92" s="59"/>
      <c r="P92" s="59"/>
      <c r="Q92" s="59"/>
      <c r="R92" s="59"/>
      <c r="S92" s="59"/>
      <c r="T92" s="59"/>
      <c r="U92" s="59"/>
      <c r="V92" s="59"/>
      <c r="W92" s="59"/>
      <c r="X92" s="59"/>
      <c r="Y92" s="59"/>
      <c r="Z92" s="59"/>
    </row>
    <row r="93" spans="1:26" outlineLevel="1" x14ac:dyDescent="0.2">
      <c r="A93" s="287"/>
      <c r="B93" s="287"/>
      <c r="C93" s="287"/>
      <c r="D93" s="220"/>
      <c r="E93" s="195" t="s">
        <v>289</v>
      </c>
      <c r="F93" s="220"/>
      <c r="G93" s="220"/>
      <c r="H93" s="220"/>
      <c r="I93" s="220"/>
      <c r="J93" s="220"/>
      <c r="K93" s="220"/>
      <c r="L93" s="288"/>
      <c r="M93" s="59"/>
      <c r="N93" s="59"/>
      <c r="O93" s="59"/>
      <c r="P93" s="59"/>
      <c r="Q93" s="59"/>
      <c r="R93" s="59"/>
      <c r="S93" s="59"/>
      <c r="T93" s="59"/>
      <c r="U93" s="59"/>
      <c r="V93" s="59"/>
      <c r="W93" s="59"/>
      <c r="X93" s="59"/>
      <c r="Y93" s="59"/>
      <c r="Z93" s="59"/>
    </row>
    <row r="94" spans="1:26" outlineLevel="1" x14ac:dyDescent="0.2">
      <c r="A94" s="287"/>
      <c r="B94" s="287"/>
      <c r="C94" s="287"/>
      <c r="D94" s="6"/>
      <c r="E94" s="108">
        <f>IF(J91&lt;&gt;"",J91,FirstYear)</f>
        <v>0</v>
      </c>
      <c r="F94" s="112">
        <f>E94+1</f>
        <v>1</v>
      </c>
      <c r="G94" s="112">
        <f>F94+1</f>
        <v>2</v>
      </c>
      <c r="H94" s="112">
        <f>G94+1</f>
        <v>3</v>
      </c>
      <c r="I94" s="112">
        <f>H94+1</f>
        <v>4</v>
      </c>
      <c r="J94" s="112">
        <f>I94+1</f>
        <v>5</v>
      </c>
      <c r="K94" s="220"/>
      <c r="L94" s="288"/>
      <c r="M94" s="59"/>
      <c r="N94" s="59"/>
      <c r="O94" s="59"/>
      <c r="P94" s="59"/>
      <c r="Q94" s="59"/>
      <c r="R94" s="59"/>
      <c r="S94" s="59"/>
      <c r="T94" s="59"/>
      <c r="U94" s="59"/>
      <c r="V94" s="59"/>
      <c r="W94" s="59"/>
      <c r="X94" s="59"/>
      <c r="Y94" s="59"/>
      <c r="Z94" s="59"/>
    </row>
    <row r="95" spans="1:26" outlineLevel="1" x14ac:dyDescent="0.2">
      <c r="A95" s="287"/>
      <c r="B95" s="287"/>
      <c r="C95" s="287"/>
      <c r="D95" s="220"/>
      <c r="E95" s="86">
        <f>IF($B$87&lt;&gt;0,VLOOKUP($B$87,$C$99:$J$101,E96),0)</f>
        <v>0</v>
      </c>
      <c r="F95" s="86">
        <f t="shared" ref="F95:J95" si="34">IF($B$87&lt;&gt;0,VLOOKUP($B$87,$C$99:$J$101,F96),0)</f>
        <v>0</v>
      </c>
      <c r="G95" s="86">
        <f t="shared" si="34"/>
        <v>0</v>
      </c>
      <c r="H95" s="86">
        <f t="shared" si="34"/>
        <v>0</v>
      </c>
      <c r="I95" s="86">
        <f t="shared" si="34"/>
        <v>0</v>
      </c>
      <c r="J95" s="86">
        <f t="shared" si="34"/>
        <v>0</v>
      </c>
      <c r="K95" s="220"/>
      <c r="L95" s="288"/>
      <c r="M95" s="59"/>
      <c r="N95" s="59"/>
      <c r="O95" s="59"/>
      <c r="P95" s="59"/>
      <c r="Q95" s="59"/>
      <c r="R95" s="59"/>
      <c r="S95" s="59"/>
      <c r="T95" s="59"/>
      <c r="U95" s="59"/>
      <c r="V95" s="59"/>
      <c r="W95" s="59"/>
      <c r="X95" s="59"/>
      <c r="Y95" s="59"/>
      <c r="Z95" s="59"/>
    </row>
    <row r="96" spans="1:26" outlineLevel="1" x14ac:dyDescent="0.2">
      <c r="A96" s="287"/>
      <c r="B96" s="287"/>
      <c r="C96" s="287"/>
      <c r="D96" s="220"/>
      <c r="E96" s="269">
        <v>3</v>
      </c>
      <c r="F96" s="269">
        <v>4</v>
      </c>
      <c r="G96" s="269">
        <v>5</v>
      </c>
      <c r="H96" s="269">
        <v>6</v>
      </c>
      <c r="I96" s="269">
        <v>7</v>
      </c>
      <c r="J96" s="269">
        <v>8</v>
      </c>
      <c r="K96" s="220"/>
      <c r="L96" s="288"/>
      <c r="M96" s="59"/>
      <c r="N96" s="59"/>
      <c r="O96" s="59"/>
      <c r="P96" s="59"/>
      <c r="Q96" s="59"/>
      <c r="R96" s="59"/>
      <c r="S96" s="59"/>
      <c r="T96" s="59"/>
      <c r="U96" s="59"/>
      <c r="V96" s="59"/>
      <c r="W96" s="59"/>
      <c r="X96" s="59"/>
      <c r="Y96" s="59"/>
      <c r="Z96" s="59"/>
    </row>
    <row r="97" spans="1:26" outlineLevel="1" x14ac:dyDescent="0.2">
      <c r="A97" s="287"/>
      <c r="B97" s="287"/>
      <c r="C97" s="287"/>
      <c r="D97" s="46" t="s">
        <v>362</v>
      </c>
      <c r="E97" s="108">
        <f t="shared" ref="E97:J97" si="35">E94</f>
        <v>0</v>
      </c>
      <c r="F97" s="108">
        <f t="shared" si="35"/>
        <v>1</v>
      </c>
      <c r="G97" s="108">
        <f t="shared" si="35"/>
        <v>2</v>
      </c>
      <c r="H97" s="108">
        <f t="shared" si="35"/>
        <v>3</v>
      </c>
      <c r="I97" s="108">
        <f t="shared" si="35"/>
        <v>4</v>
      </c>
      <c r="J97" s="108">
        <f t="shared" si="35"/>
        <v>5</v>
      </c>
      <c r="K97" s="220"/>
      <c r="L97" s="287"/>
      <c r="M97" s="60"/>
      <c r="N97" s="60"/>
      <c r="O97" s="60"/>
      <c r="P97" s="60"/>
      <c r="Q97" s="60"/>
      <c r="R97" s="60"/>
      <c r="S97" s="60"/>
      <c r="T97" s="60"/>
      <c r="U97" s="60"/>
      <c r="V97" s="60"/>
      <c r="W97" s="60"/>
      <c r="X97" s="60"/>
      <c r="Y97" s="60"/>
      <c r="Z97" s="60"/>
    </row>
    <row r="98" spans="1:26" outlineLevel="1" x14ac:dyDescent="0.2">
      <c r="A98" s="287"/>
      <c r="B98" s="287"/>
      <c r="D98" s="270" t="s">
        <v>274</v>
      </c>
      <c r="E98" s="86">
        <f>IF(OR(E99="",E99=0),SUM(E100:E101),E99)</f>
        <v>0</v>
      </c>
      <c r="F98" s="86">
        <f t="shared" ref="F98" si="36">IF(OR(F99="",F99=0),SUM(F100:F101),F99)</f>
        <v>0</v>
      </c>
      <c r="G98" s="86">
        <f t="shared" ref="G98" si="37">IF(OR(G99="",G99=0),SUM(G100:G101),G99)</f>
        <v>0</v>
      </c>
      <c r="H98" s="86">
        <f t="shared" ref="H98" si="38">IF(OR(H99="",H99=0),SUM(H100:H101),H99)</f>
        <v>0</v>
      </c>
      <c r="I98" s="86">
        <f t="shared" ref="I98" si="39">IF(OR(I99="",I99=0),SUM(I100:I101),I99)</f>
        <v>0</v>
      </c>
      <c r="J98" s="86">
        <f t="shared" ref="J98" si="40">IF(OR(J99="",J99=0),SUM(J100:J101),J99)</f>
        <v>0</v>
      </c>
      <c r="K98" s="220"/>
      <c r="L98" s="287"/>
      <c r="M98" s="60"/>
      <c r="N98" s="60"/>
      <c r="O98" s="60"/>
      <c r="P98" s="60"/>
      <c r="Q98" s="60"/>
      <c r="R98" s="60"/>
      <c r="S98" s="60"/>
      <c r="T98" s="60"/>
      <c r="U98" s="60"/>
      <c r="V98" s="60"/>
      <c r="W98" s="60"/>
      <c r="X98" s="60"/>
      <c r="Y98" s="60"/>
      <c r="Z98" s="60"/>
    </row>
    <row r="99" spans="1:26" outlineLevel="1" x14ac:dyDescent="0.2">
      <c r="A99" s="287"/>
      <c r="B99" s="287"/>
      <c r="C99" s="212">
        <v>1</v>
      </c>
      <c r="D99" s="270" t="s">
        <v>406</v>
      </c>
      <c r="E99" s="109"/>
      <c r="F99" s="109"/>
      <c r="G99" s="109"/>
      <c r="H99" s="109"/>
      <c r="I99" s="109"/>
      <c r="J99" s="109"/>
      <c r="K99" s="220"/>
      <c r="L99" s="287"/>
      <c r="M99" s="60"/>
      <c r="N99" s="60"/>
      <c r="O99" s="60"/>
      <c r="P99" s="60"/>
      <c r="Q99" s="60"/>
      <c r="R99" s="60"/>
      <c r="S99" s="60"/>
      <c r="T99" s="60"/>
      <c r="U99" s="60"/>
      <c r="V99" s="60"/>
      <c r="W99" s="60"/>
      <c r="X99" s="60"/>
      <c r="Y99" s="60"/>
      <c r="Z99" s="60"/>
    </row>
    <row r="100" spans="1:26" outlineLevel="1" x14ac:dyDescent="0.2">
      <c r="A100" s="287"/>
      <c r="B100" s="287"/>
      <c r="C100" s="212">
        <v>2</v>
      </c>
      <c r="D100" s="270" t="s">
        <v>277</v>
      </c>
      <c r="E100" s="109"/>
      <c r="F100" s="109"/>
      <c r="G100" s="109"/>
      <c r="H100" s="109"/>
      <c r="I100" s="109"/>
      <c r="J100" s="109"/>
      <c r="K100" s="220"/>
      <c r="L100" s="287"/>
      <c r="M100" s="60"/>
      <c r="N100" s="60"/>
      <c r="O100" s="60"/>
      <c r="P100" s="60"/>
      <c r="Q100" s="60"/>
      <c r="R100" s="60"/>
      <c r="S100" s="60"/>
      <c r="T100" s="60"/>
      <c r="U100" s="60"/>
      <c r="V100" s="60"/>
      <c r="W100" s="60"/>
      <c r="X100" s="60"/>
      <c r="Y100" s="60"/>
      <c r="Z100" s="60"/>
    </row>
    <row r="101" spans="1:26" outlineLevel="1" x14ac:dyDescent="0.2">
      <c r="A101" s="287"/>
      <c r="B101" s="287"/>
      <c r="C101" s="212">
        <v>3</v>
      </c>
      <c r="D101" s="270" t="s">
        <v>278</v>
      </c>
      <c r="E101" s="65"/>
      <c r="F101" s="65"/>
      <c r="G101" s="65"/>
      <c r="H101" s="65"/>
      <c r="I101" s="65"/>
      <c r="J101" s="65"/>
      <c r="K101" s="220"/>
      <c r="L101" s="287"/>
      <c r="M101" s="60"/>
      <c r="N101" s="60"/>
      <c r="O101" s="60"/>
      <c r="P101" s="60"/>
      <c r="Q101" s="60"/>
      <c r="R101" s="60"/>
      <c r="S101" s="60"/>
      <c r="T101" s="60"/>
      <c r="U101" s="60"/>
      <c r="V101" s="60"/>
      <c r="W101" s="60"/>
      <c r="X101" s="60"/>
      <c r="Y101" s="60"/>
      <c r="Z101" s="60"/>
    </row>
    <row r="102" spans="1:26" outlineLevel="1" x14ac:dyDescent="0.2">
      <c r="A102" s="287"/>
      <c r="B102" s="287"/>
      <c r="C102" s="287"/>
      <c r="D102" s="287"/>
      <c r="E102" s="287"/>
      <c r="F102" s="287"/>
      <c r="G102" s="287"/>
      <c r="H102" s="287"/>
      <c r="I102" s="287"/>
      <c r="J102" s="287"/>
      <c r="K102" s="287"/>
      <c r="L102" s="287"/>
      <c r="M102" s="60"/>
      <c r="N102" s="60"/>
      <c r="O102" s="60"/>
      <c r="P102" s="60"/>
      <c r="Q102" s="60"/>
      <c r="R102" s="60"/>
      <c r="S102" s="60"/>
      <c r="T102" s="60"/>
      <c r="U102" s="60"/>
      <c r="V102" s="60"/>
      <c r="W102" s="60"/>
      <c r="X102" s="60"/>
      <c r="Y102" s="60"/>
      <c r="Z102" s="60"/>
    </row>
    <row r="103" spans="1:26" x14ac:dyDescent="0.2">
      <c r="A103" s="287"/>
      <c r="B103" s="287"/>
      <c r="C103" s="287"/>
      <c r="D103" s="287"/>
      <c r="E103" s="287"/>
      <c r="F103" s="287"/>
      <c r="G103" s="287"/>
      <c r="H103" s="287"/>
      <c r="I103" s="287"/>
      <c r="J103" s="287"/>
      <c r="K103" s="287"/>
      <c r="L103" s="287"/>
      <c r="M103" s="60"/>
      <c r="N103" s="60"/>
      <c r="O103" s="60"/>
      <c r="P103" s="60"/>
      <c r="Q103" s="60"/>
      <c r="R103" s="60"/>
      <c r="S103" s="60"/>
      <c r="T103" s="60"/>
      <c r="U103" s="60"/>
      <c r="V103" s="60"/>
      <c r="W103" s="60"/>
      <c r="X103" s="60"/>
      <c r="Y103" s="60"/>
      <c r="Z103" s="60"/>
    </row>
    <row r="104" spans="1:26" ht="15.75" x14ac:dyDescent="0.2">
      <c r="A104" s="287"/>
      <c r="B104" s="83">
        <f>IF(E108&lt;&gt;"",VLOOKUP(E108,GenderCode,2,FALSE),0)</f>
        <v>0</v>
      </c>
      <c r="C104" s="83">
        <v>6</v>
      </c>
      <c r="D104" s="110" t="str">
        <f>IF(B104=0,MsgNotUsed, CONCATENATE("Other population ", C104, ": ", E106,": ", E108, " (", E111, "-", J111, ")"))</f>
        <v>** NOT USED **</v>
      </c>
      <c r="E104" s="178"/>
      <c r="F104" s="178"/>
      <c r="G104" s="178"/>
      <c r="H104" s="178"/>
      <c r="I104" s="268"/>
      <c r="J104" s="178"/>
      <c r="K104" s="178"/>
      <c r="L104" s="178"/>
      <c r="M104" s="371"/>
      <c r="N104" s="371"/>
      <c r="O104" s="371"/>
      <c r="P104" s="371"/>
      <c r="Q104" s="371"/>
      <c r="R104" s="371"/>
      <c r="S104" s="371"/>
      <c r="T104" s="371"/>
      <c r="U104" s="371"/>
      <c r="V104" s="371"/>
      <c r="W104" s="371"/>
      <c r="X104" s="371"/>
      <c r="Y104" s="371"/>
      <c r="Z104" s="371"/>
    </row>
    <row r="105" spans="1:26" outlineLevel="1" x14ac:dyDescent="0.2">
      <c r="A105" s="287"/>
      <c r="B105" s="287"/>
      <c r="C105" s="287"/>
      <c r="D105" s="288"/>
      <c r="E105" s="288"/>
      <c r="F105" s="288"/>
      <c r="G105" s="288"/>
      <c r="H105" s="288"/>
      <c r="I105" s="288"/>
      <c r="J105" s="288"/>
      <c r="K105" s="288"/>
      <c r="L105" s="288"/>
      <c r="M105" s="59"/>
      <c r="N105" s="59"/>
      <c r="O105" s="59"/>
      <c r="P105" s="59"/>
      <c r="Q105" s="59"/>
      <c r="R105" s="59"/>
      <c r="S105" s="59"/>
      <c r="T105" s="59"/>
      <c r="U105" s="59"/>
      <c r="V105" s="59"/>
      <c r="W105" s="59"/>
      <c r="X105" s="59"/>
      <c r="Y105" s="59"/>
      <c r="Z105" s="59"/>
    </row>
    <row r="106" spans="1:26" outlineLevel="1" x14ac:dyDescent="0.2">
      <c r="A106" s="287"/>
      <c r="B106" s="287"/>
      <c r="C106" s="287"/>
      <c r="D106" s="58" t="s">
        <v>314</v>
      </c>
      <c r="E106" s="870"/>
      <c r="F106" s="871"/>
      <c r="G106" s="871"/>
      <c r="H106" s="871"/>
      <c r="I106" s="871"/>
      <c r="J106" s="872"/>
      <c r="K106" s="220"/>
      <c r="L106" s="58" t="s">
        <v>292</v>
      </c>
      <c r="M106" s="870"/>
      <c r="N106" s="871"/>
      <c r="O106" s="871"/>
      <c r="P106" s="871"/>
      <c r="Q106" s="871"/>
      <c r="R106" s="872"/>
      <c r="S106" s="59"/>
      <c r="T106" s="59"/>
      <c r="U106" s="59"/>
      <c r="V106" s="59"/>
      <c r="W106" s="59"/>
      <c r="X106" s="59"/>
      <c r="Y106" s="59"/>
      <c r="Z106" s="59"/>
    </row>
    <row r="107" spans="1:26" ht="14.25" outlineLevel="1" x14ac:dyDescent="0.2">
      <c r="A107" s="287"/>
      <c r="B107" s="287"/>
      <c r="C107" s="287"/>
      <c r="D107" s="209"/>
      <c r="E107" s="220"/>
      <c r="F107" s="220"/>
      <c r="G107" s="220"/>
      <c r="H107" s="220"/>
      <c r="I107" s="220"/>
      <c r="J107" s="220"/>
      <c r="K107" s="220"/>
      <c r="L107" s="288"/>
      <c r="M107" s="59"/>
      <c r="N107" s="59"/>
      <c r="O107" s="59"/>
      <c r="P107" s="59"/>
      <c r="Q107" s="59"/>
      <c r="R107" s="59"/>
      <c r="S107" s="59"/>
      <c r="T107" s="59"/>
      <c r="U107" s="59"/>
      <c r="V107" s="59"/>
      <c r="W107" s="59"/>
      <c r="X107" s="59"/>
      <c r="Y107" s="59"/>
      <c r="Z107" s="59"/>
    </row>
    <row r="108" spans="1:26" outlineLevel="1" x14ac:dyDescent="0.2">
      <c r="A108" s="287"/>
      <c r="B108" s="287"/>
      <c r="C108" s="287"/>
      <c r="D108" s="114" t="s">
        <v>52</v>
      </c>
      <c r="E108" s="107"/>
      <c r="F108" s="220"/>
      <c r="G108" s="220"/>
      <c r="H108" s="287"/>
      <c r="I108" s="114" t="s">
        <v>405</v>
      </c>
      <c r="J108" s="107"/>
      <c r="K108" s="220"/>
      <c r="L108" s="288"/>
      <c r="M108" s="59"/>
      <c r="N108" s="59"/>
      <c r="O108" s="59"/>
      <c r="P108" s="59"/>
      <c r="Q108" s="59"/>
      <c r="R108" s="59"/>
      <c r="S108" s="59"/>
      <c r="T108" s="59"/>
      <c r="U108" s="59"/>
      <c r="V108" s="59"/>
      <c r="W108" s="59"/>
      <c r="X108" s="59"/>
      <c r="Y108" s="59"/>
      <c r="Z108" s="59"/>
    </row>
    <row r="109" spans="1:26" outlineLevel="1" x14ac:dyDescent="0.2">
      <c r="A109" s="287"/>
      <c r="B109" s="287"/>
      <c r="C109" s="287"/>
      <c r="D109" s="6"/>
      <c r="E109" s="220"/>
      <c r="F109" s="220"/>
      <c r="G109" s="220"/>
      <c r="H109" s="220"/>
      <c r="I109" s="220"/>
      <c r="J109" s="220"/>
      <c r="K109" s="220"/>
      <c r="L109" s="288"/>
      <c r="M109" s="59"/>
      <c r="N109" s="59"/>
      <c r="O109" s="59"/>
      <c r="P109" s="59"/>
      <c r="Q109" s="59"/>
      <c r="R109" s="59"/>
      <c r="S109" s="59"/>
      <c r="T109" s="59"/>
      <c r="U109" s="59"/>
      <c r="V109" s="59"/>
      <c r="W109" s="59"/>
      <c r="X109" s="59"/>
      <c r="Y109" s="59"/>
      <c r="Z109" s="59"/>
    </row>
    <row r="110" spans="1:26" outlineLevel="1" x14ac:dyDescent="0.2">
      <c r="A110" s="287"/>
      <c r="B110" s="287"/>
      <c r="C110" s="287"/>
      <c r="D110" s="220"/>
      <c r="E110" s="195" t="s">
        <v>289</v>
      </c>
      <c r="F110" s="220"/>
      <c r="G110" s="220"/>
      <c r="H110" s="220"/>
      <c r="I110" s="220"/>
      <c r="J110" s="220"/>
      <c r="K110" s="220"/>
      <c r="L110" s="288"/>
      <c r="M110" s="59"/>
      <c r="N110" s="59"/>
      <c r="O110" s="59"/>
      <c r="P110" s="59"/>
      <c r="Q110" s="59"/>
      <c r="R110" s="59"/>
      <c r="S110" s="59"/>
      <c r="T110" s="59"/>
      <c r="U110" s="59"/>
      <c r="V110" s="59"/>
      <c r="W110" s="59"/>
      <c r="X110" s="59"/>
      <c r="Y110" s="59"/>
      <c r="Z110" s="59"/>
    </row>
    <row r="111" spans="1:26" outlineLevel="1" x14ac:dyDescent="0.2">
      <c r="A111" s="287"/>
      <c r="B111" s="287"/>
      <c r="C111" s="287"/>
      <c r="D111" s="6"/>
      <c r="E111" s="108">
        <f>IF(J108&lt;&gt;"",J108,FirstYear)</f>
        <v>0</v>
      </c>
      <c r="F111" s="112">
        <f>E111+1</f>
        <v>1</v>
      </c>
      <c r="G111" s="112">
        <f>F111+1</f>
        <v>2</v>
      </c>
      <c r="H111" s="112">
        <f>G111+1</f>
        <v>3</v>
      </c>
      <c r="I111" s="112">
        <f>H111+1</f>
        <v>4</v>
      </c>
      <c r="J111" s="112">
        <f>I111+1</f>
        <v>5</v>
      </c>
      <c r="K111" s="220"/>
      <c r="L111" s="288"/>
      <c r="M111" s="59"/>
      <c r="N111" s="59"/>
      <c r="O111" s="59"/>
      <c r="P111" s="59"/>
      <c r="Q111" s="59"/>
      <c r="R111" s="59"/>
      <c r="S111" s="59"/>
      <c r="T111" s="59"/>
      <c r="U111" s="59"/>
      <c r="V111" s="59"/>
      <c r="W111" s="59"/>
      <c r="X111" s="59"/>
      <c r="Y111" s="59"/>
      <c r="Z111" s="59"/>
    </row>
    <row r="112" spans="1:26" outlineLevel="1" x14ac:dyDescent="0.2">
      <c r="A112" s="287"/>
      <c r="B112" s="287"/>
      <c r="C112" s="287"/>
      <c r="D112" s="220"/>
      <c r="E112" s="86">
        <f>IF($B$104&lt;&gt;0,VLOOKUP($B$104,$C$116:$J$118,E113),0)</f>
        <v>0</v>
      </c>
      <c r="F112" s="86">
        <f t="shared" ref="F112:J112" si="41">IF($B$104&lt;&gt;0,VLOOKUP($B$104,$C$116:$J$118,F113),0)</f>
        <v>0</v>
      </c>
      <c r="G112" s="86">
        <f t="shared" si="41"/>
        <v>0</v>
      </c>
      <c r="H112" s="86">
        <f t="shared" si="41"/>
        <v>0</v>
      </c>
      <c r="I112" s="86">
        <f t="shared" si="41"/>
        <v>0</v>
      </c>
      <c r="J112" s="86">
        <f t="shared" si="41"/>
        <v>0</v>
      </c>
      <c r="K112" s="220"/>
      <c r="L112" s="288"/>
      <c r="M112" s="59"/>
      <c r="N112" s="59"/>
      <c r="O112" s="59"/>
      <c r="P112" s="59"/>
      <c r="Q112" s="59"/>
      <c r="R112" s="59"/>
      <c r="S112" s="59"/>
      <c r="T112" s="59"/>
      <c r="U112" s="59"/>
      <c r="V112" s="59"/>
      <c r="W112" s="59"/>
      <c r="X112" s="59"/>
      <c r="Y112" s="59"/>
      <c r="Z112" s="59"/>
    </row>
    <row r="113" spans="1:26" outlineLevel="1" x14ac:dyDescent="0.2">
      <c r="A113" s="287"/>
      <c r="B113" s="287"/>
      <c r="C113" s="287"/>
      <c r="D113" s="220"/>
      <c r="E113" s="269">
        <v>3</v>
      </c>
      <c r="F113" s="269">
        <v>4</v>
      </c>
      <c r="G113" s="269">
        <v>5</v>
      </c>
      <c r="H113" s="269">
        <v>6</v>
      </c>
      <c r="I113" s="269">
        <v>7</v>
      </c>
      <c r="J113" s="269">
        <v>8</v>
      </c>
      <c r="K113" s="220"/>
      <c r="L113" s="288"/>
      <c r="M113" s="59"/>
      <c r="N113" s="59"/>
      <c r="O113" s="59"/>
      <c r="P113" s="59"/>
      <c r="Q113" s="59"/>
      <c r="R113" s="59"/>
      <c r="S113" s="59"/>
      <c r="T113" s="59"/>
      <c r="U113" s="59"/>
      <c r="V113" s="59"/>
      <c r="W113" s="59"/>
      <c r="X113" s="59"/>
      <c r="Y113" s="59"/>
      <c r="Z113" s="59"/>
    </row>
    <row r="114" spans="1:26" outlineLevel="1" x14ac:dyDescent="0.2">
      <c r="A114" s="287"/>
      <c r="B114" s="287"/>
      <c r="C114" s="287"/>
      <c r="D114" s="46" t="s">
        <v>362</v>
      </c>
      <c r="E114" s="108">
        <f t="shared" ref="E114:J114" si="42">E111</f>
        <v>0</v>
      </c>
      <c r="F114" s="108">
        <f t="shared" si="42"/>
        <v>1</v>
      </c>
      <c r="G114" s="108">
        <f t="shared" si="42"/>
        <v>2</v>
      </c>
      <c r="H114" s="108">
        <f t="shared" si="42"/>
        <v>3</v>
      </c>
      <c r="I114" s="108">
        <f t="shared" si="42"/>
        <v>4</v>
      </c>
      <c r="J114" s="108">
        <f t="shared" si="42"/>
        <v>5</v>
      </c>
      <c r="K114" s="220"/>
      <c r="L114" s="287"/>
      <c r="M114" s="60"/>
      <c r="N114" s="60"/>
      <c r="O114" s="60"/>
      <c r="P114" s="60"/>
      <c r="Q114" s="60"/>
      <c r="R114" s="60"/>
      <c r="S114" s="60"/>
      <c r="T114" s="60"/>
      <c r="U114" s="60"/>
      <c r="V114" s="60"/>
      <c r="W114" s="60"/>
      <c r="X114" s="60"/>
      <c r="Y114" s="60"/>
      <c r="Z114" s="60"/>
    </row>
    <row r="115" spans="1:26" outlineLevel="1" x14ac:dyDescent="0.2">
      <c r="A115" s="287"/>
      <c r="B115" s="287"/>
      <c r="D115" s="270" t="s">
        <v>274</v>
      </c>
      <c r="E115" s="86">
        <f>IF(OR(E116="",E116=0),SUM(E117:E118),E116)</f>
        <v>0</v>
      </c>
      <c r="F115" s="86">
        <f t="shared" ref="F115" si="43">IF(OR(F116="",F116=0),SUM(F117:F118),F116)</f>
        <v>0</v>
      </c>
      <c r="G115" s="86">
        <f t="shared" ref="G115" si="44">IF(OR(G116="",G116=0),SUM(G117:G118),G116)</f>
        <v>0</v>
      </c>
      <c r="H115" s="86">
        <f t="shared" ref="H115" si="45">IF(OR(H116="",H116=0),SUM(H117:H118),H116)</f>
        <v>0</v>
      </c>
      <c r="I115" s="86">
        <f t="shared" ref="I115" si="46">IF(OR(I116="",I116=0),SUM(I117:I118),I116)</f>
        <v>0</v>
      </c>
      <c r="J115" s="86">
        <f t="shared" ref="J115" si="47">IF(OR(J116="",J116=0),SUM(J117:J118),J116)</f>
        <v>0</v>
      </c>
      <c r="K115" s="220"/>
      <c r="L115" s="287"/>
      <c r="M115" s="60"/>
      <c r="N115" s="60"/>
      <c r="O115" s="60"/>
      <c r="P115" s="60"/>
      <c r="Q115" s="60"/>
      <c r="R115" s="60"/>
      <c r="S115" s="60"/>
      <c r="T115" s="60"/>
      <c r="U115" s="60"/>
      <c r="V115" s="60"/>
      <c r="W115" s="60"/>
      <c r="X115" s="60"/>
      <c r="Y115" s="60"/>
      <c r="Z115" s="60"/>
    </row>
    <row r="116" spans="1:26" outlineLevel="1" x14ac:dyDescent="0.2">
      <c r="A116" s="287"/>
      <c r="B116" s="287"/>
      <c r="C116" s="212">
        <v>1</v>
      </c>
      <c r="D116" s="270" t="s">
        <v>406</v>
      </c>
      <c r="E116" s="65"/>
      <c r="F116" s="65"/>
      <c r="G116" s="65"/>
      <c r="H116" s="65"/>
      <c r="I116" s="65"/>
      <c r="J116" s="65"/>
      <c r="K116" s="220"/>
      <c r="L116" s="287"/>
      <c r="M116" s="60"/>
      <c r="N116" s="60"/>
      <c r="O116" s="60"/>
      <c r="P116" s="60"/>
      <c r="Q116" s="60"/>
      <c r="R116" s="60"/>
      <c r="S116" s="60"/>
      <c r="T116" s="60"/>
      <c r="U116" s="60"/>
      <c r="V116" s="60"/>
      <c r="W116" s="60"/>
      <c r="X116" s="60"/>
      <c r="Y116" s="60"/>
      <c r="Z116" s="60"/>
    </row>
    <row r="117" spans="1:26" outlineLevel="1" x14ac:dyDescent="0.2">
      <c r="A117" s="287"/>
      <c r="B117" s="287"/>
      <c r="C117" s="212">
        <v>2</v>
      </c>
      <c r="D117" s="270" t="s">
        <v>277</v>
      </c>
      <c r="E117" s="65"/>
      <c r="F117" s="65"/>
      <c r="G117" s="65"/>
      <c r="H117" s="65"/>
      <c r="I117" s="65"/>
      <c r="J117" s="65"/>
      <c r="K117" s="220"/>
      <c r="L117" s="287"/>
      <c r="M117" s="60"/>
      <c r="N117" s="60"/>
      <c r="O117" s="60"/>
      <c r="P117" s="60"/>
      <c r="Q117" s="60"/>
      <c r="R117" s="60"/>
      <c r="S117" s="60"/>
      <c r="T117" s="60"/>
      <c r="U117" s="60"/>
      <c r="V117" s="60"/>
      <c r="W117" s="60"/>
      <c r="X117" s="60"/>
      <c r="Y117" s="60"/>
      <c r="Z117" s="60"/>
    </row>
    <row r="118" spans="1:26" outlineLevel="1" x14ac:dyDescent="0.2">
      <c r="A118" s="287"/>
      <c r="B118" s="287"/>
      <c r="C118" s="212">
        <v>3</v>
      </c>
      <c r="D118" s="270" t="s">
        <v>278</v>
      </c>
      <c r="E118" s="65"/>
      <c r="F118" s="65"/>
      <c r="G118" s="65"/>
      <c r="H118" s="65"/>
      <c r="I118" s="65"/>
      <c r="J118" s="65"/>
      <c r="K118" s="220"/>
      <c r="L118" s="287"/>
      <c r="M118" s="60"/>
      <c r="N118" s="60"/>
      <c r="O118" s="60"/>
      <c r="P118" s="60"/>
      <c r="Q118" s="60"/>
      <c r="R118" s="60"/>
      <c r="S118" s="60"/>
      <c r="T118" s="60"/>
      <c r="U118" s="60"/>
      <c r="V118" s="60"/>
      <c r="W118" s="60"/>
      <c r="X118" s="60"/>
      <c r="Y118" s="60"/>
      <c r="Z118" s="60"/>
    </row>
    <row r="119" spans="1:26" outlineLevel="1" x14ac:dyDescent="0.2">
      <c r="A119" s="287"/>
      <c r="B119" s="287"/>
      <c r="C119" s="287"/>
      <c r="D119" s="287"/>
      <c r="E119" s="287"/>
      <c r="F119" s="287"/>
      <c r="G119" s="287"/>
      <c r="H119" s="287"/>
      <c r="I119" s="287"/>
      <c r="J119" s="287"/>
      <c r="K119" s="287"/>
      <c r="L119" s="287"/>
      <c r="M119" s="60"/>
      <c r="N119" s="60"/>
      <c r="O119" s="60"/>
      <c r="P119" s="60"/>
      <c r="Q119" s="60"/>
      <c r="R119" s="60"/>
      <c r="S119" s="60"/>
      <c r="T119" s="60"/>
      <c r="U119" s="60"/>
      <c r="V119" s="60"/>
      <c r="W119" s="60"/>
      <c r="X119" s="60"/>
      <c r="Y119" s="60"/>
      <c r="Z119" s="60"/>
    </row>
    <row r="120" spans="1:26" x14ac:dyDescent="0.2">
      <c r="A120" s="287"/>
      <c r="B120" s="287"/>
      <c r="C120" s="287"/>
      <c r="D120" s="287"/>
      <c r="E120" s="287"/>
      <c r="F120" s="287"/>
      <c r="G120" s="287"/>
      <c r="H120" s="287"/>
      <c r="I120" s="287"/>
      <c r="J120" s="287"/>
      <c r="K120" s="287"/>
      <c r="L120" s="287"/>
      <c r="M120" s="60"/>
      <c r="N120" s="60"/>
      <c r="O120" s="60"/>
      <c r="P120" s="60"/>
      <c r="Q120" s="60"/>
      <c r="R120" s="60"/>
      <c r="S120" s="60"/>
      <c r="T120" s="60"/>
      <c r="U120" s="60"/>
      <c r="V120" s="60"/>
      <c r="W120" s="60"/>
      <c r="X120" s="60"/>
      <c r="Y120" s="60"/>
      <c r="Z120" s="60"/>
    </row>
    <row r="121" spans="1:26" ht="15.75" x14ac:dyDescent="0.2">
      <c r="A121" s="287"/>
      <c r="B121" s="83">
        <f>IF(E125&lt;&gt;"",VLOOKUP(E125,GenderCode,2,FALSE),0)</f>
        <v>0</v>
      </c>
      <c r="C121" s="83">
        <v>7</v>
      </c>
      <c r="D121" s="110" t="str">
        <f>IF(B121=0,MsgNotUsed, CONCATENATE("Other population ", C121, ": ", E123,": ", E125, " (", E128, "-", J128, ")"))</f>
        <v>** NOT USED **</v>
      </c>
      <c r="E121" s="178"/>
      <c r="F121" s="178"/>
      <c r="G121" s="178"/>
      <c r="H121" s="178"/>
      <c r="I121" s="268"/>
      <c r="J121" s="178"/>
      <c r="K121" s="178"/>
      <c r="L121" s="178"/>
      <c r="M121" s="371"/>
      <c r="N121" s="371"/>
      <c r="O121" s="371"/>
      <c r="P121" s="371"/>
      <c r="Q121" s="371"/>
      <c r="R121" s="371"/>
      <c r="S121" s="371"/>
      <c r="T121" s="371"/>
      <c r="U121" s="371"/>
      <c r="V121" s="371"/>
      <c r="W121" s="371"/>
      <c r="X121" s="371"/>
      <c r="Y121" s="371"/>
      <c r="Z121" s="371"/>
    </row>
    <row r="122" spans="1:26" outlineLevel="1" x14ac:dyDescent="0.2">
      <c r="A122" s="287"/>
      <c r="B122" s="287"/>
      <c r="C122" s="287"/>
      <c r="D122" s="288"/>
      <c r="E122" s="288"/>
      <c r="F122" s="288"/>
      <c r="G122" s="288"/>
      <c r="H122" s="288"/>
      <c r="I122" s="288"/>
      <c r="J122" s="288"/>
      <c r="K122" s="288"/>
      <c r="L122" s="288"/>
      <c r="M122" s="59"/>
      <c r="N122" s="59"/>
      <c r="O122" s="59"/>
      <c r="P122" s="59"/>
      <c r="Q122" s="59"/>
      <c r="R122" s="59"/>
      <c r="S122" s="59"/>
      <c r="T122" s="59"/>
      <c r="U122" s="59"/>
      <c r="V122" s="59"/>
      <c r="W122" s="59"/>
      <c r="X122" s="59"/>
      <c r="Y122" s="59"/>
      <c r="Z122" s="59"/>
    </row>
    <row r="123" spans="1:26" outlineLevel="1" x14ac:dyDescent="0.2">
      <c r="A123" s="287"/>
      <c r="B123" s="287"/>
      <c r="C123" s="287"/>
      <c r="D123" s="58" t="s">
        <v>314</v>
      </c>
      <c r="E123" s="870"/>
      <c r="F123" s="871"/>
      <c r="G123" s="871"/>
      <c r="H123" s="871"/>
      <c r="I123" s="871"/>
      <c r="J123" s="872"/>
      <c r="K123" s="220"/>
      <c r="L123" s="58" t="s">
        <v>292</v>
      </c>
      <c r="M123" s="870"/>
      <c r="N123" s="871"/>
      <c r="O123" s="871"/>
      <c r="P123" s="871"/>
      <c r="Q123" s="871"/>
      <c r="R123" s="872"/>
      <c r="S123" s="59"/>
      <c r="T123" s="59"/>
      <c r="U123" s="59"/>
      <c r="V123" s="59"/>
      <c r="W123" s="59"/>
      <c r="X123" s="59"/>
      <c r="Y123" s="59"/>
      <c r="Z123" s="59"/>
    </row>
    <row r="124" spans="1:26" ht="14.25" outlineLevel="1" x14ac:dyDescent="0.2">
      <c r="A124" s="287"/>
      <c r="B124" s="287"/>
      <c r="C124" s="287"/>
      <c r="D124" s="209"/>
      <c r="E124" s="220"/>
      <c r="F124" s="220"/>
      <c r="G124" s="220"/>
      <c r="H124" s="220"/>
      <c r="I124" s="220"/>
      <c r="J124" s="220"/>
      <c r="K124" s="220"/>
      <c r="L124" s="288"/>
      <c r="M124" s="59"/>
      <c r="N124" s="59"/>
      <c r="O124" s="59"/>
      <c r="P124" s="59"/>
      <c r="Q124" s="59"/>
      <c r="R124" s="59"/>
      <c r="S124" s="59"/>
      <c r="T124" s="59"/>
      <c r="U124" s="59"/>
      <c r="V124" s="59"/>
      <c r="W124" s="59"/>
      <c r="X124" s="59"/>
      <c r="Y124" s="59"/>
      <c r="Z124" s="59"/>
    </row>
    <row r="125" spans="1:26" outlineLevel="1" x14ac:dyDescent="0.2">
      <c r="A125" s="287"/>
      <c r="B125" s="287"/>
      <c r="C125" s="287"/>
      <c r="D125" s="114" t="s">
        <v>52</v>
      </c>
      <c r="E125" s="107"/>
      <c r="F125" s="220"/>
      <c r="G125" s="220"/>
      <c r="H125" s="287"/>
      <c r="I125" s="114" t="s">
        <v>405</v>
      </c>
      <c r="J125" s="107"/>
      <c r="K125" s="220"/>
      <c r="L125" s="288"/>
      <c r="M125" s="59"/>
      <c r="N125" s="59"/>
      <c r="O125" s="59"/>
      <c r="P125" s="59"/>
      <c r="Q125" s="59"/>
      <c r="R125" s="59"/>
      <c r="S125" s="59"/>
      <c r="T125" s="59"/>
      <c r="U125" s="59"/>
      <c r="V125" s="59"/>
      <c r="W125" s="59"/>
      <c r="X125" s="59"/>
      <c r="Y125" s="59"/>
      <c r="Z125" s="59"/>
    </row>
    <row r="126" spans="1:26" outlineLevel="1" x14ac:dyDescent="0.2">
      <c r="A126" s="287"/>
      <c r="B126" s="287"/>
      <c r="C126" s="287"/>
      <c r="D126" s="6"/>
      <c r="E126" s="220"/>
      <c r="F126" s="220"/>
      <c r="G126" s="220"/>
      <c r="H126" s="220"/>
      <c r="I126" s="220"/>
      <c r="J126" s="220"/>
      <c r="K126" s="220"/>
      <c r="L126" s="288"/>
      <c r="M126" s="59"/>
      <c r="N126" s="59"/>
      <c r="O126" s="59"/>
      <c r="P126" s="59"/>
      <c r="Q126" s="59"/>
      <c r="R126" s="59"/>
      <c r="S126" s="59"/>
      <c r="T126" s="59"/>
      <c r="U126" s="59"/>
      <c r="V126" s="59"/>
      <c r="W126" s="59"/>
      <c r="X126" s="59"/>
      <c r="Y126" s="59"/>
      <c r="Z126" s="59"/>
    </row>
    <row r="127" spans="1:26" outlineLevel="1" x14ac:dyDescent="0.2">
      <c r="A127" s="287"/>
      <c r="B127" s="287"/>
      <c r="C127" s="287"/>
      <c r="D127" s="220"/>
      <c r="E127" s="195" t="s">
        <v>289</v>
      </c>
      <c r="F127" s="220"/>
      <c r="G127" s="220"/>
      <c r="H127" s="220"/>
      <c r="I127" s="220"/>
      <c r="J127" s="220"/>
      <c r="K127" s="220"/>
      <c r="L127" s="288"/>
      <c r="M127" s="59"/>
      <c r="N127" s="59"/>
      <c r="O127" s="59"/>
      <c r="P127" s="59"/>
      <c r="Q127" s="59"/>
      <c r="R127" s="59"/>
      <c r="S127" s="59"/>
      <c r="T127" s="59"/>
      <c r="U127" s="59"/>
      <c r="V127" s="59"/>
      <c r="W127" s="59"/>
      <c r="X127" s="59"/>
      <c r="Y127" s="59"/>
      <c r="Z127" s="59"/>
    </row>
    <row r="128" spans="1:26" outlineLevel="1" x14ac:dyDescent="0.2">
      <c r="A128" s="287"/>
      <c r="B128" s="287"/>
      <c r="C128" s="287"/>
      <c r="D128" s="6"/>
      <c r="E128" s="108">
        <f>IF(J125&lt;&gt;"",J125,FirstYear)</f>
        <v>0</v>
      </c>
      <c r="F128" s="112">
        <f>E128+1</f>
        <v>1</v>
      </c>
      <c r="G128" s="112">
        <f>F128+1</f>
        <v>2</v>
      </c>
      <c r="H128" s="112">
        <f>G128+1</f>
        <v>3</v>
      </c>
      <c r="I128" s="112">
        <f>H128+1</f>
        <v>4</v>
      </c>
      <c r="J128" s="112">
        <f>I128+1</f>
        <v>5</v>
      </c>
      <c r="K128" s="220"/>
      <c r="L128" s="288"/>
      <c r="M128" s="59"/>
      <c r="N128" s="59"/>
      <c r="O128" s="59"/>
      <c r="P128" s="59"/>
      <c r="Q128" s="59"/>
      <c r="R128" s="59"/>
      <c r="S128" s="59"/>
      <c r="T128" s="59"/>
      <c r="U128" s="59"/>
      <c r="V128" s="59"/>
      <c r="W128" s="59"/>
      <c r="X128" s="59"/>
      <c r="Y128" s="59"/>
      <c r="Z128" s="59"/>
    </row>
    <row r="129" spans="1:26" outlineLevel="1" x14ac:dyDescent="0.2">
      <c r="A129" s="287"/>
      <c r="B129" s="287"/>
      <c r="C129" s="287"/>
      <c r="D129" s="220"/>
      <c r="E129" s="86">
        <f>IF($B$121&lt;&gt;0,VLOOKUP($B$121,$C$133:$J$135,E130),0)</f>
        <v>0</v>
      </c>
      <c r="F129" s="86">
        <f t="shared" ref="F129:J129" si="48">IF($B$121&lt;&gt;0,VLOOKUP($B$121,$C$133:$J$135,F130),0)</f>
        <v>0</v>
      </c>
      <c r="G129" s="86">
        <f t="shared" si="48"/>
        <v>0</v>
      </c>
      <c r="H129" s="86">
        <f t="shared" si="48"/>
        <v>0</v>
      </c>
      <c r="I129" s="86">
        <f t="shared" si="48"/>
        <v>0</v>
      </c>
      <c r="J129" s="86">
        <f t="shared" si="48"/>
        <v>0</v>
      </c>
      <c r="K129" s="220"/>
      <c r="L129" s="288"/>
      <c r="M129" s="59"/>
      <c r="N129" s="59"/>
      <c r="O129" s="59"/>
      <c r="P129" s="59"/>
      <c r="Q129" s="59"/>
      <c r="R129" s="59"/>
      <c r="S129" s="59"/>
      <c r="T129" s="59"/>
      <c r="U129" s="59"/>
      <c r="V129" s="59"/>
      <c r="W129" s="59"/>
      <c r="X129" s="59"/>
      <c r="Y129" s="59"/>
      <c r="Z129" s="59"/>
    </row>
    <row r="130" spans="1:26" outlineLevel="1" x14ac:dyDescent="0.2">
      <c r="A130" s="287"/>
      <c r="B130" s="287"/>
      <c r="C130" s="287"/>
      <c r="D130" s="220"/>
      <c r="E130" s="269">
        <v>3</v>
      </c>
      <c r="F130" s="269">
        <v>4</v>
      </c>
      <c r="G130" s="269">
        <v>5</v>
      </c>
      <c r="H130" s="269">
        <v>6</v>
      </c>
      <c r="I130" s="269">
        <v>7</v>
      </c>
      <c r="J130" s="269">
        <v>8</v>
      </c>
      <c r="K130" s="220"/>
      <c r="L130" s="288"/>
      <c r="M130" s="59"/>
      <c r="N130" s="59"/>
      <c r="O130" s="59"/>
      <c r="P130" s="59"/>
      <c r="Q130" s="59"/>
      <c r="R130" s="59"/>
      <c r="S130" s="59"/>
      <c r="T130" s="59"/>
      <c r="U130" s="59"/>
      <c r="V130" s="59"/>
      <c r="W130" s="59"/>
      <c r="X130" s="59"/>
      <c r="Y130" s="59"/>
      <c r="Z130" s="59"/>
    </row>
    <row r="131" spans="1:26" outlineLevel="1" x14ac:dyDescent="0.2">
      <c r="A131" s="287"/>
      <c r="B131" s="287"/>
      <c r="C131" s="287"/>
      <c r="D131" s="46" t="s">
        <v>362</v>
      </c>
      <c r="E131" s="108">
        <f t="shared" ref="E131:J131" si="49">E128</f>
        <v>0</v>
      </c>
      <c r="F131" s="108">
        <f t="shared" si="49"/>
        <v>1</v>
      </c>
      <c r="G131" s="108">
        <f t="shared" si="49"/>
        <v>2</v>
      </c>
      <c r="H131" s="108">
        <f t="shared" si="49"/>
        <v>3</v>
      </c>
      <c r="I131" s="108">
        <f t="shared" si="49"/>
        <v>4</v>
      </c>
      <c r="J131" s="108">
        <f t="shared" si="49"/>
        <v>5</v>
      </c>
      <c r="K131" s="220"/>
      <c r="L131" s="287"/>
      <c r="M131" s="60"/>
      <c r="N131" s="60"/>
      <c r="O131" s="60"/>
      <c r="P131" s="60"/>
      <c r="Q131" s="60"/>
      <c r="R131" s="60"/>
      <c r="S131" s="60"/>
      <c r="T131" s="60"/>
      <c r="U131" s="60"/>
      <c r="V131" s="60"/>
      <c r="W131" s="60"/>
      <c r="X131" s="60"/>
      <c r="Y131" s="60"/>
      <c r="Z131" s="60"/>
    </row>
    <row r="132" spans="1:26" outlineLevel="1" x14ac:dyDescent="0.2">
      <c r="A132" s="287"/>
      <c r="B132" s="287"/>
      <c r="D132" s="270" t="s">
        <v>274</v>
      </c>
      <c r="E132" s="86">
        <f>IF(OR(E133="",E133=0),SUM(E134:E135),E133)</f>
        <v>0</v>
      </c>
      <c r="F132" s="86">
        <f t="shared" ref="F132" si="50">IF(OR(F133="",F133=0),SUM(F134:F135),F133)</f>
        <v>0</v>
      </c>
      <c r="G132" s="86">
        <f t="shared" ref="G132" si="51">IF(OR(G133="",G133=0),SUM(G134:G135),G133)</f>
        <v>0</v>
      </c>
      <c r="H132" s="86">
        <f t="shared" ref="H132" si="52">IF(OR(H133="",H133=0),SUM(H134:H135),H133)</f>
        <v>0</v>
      </c>
      <c r="I132" s="86">
        <f t="shared" ref="I132" si="53">IF(OR(I133="",I133=0),SUM(I134:I135),I133)</f>
        <v>0</v>
      </c>
      <c r="J132" s="86">
        <f t="shared" ref="J132" si="54">IF(OR(J133="",J133=0),SUM(J134:J135),J133)</f>
        <v>0</v>
      </c>
      <c r="K132" s="220"/>
      <c r="L132" s="287"/>
      <c r="M132" s="60"/>
      <c r="N132" s="60"/>
      <c r="O132" s="60"/>
      <c r="P132" s="60"/>
      <c r="Q132" s="60"/>
      <c r="R132" s="60"/>
      <c r="S132" s="60"/>
      <c r="T132" s="60"/>
      <c r="U132" s="60"/>
      <c r="V132" s="60"/>
      <c r="W132" s="60"/>
      <c r="X132" s="60"/>
      <c r="Y132" s="60"/>
      <c r="Z132" s="60"/>
    </row>
    <row r="133" spans="1:26" outlineLevel="1" x14ac:dyDescent="0.2">
      <c r="A133" s="287"/>
      <c r="B133" s="287"/>
      <c r="C133" s="212">
        <v>1</v>
      </c>
      <c r="D133" s="270" t="s">
        <v>406</v>
      </c>
      <c r="E133" s="65"/>
      <c r="F133" s="65"/>
      <c r="G133" s="65"/>
      <c r="H133" s="65"/>
      <c r="I133" s="65"/>
      <c r="J133" s="65"/>
      <c r="K133" s="220"/>
      <c r="L133" s="287"/>
      <c r="M133" s="60"/>
      <c r="N133" s="60"/>
      <c r="O133" s="60"/>
      <c r="P133" s="60"/>
      <c r="Q133" s="60"/>
      <c r="R133" s="60"/>
      <c r="S133" s="60"/>
      <c r="T133" s="60"/>
      <c r="U133" s="60"/>
      <c r="V133" s="60"/>
      <c r="W133" s="60"/>
      <c r="X133" s="60"/>
      <c r="Y133" s="60"/>
      <c r="Z133" s="60"/>
    </row>
    <row r="134" spans="1:26" outlineLevel="1" x14ac:dyDescent="0.2">
      <c r="A134" s="287"/>
      <c r="B134" s="287"/>
      <c r="C134" s="212">
        <v>2</v>
      </c>
      <c r="D134" s="270" t="s">
        <v>277</v>
      </c>
      <c r="E134" s="65"/>
      <c r="F134" s="65"/>
      <c r="G134" s="65"/>
      <c r="H134" s="65"/>
      <c r="I134" s="65"/>
      <c r="J134" s="65"/>
      <c r="K134" s="220"/>
      <c r="L134" s="287"/>
      <c r="M134" s="60"/>
      <c r="N134" s="60"/>
      <c r="O134" s="60"/>
      <c r="P134" s="60"/>
      <c r="Q134" s="60"/>
      <c r="R134" s="60"/>
      <c r="S134" s="60"/>
      <c r="T134" s="60"/>
      <c r="U134" s="60"/>
      <c r="V134" s="60"/>
      <c r="W134" s="60"/>
      <c r="X134" s="60"/>
      <c r="Y134" s="60"/>
      <c r="Z134" s="60"/>
    </row>
    <row r="135" spans="1:26" outlineLevel="1" x14ac:dyDescent="0.2">
      <c r="A135" s="287"/>
      <c r="B135" s="287"/>
      <c r="C135" s="212">
        <v>3</v>
      </c>
      <c r="D135" s="270" t="s">
        <v>278</v>
      </c>
      <c r="E135" s="65"/>
      <c r="F135" s="65"/>
      <c r="G135" s="65"/>
      <c r="H135" s="65"/>
      <c r="I135" s="65"/>
      <c r="J135" s="65"/>
      <c r="K135" s="220"/>
      <c r="L135" s="287"/>
      <c r="M135" s="60"/>
      <c r="N135" s="60"/>
      <c r="O135" s="60"/>
      <c r="P135" s="60"/>
      <c r="Q135" s="60"/>
      <c r="R135" s="60"/>
      <c r="S135" s="60"/>
      <c r="T135" s="60"/>
      <c r="U135" s="60"/>
      <c r="V135" s="60"/>
      <c r="W135" s="60"/>
      <c r="X135" s="60"/>
      <c r="Y135" s="60"/>
      <c r="Z135" s="60"/>
    </row>
    <row r="136" spans="1:26" outlineLevel="1" x14ac:dyDescent="0.2">
      <c r="A136" s="287"/>
      <c r="B136" s="287"/>
      <c r="C136" s="287"/>
      <c r="D136" s="287"/>
      <c r="E136" s="287"/>
      <c r="F136" s="287"/>
      <c r="G136" s="287"/>
      <c r="H136" s="287"/>
      <c r="I136" s="287"/>
      <c r="J136" s="287"/>
      <c r="K136" s="287"/>
      <c r="L136" s="287"/>
      <c r="M136" s="60"/>
      <c r="N136" s="60"/>
      <c r="O136" s="60"/>
      <c r="P136" s="60"/>
      <c r="Q136" s="60"/>
      <c r="R136" s="60"/>
      <c r="S136" s="60"/>
      <c r="T136" s="60"/>
      <c r="U136" s="60"/>
      <c r="V136" s="60"/>
      <c r="W136" s="60"/>
      <c r="X136" s="60"/>
      <c r="Y136" s="60"/>
      <c r="Z136" s="60"/>
    </row>
    <row r="137" spans="1:26" x14ac:dyDescent="0.2">
      <c r="A137" s="287"/>
      <c r="B137" s="287"/>
      <c r="C137" s="287"/>
      <c r="D137" s="287"/>
      <c r="E137" s="287"/>
      <c r="F137" s="287"/>
      <c r="G137" s="287"/>
      <c r="H137" s="287"/>
      <c r="I137" s="287"/>
      <c r="J137" s="287"/>
      <c r="K137" s="287"/>
      <c r="L137" s="287"/>
      <c r="M137" s="60"/>
      <c r="N137" s="60"/>
      <c r="O137" s="60"/>
      <c r="P137" s="60"/>
      <c r="Q137" s="60"/>
      <c r="R137" s="60"/>
      <c r="S137" s="60"/>
      <c r="T137" s="60"/>
      <c r="U137" s="60"/>
      <c r="V137" s="60"/>
      <c r="W137" s="60"/>
      <c r="X137" s="60"/>
      <c r="Y137" s="60"/>
      <c r="Z137" s="60"/>
    </row>
    <row r="138" spans="1:26" ht="15.75" x14ac:dyDescent="0.2">
      <c r="A138" s="287"/>
      <c r="B138" s="83">
        <f>IF(E142&lt;&gt;"",VLOOKUP(E142,GenderCode,2,FALSE),0)</f>
        <v>0</v>
      </c>
      <c r="C138" s="83">
        <v>8</v>
      </c>
      <c r="D138" s="110" t="str">
        <f>IF(B138=0,MsgNotUsed, CONCATENATE("Other population ", C138, ": ", E140,": ", E142, " (", E145, "-", J145, ")"))</f>
        <v>** NOT USED **</v>
      </c>
      <c r="E138" s="178"/>
      <c r="F138" s="178"/>
      <c r="G138" s="178"/>
      <c r="H138" s="178"/>
      <c r="I138" s="268"/>
      <c r="J138" s="178"/>
      <c r="K138" s="178"/>
      <c r="L138" s="178"/>
      <c r="M138" s="371"/>
      <c r="N138" s="371"/>
      <c r="O138" s="371"/>
      <c r="P138" s="371"/>
      <c r="Q138" s="371"/>
      <c r="R138" s="371"/>
      <c r="S138" s="371"/>
      <c r="T138" s="371"/>
      <c r="U138" s="371"/>
      <c r="V138" s="371"/>
      <c r="W138" s="371"/>
      <c r="X138" s="371"/>
      <c r="Y138" s="371"/>
      <c r="Z138" s="371"/>
    </row>
    <row r="139" spans="1:26" outlineLevel="1" x14ac:dyDescent="0.2">
      <c r="A139" s="287"/>
      <c r="B139" s="287"/>
      <c r="C139" s="287"/>
      <c r="D139" s="288"/>
      <c r="E139" s="288"/>
      <c r="F139" s="288"/>
      <c r="G139" s="288"/>
      <c r="H139" s="288"/>
      <c r="I139" s="288"/>
      <c r="J139" s="288"/>
      <c r="K139" s="288"/>
      <c r="L139" s="288"/>
      <c r="M139" s="59"/>
      <c r="N139" s="59"/>
      <c r="O139" s="59"/>
      <c r="P139" s="59"/>
      <c r="Q139" s="59"/>
      <c r="R139" s="59"/>
      <c r="S139" s="59"/>
      <c r="T139" s="59"/>
      <c r="U139" s="59"/>
      <c r="V139" s="59"/>
      <c r="W139" s="59"/>
      <c r="X139" s="59"/>
      <c r="Y139" s="59"/>
      <c r="Z139" s="59"/>
    </row>
    <row r="140" spans="1:26" outlineLevel="1" x14ac:dyDescent="0.2">
      <c r="A140" s="287"/>
      <c r="B140" s="287"/>
      <c r="C140" s="287"/>
      <c r="D140" s="58" t="s">
        <v>314</v>
      </c>
      <c r="E140" s="870"/>
      <c r="F140" s="871"/>
      <c r="G140" s="871"/>
      <c r="H140" s="871"/>
      <c r="I140" s="871"/>
      <c r="J140" s="872"/>
      <c r="K140" s="220"/>
      <c r="L140" s="58" t="s">
        <v>292</v>
      </c>
      <c r="M140" s="870"/>
      <c r="N140" s="871"/>
      <c r="O140" s="871"/>
      <c r="P140" s="871"/>
      <c r="Q140" s="871"/>
      <c r="R140" s="872"/>
      <c r="S140" s="59"/>
      <c r="T140" s="59"/>
      <c r="U140" s="59"/>
      <c r="V140" s="59"/>
      <c r="W140" s="59"/>
      <c r="X140" s="59"/>
      <c r="Y140" s="59"/>
      <c r="Z140" s="59"/>
    </row>
    <row r="141" spans="1:26" ht="14.25" outlineLevel="1" x14ac:dyDescent="0.2">
      <c r="A141" s="287"/>
      <c r="B141" s="287"/>
      <c r="C141" s="287"/>
      <c r="D141" s="209"/>
      <c r="E141" s="220"/>
      <c r="F141" s="220"/>
      <c r="G141" s="220"/>
      <c r="H141" s="220"/>
      <c r="I141" s="220"/>
      <c r="J141" s="220"/>
      <c r="K141" s="220"/>
      <c r="L141" s="288"/>
      <c r="M141" s="59"/>
      <c r="N141" s="59"/>
      <c r="O141" s="59"/>
      <c r="P141" s="59"/>
      <c r="Q141" s="59"/>
      <c r="R141" s="59"/>
      <c r="S141" s="59"/>
      <c r="T141" s="59"/>
      <c r="U141" s="59"/>
      <c r="V141" s="59"/>
      <c r="W141" s="59"/>
      <c r="X141" s="59"/>
      <c r="Y141" s="59"/>
      <c r="Z141" s="59"/>
    </row>
    <row r="142" spans="1:26" outlineLevel="1" x14ac:dyDescent="0.2">
      <c r="A142" s="287"/>
      <c r="B142" s="287"/>
      <c r="C142" s="287"/>
      <c r="D142" s="114" t="s">
        <v>52</v>
      </c>
      <c r="E142" s="107"/>
      <c r="F142" s="220"/>
      <c r="G142" s="220"/>
      <c r="H142" s="287"/>
      <c r="I142" s="114" t="s">
        <v>405</v>
      </c>
      <c r="J142" s="107"/>
      <c r="K142" s="220"/>
      <c r="L142" s="288"/>
      <c r="M142" s="59"/>
      <c r="N142" s="59"/>
      <c r="O142" s="59"/>
      <c r="P142" s="59"/>
      <c r="Q142" s="59"/>
      <c r="R142" s="59"/>
      <c r="S142" s="59"/>
      <c r="T142" s="59"/>
      <c r="U142" s="59"/>
      <c r="V142" s="59"/>
      <c r="W142" s="59"/>
      <c r="X142" s="59"/>
      <c r="Y142" s="59"/>
      <c r="Z142" s="59"/>
    </row>
    <row r="143" spans="1:26" outlineLevel="1" x14ac:dyDescent="0.2">
      <c r="A143" s="287"/>
      <c r="B143" s="287"/>
      <c r="C143" s="287"/>
      <c r="D143" s="6"/>
      <c r="E143" s="220"/>
      <c r="F143" s="220"/>
      <c r="G143" s="220"/>
      <c r="H143" s="220"/>
      <c r="I143" s="220"/>
      <c r="J143" s="220"/>
      <c r="K143" s="220"/>
      <c r="L143" s="288"/>
      <c r="M143" s="59"/>
      <c r="N143" s="59"/>
      <c r="O143" s="59"/>
      <c r="P143" s="59"/>
      <c r="Q143" s="59"/>
      <c r="R143" s="59"/>
      <c r="S143" s="59"/>
      <c r="T143" s="59"/>
      <c r="U143" s="59"/>
      <c r="V143" s="59"/>
      <c r="W143" s="59"/>
      <c r="X143" s="59"/>
      <c r="Y143" s="59"/>
      <c r="Z143" s="59"/>
    </row>
    <row r="144" spans="1:26" outlineLevel="1" x14ac:dyDescent="0.2">
      <c r="A144" s="287"/>
      <c r="B144" s="287"/>
      <c r="C144" s="287"/>
      <c r="D144" s="220"/>
      <c r="E144" s="195" t="s">
        <v>289</v>
      </c>
      <c r="F144" s="220"/>
      <c r="G144" s="220"/>
      <c r="H144" s="220"/>
      <c r="I144" s="220"/>
      <c r="J144" s="220"/>
      <c r="K144" s="220"/>
      <c r="L144" s="288"/>
      <c r="M144" s="59"/>
      <c r="N144" s="59"/>
      <c r="O144" s="59"/>
      <c r="P144" s="59"/>
      <c r="Q144" s="59"/>
      <c r="R144" s="59"/>
      <c r="S144" s="59"/>
      <c r="T144" s="59"/>
      <c r="U144" s="59"/>
      <c r="V144" s="59"/>
      <c r="W144" s="59"/>
      <c r="X144" s="59"/>
      <c r="Y144" s="59"/>
      <c r="Z144" s="59"/>
    </row>
    <row r="145" spans="1:26" outlineLevel="1" x14ac:dyDescent="0.2">
      <c r="A145" s="287"/>
      <c r="B145" s="287"/>
      <c r="C145" s="287"/>
      <c r="D145" s="6"/>
      <c r="E145" s="108">
        <f>IF(J142&lt;&gt;"",J142,FirstYear)</f>
        <v>0</v>
      </c>
      <c r="F145" s="112">
        <f>E145+1</f>
        <v>1</v>
      </c>
      <c r="G145" s="112">
        <f>F145+1</f>
        <v>2</v>
      </c>
      <c r="H145" s="112">
        <f>G145+1</f>
        <v>3</v>
      </c>
      <c r="I145" s="112">
        <f>H145+1</f>
        <v>4</v>
      </c>
      <c r="J145" s="112">
        <f>I145+1</f>
        <v>5</v>
      </c>
      <c r="K145" s="220"/>
      <c r="L145" s="288"/>
      <c r="M145" s="59"/>
      <c r="N145" s="59"/>
      <c r="O145" s="59"/>
      <c r="P145" s="59"/>
      <c r="Q145" s="59"/>
      <c r="R145" s="59"/>
      <c r="S145" s="59"/>
      <c r="T145" s="59"/>
      <c r="U145" s="59"/>
      <c r="V145" s="59"/>
      <c r="W145" s="59"/>
      <c r="X145" s="59"/>
      <c r="Y145" s="59"/>
      <c r="Z145" s="59"/>
    </row>
    <row r="146" spans="1:26" outlineLevel="1" x14ac:dyDescent="0.2">
      <c r="A146" s="287"/>
      <c r="B146" s="287"/>
      <c r="C146" s="287"/>
      <c r="D146" s="220"/>
      <c r="E146" s="86">
        <f>IF($B$138&lt;&gt;0,VLOOKUP($B$138,$C$150:$J$152,E147),0)</f>
        <v>0</v>
      </c>
      <c r="F146" s="86">
        <f t="shared" ref="F146:J146" si="55">IF($B$138&lt;&gt;0,VLOOKUP($B$138,$C$150:$J$152,F147),0)</f>
        <v>0</v>
      </c>
      <c r="G146" s="86">
        <f t="shared" si="55"/>
        <v>0</v>
      </c>
      <c r="H146" s="86">
        <f t="shared" si="55"/>
        <v>0</v>
      </c>
      <c r="I146" s="86">
        <f t="shared" si="55"/>
        <v>0</v>
      </c>
      <c r="J146" s="86">
        <f t="shared" si="55"/>
        <v>0</v>
      </c>
      <c r="K146" s="220"/>
      <c r="L146" s="288"/>
      <c r="M146" s="59"/>
      <c r="N146" s="59"/>
      <c r="O146" s="59"/>
      <c r="P146" s="59"/>
      <c r="Q146" s="59"/>
      <c r="R146" s="59"/>
      <c r="S146" s="59"/>
      <c r="T146" s="59"/>
      <c r="U146" s="59"/>
      <c r="V146" s="59"/>
      <c r="W146" s="59"/>
      <c r="X146" s="59"/>
      <c r="Y146" s="59"/>
      <c r="Z146" s="59"/>
    </row>
    <row r="147" spans="1:26" outlineLevel="1" x14ac:dyDescent="0.2">
      <c r="A147" s="287"/>
      <c r="B147" s="287"/>
      <c r="C147" s="287"/>
      <c r="D147" s="220"/>
      <c r="E147" s="269">
        <v>3</v>
      </c>
      <c r="F147" s="269">
        <v>4</v>
      </c>
      <c r="G147" s="269">
        <v>5</v>
      </c>
      <c r="H147" s="269">
        <v>6</v>
      </c>
      <c r="I147" s="269">
        <v>7</v>
      </c>
      <c r="J147" s="269">
        <v>8</v>
      </c>
      <c r="K147" s="220"/>
      <c r="L147" s="288"/>
      <c r="M147" s="59"/>
      <c r="N147" s="59"/>
      <c r="O147" s="59"/>
      <c r="P147" s="59"/>
      <c r="Q147" s="59"/>
      <c r="R147" s="59"/>
      <c r="S147" s="59"/>
      <c r="T147" s="59"/>
      <c r="U147" s="59"/>
      <c r="V147" s="59"/>
      <c r="W147" s="59"/>
      <c r="X147" s="59"/>
      <c r="Y147" s="59"/>
      <c r="Z147" s="59"/>
    </row>
    <row r="148" spans="1:26" outlineLevel="1" x14ac:dyDescent="0.2">
      <c r="A148" s="287"/>
      <c r="B148" s="287"/>
      <c r="C148" s="287"/>
      <c r="D148" s="46" t="s">
        <v>362</v>
      </c>
      <c r="E148" s="108">
        <f t="shared" ref="E148:J148" si="56">E145</f>
        <v>0</v>
      </c>
      <c r="F148" s="108">
        <f t="shared" si="56"/>
        <v>1</v>
      </c>
      <c r="G148" s="108">
        <f t="shared" si="56"/>
        <v>2</v>
      </c>
      <c r="H148" s="108">
        <f t="shared" si="56"/>
        <v>3</v>
      </c>
      <c r="I148" s="108">
        <f t="shared" si="56"/>
        <v>4</v>
      </c>
      <c r="J148" s="108">
        <f t="shared" si="56"/>
        <v>5</v>
      </c>
      <c r="K148" s="220"/>
      <c r="L148" s="287"/>
      <c r="M148" s="60"/>
      <c r="N148" s="60"/>
      <c r="O148" s="60"/>
      <c r="P148" s="60"/>
      <c r="Q148" s="60"/>
      <c r="R148" s="60"/>
      <c r="S148" s="60"/>
      <c r="T148" s="60"/>
      <c r="U148" s="60"/>
      <c r="V148" s="60"/>
      <c r="W148" s="60"/>
      <c r="X148" s="60"/>
      <c r="Y148" s="60"/>
      <c r="Z148" s="60"/>
    </row>
    <row r="149" spans="1:26" outlineLevel="1" x14ac:dyDescent="0.2">
      <c r="A149" s="287"/>
      <c r="B149" s="287"/>
      <c r="D149" s="270" t="s">
        <v>274</v>
      </c>
      <c r="E149" s="86">
        <f>IF(OR(E150="",E150=0),SUM(E151:E152),E150)</f>
        <v>0</v>
      </c>
      <c r="F149" s="86">
        <f t="shared" ref="F149" si="57">IF(OR(F150="",F150=0),SUM(F151:F152),F150)</f>
        <v>0</v>
      </c>
      <c r="G149" s="86">
        <f t="shared" ref="G149" si="58">IF(OR(G150="",G150=0),SUM(G151:G152),G150)</f>
        <v>0</v>
      </c>
      <c r="H149" s="86">
        <f t="shared" ref="H149" si="59">IF(OR(H150="",H150=0),SUM(H151:H152),H150)</f>
        <v>0</v>
      </c>
      <c r="I149" s="86">
        <f t="shared" ref="I149" si="60">IF(OR(I150="",I150=0),SUM(I151:I152),I150)</f>
        <v>0</v>
      </c>
      <c r="J149" s="86">
        <f t="shared" ref="J149" si="61">IF(OR(J150="",J150=0),SUM(J151:J152),J150)</f>
        <v>0</v>
      </c>
      <c r="K149" s="220"/>
      <c r="L149" s="287"/>
      <c r="M149" s="60"/>
      <c r="N149" s="60"/>
      <c r="O149" s="60"/>
      <c r="P149" s="60"/>
      <c r="Q149" s="60"/>
      <c r="R149" s="60"/>
      <c r="S149" s="60"/>
      <c r="T149" s="60"/>
      <c r="U149" s="60"/>
      <c r="V149" s="60"/>
      <c r="W149" s="60"/>
      <c r="X149" s="60"/>
      <c r="Y149" s="60"/>
      <c r="Z149" s="60"/>
    </row>
    <row r="150" spans="1:26" outlineLevel="1" x14ac:dyDescent="0.2">
      <c r="A150" s="287"/>
      <c r="B150" s="287"/>
      <c r="C150" s="212">
        <v>1</v>
      </c>
      <c r="D150" s="270" t="s">
        <v>406</v>
      </c>
      <c r="E150" s="65"/>
      <c r="F150" s="65"/>
      <c r="G150" s="65"/>
      <c r="H150" s="65"/>
      <c r="I150" s="65"/>
      <c r="J150" s="65"/>
      <c r="K150" s="220"/>
      <c r="L150" s="287"/>
      <c r="M150" s="60"/>
      <c r="N150" s="60"/>
      <c r="O150" s="60"/>
      <c r="P150" s="60"/>
      <c r="Q150" s="60"/>
      <c r="R150" s="60"/>
      <c r="S150" s="60"/>
      <c r="T150" s="60"/>
      <c r="U150" s="60"/>
      <c r="V150" s="60"/>
      <c r="W150" s="60"/>
      <c r="X150" s="60"/>
      <c r="Y150" s="60"/>
      <c r="Z150" s="60"/>
    </row>
    <row r="151" spans="1:26" outlineLevel="1" x14ac:dyDescent="0.2">
      <c r="A151" s="287"/>
      <c r="B151" s="287"/>
      <c r="C151" s="212">
        <v>2</v>
      </c>
      <c r="D151" s="270" t="s">
        <v>277</v>
      </c>
      <c r="E151" s="65"/>
      <c r="F151" s="65"/>
      <c r="G151" s="65"/>
      <c r="H151" s="65"/>
      <c r="I151" s="65"/>
      <c r="J151" s="65"/>
      <c r="K151" s="220"/>
      <c r="L151" s="287"/>
      <c r="M151" s="60"/>
      <c r="N151" s="60"/>
      <c r="O151" s="60"/>
      <c r="P151" s="60"/>
      <c r="Q151" s="60"/>
      <c r="R151" s="60"/>
      <c r="S151" s="60"/>
      <c r="T151" s="60"/>
      <c r="U151" s="60"/>
      <c r="V151" s="60"/>
      <c r="W151" s="60"/>
      <c r="X151" s="60"/>
      <c r="Y151" s="60"/>
      <c r="Z151" s="60"/>
    </row>
    <row r="152" spans="1:26" outlineLevel="1" x14ac:dyDescent="0.2">
      <c r="A152" s="287"/>
      <c r="B152" s="287"/>
      <c r="C152" s="212">
        <v>3</v>
      </c>
      <c r="D152" s="270" t="s">
        <v>278</v>
      </c>
      <c r="E152" s="65"/>
      <c r="F152" s="65"/>
      <c r="G152" s="65"/>
      <c r="H152" s="65"/>
      <c r="I152" s="65"/>
      <c r="J152" s="65"/>
      <c r="K152" s="220"/>
      <c r="L152" s="287"/>
      <c r="M152" s="60"/>
      <c r="N152" s="60"/>
      <c r="O152" s="60"/>
      <c r="P152" s="60"/>
      <c r="Q152" s="60"/>
      <c r="R152" s="60"/>
      <c r="S152" s="60"/>
      <c r="T152" s="60"/>
      <c r="U152" s="60"/>
      <c r="V152" s="60"/>
      <c r="W152" s="60"/>
      <c r="X152" s="60"/>
      <c r="Y152" s="60"/>
      <c r="Z152" s="60"/>
    </row>
    <row r="153" spans="1:26" outlineLevel="1" x14ac:dyDescent="0.2">
      <c r="A153" s="287"/>
      <c r="B153" s="287"/>
      <c r="C153" s="287"/>
      <c r="D153" s="287"/>
      <c r="E153" s="287"/>
      <c r="F153" s="287"/>
      <c r="G153" s="287"/>
      <c r="H153" s="287"/>
      <c r="I153" s="287"/>
      <c r="J153" s="287"/>
      <c r="K153" s="287"/>
      <c r="L153" s="287"/>
      <c r="M153" s="60"/>
      <c r="N153" s="60"/>
      <c r="O153" s="60"/>
      <c r="P153" s="60"/>
      <c r="Q153" s="60"/>
      <c r="R153" s="60"/>
      <c r="S153" s="60"/>
      <c r="T153" s="60"/>
      <c r="U153" s="60"/>
      <c r="V153" s="60"/>
      <c r="W153" s="60"/>
      <c r="X153" s="60"/>
      <c r="Y153" s="60"/>
      <c r="Z153" s="60"/>
    </row>
    <row r="154" spans="1:26" x14ac:dyDescent="0.2">
      <c r="A154" s="287"/>
      <c r="B154" s="287"/>
      <c r="C154" s="287"/>
      <c r="D154" s="287"/>
      <c r="E154" s="287"/>
      <c r="F154" s="287"/>
      <c r="G154" s="287"/>
      <c r="H154" s="287"/>
      <c r="I154" s="287"/>
      <c r="J154" s="287"/>
      <c r="K154" s="287"/>
      <c r="L154" s="287"/>
      <c r="M154" s="60"/>
      <c r="N154" s="60"/>
      <c r="O154" s="60"/>
      <c r="P154" s="60"/>
      <c r="Q154" s="60"/>
      <c r="R154" s="60"/>
      <c r="S154" s="60"/>
      <c r="T154" s="60"/>
      <c r="U154" s="60"/>
      <c r="V154" s="60"/>
      <c r="W154" s="60"/>
      <c r="X154" s="60"/>
      <c r="Y154" s="60"/>
      <c r="Z154" s="60"/>
    </row>
    <row r="155" spans="1:26" ht="15.75" x14ac:dyDescent="0.2">
      <c r="A155" s="287"/>
      <c r="B155" s="83">
        <f>IF(E159&lt;&gt;"",VLOOKUP(E159,GenderCode,2,FALSE),0)</f>
        <v>0</v>
      </c>
      <c r="C155" s="83">
        <v>9</v>
      </c>
      <c r="D155" s="110" t="str">
        <f>IF(B155=0,MsgNotUsed, CONCATENATE("Other population ", C155, ": ", E157,": ", E159, " (", E162, "-", J162, ")"))</f>
        <v>** NOT USED **</v>
      </c>
      <c r="E155" s="178"/>
      <c r="F155" s="178"/>
      <c r="G155" s="178"/>
      <c r="H155" s="178"/>
      <c r="I155" s="268"/>
      <c r="J155" s="178"/>
      <c r="K155" s="178"/>
      <c r="L155" s="178"/>
      <c r="M155" s="371"/>
      <c r="N155" s="371"/>
      <c r="O155" s="371"/>
      <c r="P155" s="371"/>
      <c r="Q155" s="371"/>
      <c r="R155" s="371"/>
      <c r="S155" s="371"/>
      <c r="T155" s="371"/>
      <c r="U155" s="371"/>
      <c r="V155" s="371"/>
      <c r="W155" s="371"/>
      <c r="X155" s="371"/>
      <c r="Y155" s="371"/>
      <c r="Z155" s="371"/>
    </row>
    <row r="156" spans="1:26" outlineLevel="1" x14ac:dyDescent="0.2">
      <c r="A156" s="287"/>
      <c r="B156" s="287"/>
      <c r="C156" s="287"/>
      <c r="D156" s="288"/>
      <c r="E156" s="288"/>
      <c r="F156" s="288"/>
      <c r="G156" s="288"/>
      <c r="H156" s="288"/>
      <c r="I156" s="288"/>
      <c r="J156" s="288"/>
      <c r="K156" s="288"/>
      <c r="L156" s="288"/>
      <c r="M156" s="59"/>
      <c r="N156" s="59"/>
      <c r="O156" s="59"/>
      <c r="P156" s="59"/>
      <c r="Q156" s="59"/>
      <c r="R156" s="59"/>
      <c r="S156" s="59"/>
      <c r="T156" s="59"/>
      <c r="U156" s="59"/>
      <c r="V156" s="59"/>
      <c r="W156" s="59"/>
      <c r="X156" s="59"/>
      <c r="Y156" s="59"/>
      <c r="Z156" s="59"/>
    </row>
    <row r="157" spans="1:26" outlineLevel="1" x14ac:dyDescent="0.2">
      <c r="A157" s="287"/>
      <c r="B157" s="287"/>
      <c r="C157" s="287"/>
      <c r="D157" s="58" t="s">
        <v>314</v>
      </c>
      <c r="E157" s="870"/>
      <c r="F157" s="871"/>
      <c r="G157" s="871"/>
      <c r="H157" s="871"/>
      <c r="I157" s="871"/>
      <c r="J157" s="872"/>
      <c r="K157" s="220"/>
      <c r="L157" s="58" t="s">
        <v>292</v>
      </c>
      <c r="M157" s="870"/>
      <c r="N157" s="871"/>
      <c r="O157" s="871"/>
      <c r="P157" s="871"/>
      <c r="Q157" s="871"/>
      <c r="R157" s="872"/>
      <c r="S157" s="59"/>
      <c r="T157" s="59"/>
      <c r="U157" s="59"/>
      <c r="V157" s="59"/>
      <c r="W157" s="59"/>
      <c r="X157" s="59"/>
      <c r="Y157" s="59"/>
      <c r="Z157" s="59"/>
    </row>
    <row r="158" spans="1:26" ht="14.25" outlineLevel="1" x14ac:dyDescent="0.2">
      <c r="A158" s="287"/>
      <c r="B158" s="287"/>
      <c r="C158" s="287"/>
      <c r="D158" s="209"/>
      <c r="E158" s="220"/>
      <c r="F158" s="220"/>
      <c r="G158" s="220"/>
      <c r="H158" s="220"/>
      <c r="I158" s="220"/>
      <c r="J158" s="220"/>
      <c r="K158" s="220"/>
      <c r="L158" s="288"/>
      <c r="M158" s="59"/>
      <c r="N158" s="59"/>
      <c r="O158" s="59"/>
      <c r="P158" s="59"/>
      <c r="Q158" s="59"/>
      <c r="R158" s="59"/>
      <c r="S158" s="59"/>
      <c r="T158" s="59"/>
      <c r="U158" s="59"/>
      <c r="V158" s="59"/>
      <c r="W158" s="59"/>
      <c r="X158" s="59"/>
      <c r="Y158" s="59"/>
      <c r="Z158" s="59"/>
    </row>
    <row r="159" spans="1:26" outlineLevel="1" x14ac:dyDescent="0.2">
      <c r="A159" s="287"/>
      <c r="B159" s="287"/>
      <c r="C159" s="287"/>
      <c r="D159" s="114" t="s">
        <v>52</v>
      </c>
      <c r="E159" s="107"/>
      <c r="F159" s="220"/>
      <c r="G159" s="220"/>
      <c r="H159" s="287"/>
      <c r="I159" s="114" t="s">
        <v>405</v>
      </c>
      <c r="J159" s="107"/>
      <c r="K159" s="220"/>
      <c r="L159" s="288"/>
      <c r="M159" s="59"/>
      <c r="N159" s="59"/>
      <c r="O159" s="59"/>
      <c r="P159" s="59"/>
      <c r="Q159" s="59"/>
      <c r="R159" s="59"/>
      <c r="S159" s="59"/>
      <c r="T159" s="59"/>
      <c r="U159" s="59"/>
      <c r="V159" s="59"/>
      <c r="W159" s="59"/>
      <c r="X159" s="59"/>
      <c r="Y159" s="59"/>
      <c r="Z159" s="59"/>
    </row>
    <row r="160" spans="1:26" outlineLevel="1" x14ac:dyDescent="0.2">
      <c r="A160" s="287"/>
      <c r="B160" s="287"/>
      <c r="C160" s="287"/>
      <c r="D160" s="6"/>
      <c r="E160" s="220"/>
      <c r="F160" s="220"/>
      <c r="G160" s="220"/>
      <c r="H160" s="220"/>
      <c r="I160" s="220"/>
      <c r="J160" s="220"/>
      <c r="K160" s="220"/>
      <c r="L160" s="288"/>
      <c r="M160" s="59"/>
      <c r="N160" s="59"/>
      <c r="O160" s="59"/>
      <c r="P160" s="59"/>
      <c r="Q160" s="59"/>
      <c r="R160" s="59"/>
      <c r="S160" s="59"/>
      <c r="T160" s="59"/>
      <c r="U160" s="59"/>
      <c r="V160" s="59"/>
      <c r="W160" s="59"/>
      <c r="X160" s="59"/>
      <c r="Y160" s="59"/>
      <c r="Z160" s="59"/>
    </row>
    <row r="161" spans="1:26" outlineLevel="1" x14ac:dyDescent="0.2">
      <c r="A161" s="287"/>
      <c r="B161" s="287"/>
      <c r="C161" s="287"/>
      <c r="D161" s="220"/>
      <c r="E161" s="195" t="s">
        <v>289</v>
      </c>
      <c r="F161" s="220"/>
      <c r="G161" s="220"/>
      <c r="H161" s="220"/>
      <c r="I161" s="220"/>
      <c r="J161" s="220"/>
      <c r="K161" s="220"/>
      <c r="L161" s="288"/>
      <c r="M161" s="59"/>
      <c r="N161" s="59"/>
      <c r="O161" s="59"/>
      <c r="P161" s="59"/>
      <c r="Q161" s="59"/>
      <c r="R161" s="59"/>
      <c r="S161" s="59"/>
      <c r="T161" s="59"/>
      <c r="U161" s="59"/>
      <c r="V161" s="59"/>
      <c r="W161" s="59"/>
      <c r="X161" s="59"/>
      <c r="Y161" s="59"/>
      <c r="Z161" s="59"/>
    </row>
    <row r="162" spans="1:26" outlineLevel="1" x14ac:dyDescent="0.2">
      <c r="A162" s="287"/>
      <c r="B162" s="287"/>
      <c r="C162" s="287"/>
      <c r="D162" s="6"/>
      <c r="E162" s="108">
        <f>IF(J159&lt;&gt;"",J159,FirstYear)</f>
        <v>0</v>
      </c>
      <c r="F162" s="112">
        <f>E162+1</f>
        <v>1</v>
      </c>
      <c r="G162" s="112">
        <f>F162+1</f>
        <v>2</v>
      </c>
      <c r="H162" s="112">
        <f>G162+1</f>
        <v>3</v>
      </c>
      <c r="I162" s="112">
        <f>H162+1</f>
        <v>4</v>
      </c>
      <c r="J162" s="112">
        <f>I162+1</f>
        <v>5</v>
      </c>
      <c r="K162" s="220"/>
      <c r="L162" s="288"/>
      <c r="M162" s="59"/>
      <c r="N162" s="59"/>
      <c r="O162" s="59"/>
      <c r="P162" s="59"/>
      <c r="Q162" s="59"/>
      <c r="R162" s="59"/>
      <c r="S162" s="59"/>
      <c r="T162" s="59"/>
      <c r="U162" s="59"/>
      <c r="V162" s="59"/>
      <c r="W162" s="59"/>
      <c r="X162" s="59"/>
      <c r="Y162" s="59"/>
      <c r="Z162" s="59"/>
    </row>
    <row r="163" spans="1:26" outlineLevel="1" x14ac:dyDescent="0.2">
      <c r="A163" s="287"/>
      <c r="B163" s="287"/>
      <c r="C163" s="287"/>
      <c r="D163" s="220"/>
      <c r="E163" s="86">
        <f>IF($B$155&lt;&gt;0,VLOOKUP($B$155,$C$167:$J$169,E164),0)</f>
        <v>0</v>
      </c>
      <c r="F163" s="86">
        <f t="shared" ref="F163:J163" si="62">IF($B$155&lt;&gt;0,VLOOKUP($B$155,$C$167:$J$169,F164),0)</f>
        <v>0</v>
      </c>
      <c r="G163" s="86">
        <f t="shared" si="62"/>
        <v>0</v>
      </c>
      <c r="H163" s="86">
        <f t="shared" si="62"/>
        <v>0</v>
      </c>
      <c r="I163" s="86">
        <f t="shared" si="62"/>
        <v>0</v>
      </c>
      <c r="J163" s="86">
        <f t="shared" si="62"/>
        <v>0</v>
      </c>
      <c r="K163" s="220"/>
      <c r="L163" s="288"/>
      <c r="M163" s="59"/>
      <c r="N163" s="59"/>
      <c r="O163" s="59"/>
      <c r="P163" s="59"/>
      <c r="Q163" s="59"/>
      <c r="R163" s="59"/>
      <c r="S163" s="59"/>
      <c r="T163" s="59"/>
      <c r="U163" s="59"/>
      <c r="V163" s="59"/>
      <c r="W163" s="59"/>
      <c r="X163" s="59"/>
      <c r="Y163" s="59"/>
      <c r="Z163" s="59"/>
    </row>
    <row r="164" spans="1:26" outlineLevel="1" x14ac:dyDescent="0.2">
      <c r="A164" s="287"/>
      <c r="B164" s="287"/>
      <c r="C164" s="287"/>
      <c r="D164" s="220"/>
      <c r="E164" s="269">
        <v>3</v>
      </c>
      <c r="F164" s="269">
        <v>4</v>
      </c>
      <c r="G164" s="269">
        <v>5</v>
      </c>
      <c r="H164" s="269">
        <v>6</v>
      </c>
      <c r="I164" s="269">
        <v>7</v>
      </c>
      <c r="J164" s="269">
        <v>8</v>
      </c>
      <c r="K164" s="220"/>
      <c r="L164" s="288"/>
      <c r="M164" s="59"/>
      <c r="N164" s="59"/>
      <c r="O164" s="59"/>
      <c r="P164" s="59"/>
      <c r="Q164" s="59"/>
      <c r="R164" s="59"/>
      <c r="S164" s="59"/>
      <c r="T164" s="59"/>
      <c r="U164" s="59"/>
      <c r="V164" s="59"/>
      <c r="W164" s="59"/>
      <c r="X164" s="59"/>
      <c r="Y164" s="59"/>
      <c r="Z164" s="59"/>
    </row>
    <row r="165" spans="1:26" outlineLevel="1" x14ac:dyDescent="0.2">
      <c r="A165" s="287"/>
      <c r="B165" s="287"/>
      <c r="C165" s="287"/>
      <c r="D165" s="46" t="s">
        <v>362</v>
      </c>
      <c r="E165" s="108">
        <f t="shared" ref="E165:J165" si="63">E162</f>
        <v>0</v>
      </c>
      <c r="F165" s="108">
        <f t="shared" si="63"/>
        <v>1</v>
      </c>
      <c r="G165" s="108">
        <f t="shared" si="63"/>
        <v>2</v>
      </c>
      <c r="H165" s="108">
        <f t="shared" si="63"/>
        <v>3</v>
      </c>
      <c r="I165" s="108">
        <f t="shared" si="63"/>
        <v>4</v>
      </c>
      <c r="J165" s="108">
        <f t="shared" si="63"/>
        <v>5</v>
      </c>
      <c r="K165" s="220"/>
      <c r="L165" s="287"/>
      <c r="M165" s="60"/>
      <c r="N165" s="60"/>
      <c r="O165" s="60"/>
      <c r="P165" s="60"/>
      <c r="Q165" s="60"/>
      <c r="R165" s="60"/>
      <c r="S165" s="60"/>
      <c r="T165" s="60"/>
      <c r="U165" s="60"/>
      <c r="V165" s="60"/>
      <c r="W165" s="60"/>
      <c r="X165" s="60"/>
      <c r="Y165" s="60"/>
      <c r="Z165" s="60"/>
    </row>
    <row r="166" spans="1:26" outlineLevel="1" x14ac:dyDescent="0.2">
      <c r="A166" s="287"/>
      <c r="B166" s="287"/>
      <c r="D166" s="270" t="s">
        <v>274</v>
      </c>
      <c r="E166" s="86">
        <f>IF(OR(E167="",E167=0),SUM(E168:E169),E167)</f>
        <v>0</v>
      </c>
      <c r="F166" s="86">
        <f t="shared" ref="F166" si="64">IF(OR(F167="",F167=0),SUM(F168:F169),F167)</f>
        <v>0</v>
      </c>
      <c r="G166" s="86">
        <f t="shared" ref="G166" si="65">IF(OR(G167="",G167=0),SUM(G168:G169),G167)</f>
        <v>0</v>
      </c>
      <c r="H166" s="86">
        <f t="shared" ref="H166" si="66">IF(OR(H167="",H167=0),SUM(H168:H169),H167)</f>
        <v>0</v>
      </c>
      <c r="I166" s="86">
        <f t="shared" ref="I166" si="67">IF(OR(I167="",I167=0),SUM(I168:I169),I167)</f>
        <v>0</v>
      </c>
      <c r="J166" s="86">
        <f t="shared" ref="J166" si="68">IF(OR(J167="",J167=0),SUM(J168:J169),J167)</f>
        <v>0</v>
      </c>
      <c r="K166" s="220"/>
      <c r="L166" s="287"/>
      <c r="M166" s="60"/>
      <c r="N166" s="60"/>
      <c r="O166" s="60"/>
      <c r="P166" s="60"/>
      <c r="Q166" s="60"/>
      <c r="R166" s="60"/>
      <c r="S166" s="60"/>
      <c r="T166" s="60"/>
      <c r="U166" s="60"/>
      <c r="V166" s="60"/>
      <c r="W166" s="60"/>
      <c r="X166" s="60"/>
      <c r="Y166" s="60"/>
      <c r="Z166" s="60"/>
    </row>
    <row r="167" spans="1:26" outlineLevel="1" x14ac:dyDescent="0.2">
      <c r="A167" s="287"/>
      <c r="B167" s="287"/>
      <c r="C167" s="212">
        <v>1</v>
      </c>
      <c r="D167" s="270" t="s">
        <v>406</v>
      </c>
      <c r="E167" s="65"/>
      <c r="F167" s="65"/>
      <c r="G167" s="65"/>
      <c r="H167" s="65"/>
      <c r="I167" s="65"/>
      <c r="J167" s="65"/>
      <c r="K167" s="220"/>
      <c r="L167" s="287"/>
      <c r="M167" s="60"/>
      <c r="N167" s="60"/>
      <c r="O167" s="60"/>
      <c r="P167" s="60"/>
      <c r="Q167" s="60"/>
      <c r="R167" s="60"/>
      <c r="S167" s="60"/>
      <c r="T167" s="60"/>
      <c r="U167" s="60"/>
      <c r="V167" s="60"/>
      <c r="W167" s="60"/>
      <c r="X167" s="60"/>
      <c r="Y167" s="60"/>
      <c r="Z167" s="60"/>
    </row>
    <row r="168" spans="1:26" outlineLevel="1" x14ac:dyDescent="0.2">
      <c r="A168" s="287"/>
      <c r="B168" s="287"/>
      <c r="C168" s="212">
        <v>2</v>
      </c>
      <c r="D168" s="270" t="s">
        <v>277</v>
      </c>
      <c r="E168" s="65"/>
      <c r="F168" s="65"/>
      <c r="G168" s="65"/>
      <c r="H168" s="65"/>
      <c r="I168" s="65"/>
      <c r="J168" s="65"/>
      <c r="K168" s="220"/>
      <c r="L168" s="287"/>
      <c r="M168" s="60"/>
      <c r="N168" s="60"/>
      <c r="O168" s="60"/>
      <c r="P168" s="60"/>
      <c r="Q168" s="60"/>
      <c r="R168" s="60"/>
      <c r="S168" s="60"/>
      <c r="T168" s="60"/>
      <c r="U168" s="60"/>
      <c r="V168" s="60"/>
      <c r="W168" s="60"/>
      <c r="X168" s="60"/>
      <c r="Y168" s="60"/>
      <c r="Z168" s="60"/>
    </row>
    <row r="169" spans="1:26" outlineLevel="1" x14ac:dyDescent="0.2">
      <c r="A169" s="287"/>
      <c r="B169" s="287"/>
      <c r="C169" s="212">
        <v>3</v>
      </c>
      <c r="D169" s="270" t="s">
        <v>278</v>
      </c>
      <c r="E169" s="65"/>
      <c r="F169" s="65"/>
      <c r="G169" s="65"/>
      <c r="H169" s="65"/>
      <c r="I169" s="65"/>
      <c r="J169" s="65"/>
      <c r="K169" s="220"/>
      <c r="L169" s="287"/>
      <c r="M169" s="60"/>
      <c r="N169" s="60"/>
      <c r="O169" s="60"/>
      <c r="P169" s="60"/>
      <c r="Q169" s="60"/>
      <c r="R169" s="60"/>
      <c r="S169" s="60"/>
      <c r="T169" s="60"/>
      <c r="U169" s="60"/>
      <c r="V169" s="60"/>
      <c r="W169" s="60"/>
      <c r="X169" s="60"/>
      <c r="Y169" s="60"/>
      <c r="Z169" s="60"/>
    </row>
    <row r="170" spans="1:26" outlineLevel="1" x14ac:dyDescent="0.2">
      <c r="A170" s="287"/>
      <c r="B170" s="287"/>
      <c r="C170" s="287"/>
      <c r="D170" s="287"/>
      <c r="E170" s="287"/>
      <c r="F170" s="287"/>
      <c r="G170" s="287"/>
      <c r="H170" s="287"/>
      <c r="I170" s="287"/>
      <c r="J170" s="287"/>
      <c r="K170" s="287"/>
      <c r="L170" s="287"/>
      <c r="M170" s="60"/>
      <c r="N170" s="60"/>
      <c r="O170" s="60"/>
      <c r="P170" s="60"/>
      <c r="Q170" s="60"/>
      <c r="R170" s="60"/>
      <c r="S170" s="60"/>
      <c r="T170" s="60"/>
      <c r="U170" s="60"/>
      <c r="V170" s="60"/>
      <c r="W170" s="60"/>
      <c r="X170" s="60"/>
      <c r="Y170" s="60"/>
      <c r="Z170" s="60"/>
    </row>
    <row r="171" spans="1:26" x14ac:dyDescent="0.2">
      <c r="A171" s="287"/>
      <c r="B171" s="287"/>
      <c r="C171" s="287"/>
      <c r="D171" s="287"/>
      <c r="E171" s="287"/>
      <c r="F171" s="287"/>
      <c r="G171" s="287"/>
      <c r="H171" s="287"/>
      <c r="I171" s="287"/>
      <c r="J171" s="287"/>
      <c r="K171" s="287"/>
      <c r="L171" s="287"/>
      <c r="M171" s="60"/>
      <c r="N171" s="60"/>
      <c r="O171" s="60"/>
      <c r="P171" s="60"/>
      <c r="Q171" s="60"/>
      <c r="R171" s="60"/>
      <c r="S171" s="60"/>
      <c r="T171" s="60"/>
      <c r="U171" s="60"/>
      <c r="V171" s="60"/>
      <c r="W171" s="60"/>
      <c r="X171" s="60"/>
      <c r="Y171" s="60"/>
      <c r="Z171" s="60"/>
    </row>
    <row r="172" spans="1:26" ht="15.75" x14ac:dyDescent="0.2">
      <c r="A172" s="287"/>
      <c r="B172" s="83">
        <f>IF(E176&lt;&gt;"",VLOOKUP(E176,GenderCode,2,FALSE),0)</f>
        <v>0</v>
      </c>
      <c r="C172" s="83">
        <v>10</v>
      </c>
      <c r="D172" s="110" t="str">
        <f>IF(B172=0,MsgNotUsed, CONCATENATE("Other population ", C172, ": ", E174,": ", E176, " (", E179, "-", J179, ")"))</f>
        <v>** NOT USED **</v>
      </c>
      <c r="E172" s="178"/>
      <c r="F172" s="178"/>
      <c r="G172" s="178"/>
      <c r="H172" s="178"/>
      <c r="I172" s="268"/>
      <c r="J172" s="178"/>
      <c r="K172" s="178"/>
      <c r="L172" s="178"/>
      <c r="M172" s="371"/>
      <c r="N172" s="371"/>
      <c r="O172" s="371"/>
      <c r="P172" s="371"/>
      <c r="Q172" s="371"/>
      <c r="R172" s="371"/>
      <c r="S172" s="371"/>
      <c r="T172" s="371"/>
      <c r="U172" s="371"/>
      <c r="V172" s="371"/>
      <c r="W172" s="371"/>
      <c r="X172" s="371"/>
      <c r="Y172" s="371"/>
      <c r="Z172" s="371"/>
    </row>
    <row r="173" spans="1:26" outlineLevel="1" x14ac:dyDescent="0.2">
      <c r="A173" s="287"/>
      <c r="B173" s="287"/>
      <c r="C173" s="287"/>
      <c r="D173" s="288"/>
      <c r="E173" s="288"/>
      <c r="F173" s="288"/>
      <c r="G173" s="288"/>
      <c r="H173" s="288"/>
      <c r="I173" s="288"/>
      <c r="J173" s="288"/>
      <c r="K173" s="288"/>
      <c r="L173" s="288"/>
      <c r="M173" s="59"/>
      <c r="N173" s="59"/>
      <c r="O173" s="59"/>
      <c r="P173" s="59"/>
      <c r="Q173" s="59"/>
      <c r="R173" s="59"/>
      <c r="S173" s="59"/>
      <c r="T173" s="59"/>
      <c r="U173" s="59"/>
      <c r="V173" s="59"/>
      <c r="W173" s="59"/>
    </row>
    <row r="174" spans="1:26" outlineLevel="1" x14ac:dyDescent="0.2">
      <c r="A174" s="287"/>
      <c r="B174" s="287"/>
      <c r="C174" s="287"/>
      <c r="D174" s="58" t="s">
        <v>314</v>
      </c>
      <c r="E174" s="870"/>
      <c r="F174" s="871"/>
      <c r="G174" s="871"/>
      <c r="H174" s="871"/>
      <c r="I174" s="871"/>
      <c r="J174" s="872"/>
      <c r="K174" s="220"/>
      <c r="L174" s="58" t="s">
        <v>292</v>
      </c>
      <c r="M174" s="870"/>
      <c r="N174" s="871"/>
      <c r="O174" s="871"/>
      <c r="P174" s="871"/>
      <c r="Q174" s="871"/>
      <c r="R174" s="872"/>
      <c r="S174" s="59"/>
      <c r="T174" s="59"/>
      <c r="U174" s="59"/>
      <c r="V174" s="59"/>
      <c r="W174" s="59"/>
    </row>
    <row r="175" spans="1:26" ht="14.25" outlineLevel="1" x14ac:dyDescent="0.2">
      <c r="A175" s="287"/>
      <c r="B175" s="287"/>
      <c r="C175" s="287"/>
      <c r="D175" s="209"/>
      <c r="E175" s="220"/>
      <c r="F175" s="220"/>
      <c r="G175" s="220"/>
      <c r="H175" s="220"/>
      <c r="I175" s="220"/>
      <c r="J175" s="220"/>
      <c r="K175" s="220"/>
      <c r="L175" s="288"/>
      <c r="M175" s="59"/>
      <c r="N175" s="59"/>
      <c r="O175" s="59"/>
      <c r="P175" s="59"/>
      <c r="Q175" s="59"/>
      <c r="R175" s="59"/>
      <c r="S175" s="59"/>
      <c r="T175" s="59"/>
      <c r="U175" s="59"/>
      <c r="V175" s="59"/>
      <c r="W175" s="59"/>
    </row>
    <row r="176" spans="1:26" outlineLevel="1" x14ac:dyDescent="0.2">
      <c r="A176" s="287"/>
      <c r="B176" s="287"/>
      <c r="C176" s="287"/>
      <c r="D176" s="114" t="s">
        <v>52</v>
      </c>
      <c r="E176" s="107"/>
      <c r="F176" s="220"/>
      <c r="G176" s="220"/>
      <c r="H176" s="287"/>
      <c r="I176" s="114" t="s">
        <v>405</v>
      </c>
      <c r="J176" s="107"/>
      <c r="K176" s="220"/>
      <c r="L176" s="288"/>
      <c r="M176" s="59"/>
      <c r="N176" s="59"/>
      <c r="O176" s="59"/>
      <c r="P176" s="59"/>
      <c r="Q176" s="59"/>
      <c r="R176" s="59"/>
      <c r="S176" s="59"/>
      <c r="T176" s="59"/>
      <c r="U176" s="59"/>
      <c r="V176" s="59"/>
      <c r="W176" s="59"/>
    </row>
    <row r="177" spans="1:23" outlineLevel="1" x14ac:dyDescent="0.2">
      <c r="A177" s="287"/>
      <c r="B177" s="287"/>
      <c r="C177" s="287"/>
      <c r="D177" s="6"/>
      <c r="E177" s="220"/>
      <c r="F177" s="220"/>
      <c r="G177" s="220"/>
      <c r="H177" s="220"/>
      <c r="I177" s="220"/>
      <c r="J177" s="220"/>
      <c r="K177" s="220"/>
      <c r="L177" s="288"/>
      <c r="M177" s="59"/>
      <c r="N177" s="59"/>
      <c r="O177" s="59"/>
      <c r="P177" s="59"/>
      <c r="Q177" s="59"/>
      <c r="R177" s="59"/>
      <c r="S177" s="59"/>
      <c r="T177" s="59"/>
      <c r="U177" s="59"/>
      <c r="V177" s="59"/>
      <c r="W177" s="59"/>
    </row>
    <row r="178" spans="1:23" outlineLevel="1" x14ac:dyDescent="0.2">
      <c r="A178" s="287"/>
      <c r="B178" s="287"/>
      <c r="C178" s="287"/>
      <c r="D178" s="220"/>
      <c r="E178" s="195" t="s">
        <v>289</v>
      </c>
      <c r="F178" s="220"/>
      <c r="G178" s="220"/>
      <c r="H178" s="220"/>
      <c r="I178" s="220"/>
      <c r="J178" s="220"/>
      <c r="K178" s="220"/>
      <c r="L178" s="288"/>
      <c r="M178" s="59"/>
      <c r="N178" s="59"/>
      <c r="O178" s="59"/>
      <c r="P178" s="59"/>
      <c r="Q178" s="59"/>
      <c r="R178" s="59"/>
      <c r="S178" s="59"/>
      <c r="T178" s="59"/>
      <c r="U178" s="59"/>
      <c r="V178" s="59"/>
      <c r="W178" s="59"/>
    </row>
    <row r="179" spans="1:23" outlineLevel="1" x14ac:dyDescent="0.2">
      <c r="A179" s="287"/>
      <c r="B179" s="287"/>
      <c r="C179" s="287"/>
      <c r="D179" s="6"/>
      <c r="E179" s="108">
        <f>IF(J176&lt;&gt;"",J176,FirstYear)</f>
        <v>0</v>
      </c>
      <c r="F179" s="112">
        <f>E179+1</f>
        <v>1</v>
      </c>
      <c r="G179" s="112">
        <f>F179+1</f>
        <v>2</v>
      </c>
      <c r="H179" s="112">
        <f>G179+1</f>
        <v>3</v>
      </c>
      <c r="I179" s="112">
        <f>H179+1</f>
        <v>4</v>
      </c>
      <c r="J179" s="112">
        <f>I179+1</f>
        <v>5</v>
      </c>
      <c r="K179" s="220"/>
      <c r="L179" s="288"/>
      <c r="M179" s="59"/>
      <c r="N179" s="59"/>
      <c r="O179" s="59"/>
      <c r="P179" s="59"/>
      <c r="Q179" s="59"/>
      <c r="R179" s="59"/>
      <c r="S179" s="59"/>
      <c r="T179" s="59"/>
      <c r="U179" s="59"/>
      <c r="V179" s="59"/>
      <c r="W179" s="59"/>
    </row>
    <row r="180" spans="1:23" outlineLevel="1" x14ac:dyDescent="0.2">
      <c r="A180" s="287"/>
      <c r="B180" s="287"/>
      <c r="C180" s="287"/>
      <c r="D180" s="220"/>
      <c r="E180" s="86">
        <f>IF($B$172&lt;&gt;0,VLOOKUP($B$172,$C$184:$J$186,E181),0)</f>
        <v>0</v>
      </c>
      <c r="F180" s="86">
        <f t="shared" ref="F180:J180" si="69">IF($B$172&lt;&gt;0,VLOOKUP($B$172,$C$184:$J$186,F181),0)</f>
        <v>0</v>
      </c>
      <c r="G180" s="86">
        <f t="shared" si="69"/>
        <v>0</v>
      </c>
      <c r="H180" s="86">
        <f t="shared" si="69"/>
        <v>0</v>
      </c>
      <c r="I180" s="86">
        <f t="shared" si="69"/>
        <v>0</v>
      </c>
      <c r="J180" s="86">
        <f t="shared" si="69"/>
        <v>0</v>
      </c>
      <c r="K180" s="220"/>
      <c r="L180" s="288"/>
      <c r="M180" s="59"/>
      <c r="N180" s="59"/>
      <c r="O180" s="59"/>
      <c r="P180" s="59"/>
      <c r="Q180" s="59"/>
      <c r="R180" s="59"/>
      <c r="S180" s="59"/>
      <c r="T180" s="59"/>
      <c r="U180" s="59"/>
      <c r="V180" s="59"/>
      <c r="W180" s="59"/>
    </row>
    <row r="181" spans="1:23" outlineLevel="1" x14ac:dyDescent="0.2">
      <c r="A181" s="287"/>
      <c r="B181" s="287"/>
      <c r="C181" s="287"/>
      <c r="D181" s="220"/>
      <c r="E181" s="269">
        <v>3</v>
      </c>
      <c r="F181" s="269">
        <v>4</v>
      </c>
      <c r="G181" s="269">
        <v>5</v>
      </c>
      <c r="H181" s="269">
        <v>6</v>
      </c>
      <c r="I181" s="269">
        <v>7</v>
      </c>
      <c r="J181" s="269">
        <v>8</v>
      </c>
      <c r="K181" s="220"/>
      <c r="L181" s="288"/>
      <c r="M181" s="59"/>
      <c r="N181" s="59"/>
      <c r="O181" s="59"/>
      <c r="P181" s="59"/>
      <c r="Q181" s="59"/>
      <c r="R181" s="59"/>
      <c r="S181" s="59"/>
      <c r="T181" s="59"/>
      <c r="U181" s="59"/>
      <c r="V181" s="59"/>
      <c r="W181" s="59"/>
    </row>
    <row r="182" spans="1:23" outlineLevel="1" x14ac:dyDescent="0.2">
      <c r="A182" s="287"/>
      <c r="B182" s="287"/>
      <c r="C182" s="287"/>
      <c r="D182" s="46" t="s">
        <v>362</v>
      </c>
      <c r="E182" s="108">
        <f t="shared" ref="E182:J182" si="70">E179</f>
        <v>0</v>
      </c>
      <c r="F182" s="108">
        <f t="shared" si="70"/>
        <v>1</v>
      </c>
      <c r="G182" s="108">
        <f t="shared" si="70"/>
        <v>2</v>
      </c>
      <c r="H182" s="108">
        <f t="shared" si="70"/>
        <v>3</v>
      </c>
      <c r="I182" s="108">
        <f t="shared" si="70"/>
        <v>4</v>
      </c>
      <c r="J182" s="108">
        <f t="shared" si="70"/>
        <v>5</v>
      </c>
      <c r="K182" s="220"/>
      <c r="L182" s="287"/>
      <c r="M182" s="60"/>
      <c r="N182" s="60"/>
      <c r="O182" s="60"/>
      <c r="P182" s="60"/>
      <c r="Q182" s="60"/>
      <c r="R182" s="60"/>
      <c r="S182" s="60"/>
      <c r="T182" s="60"/>
      <c r="U182" s="60"/>
      <c r="V182" s="60"/>
      <c r="W182" s="60"/>
    </row>
    <row r="183" spans="1:23" outlineLevel="1" x14ac:dyDescent="0.2">
      <c r="A183" s="287"/>
      <c r="B183" s="287"/>
      <c r="D183" s="270" t="s">
        <v>274</v>
      </c>
      <c r="E183" s="86">
        <f>IF(OR(E184="",E184=0),SUM(E185:E186),E184)</f>
        <v>0</v>
      </c>
      <c r="F183" s="86">
        <f t="shared" ref="F183" si="71">IF(OR(F184="",F184=0),SUM(F185:F186),F184)</f>
        <v>0</v>
      </c>
      <c r="G183" s="86">
        <f t="shared" ref="G183" si="72">IF(OR(G184="",G184=0),SUM(G185:G186),G184)</f>
        <v>0</v>
      </c>
      <c r="H183" s="86">
        <f t="shared" ref="H183" si="73">IF(OR(H184="",H184=0),SUM(H185:H186),H184)</f>
        <v>0</v>
      </c>
      <c r="I183" s="86">
        <f t="shared" ref="I183" si="74">IF(OR(I184="",I184=0),SUM(I185:I186),I184)</f>
        <v>0</v>
      </c>
      <c r="J183" s="86">
        <f t="shared" ref="J183" si="75">IF(OR(J184="",J184=0),SUM(J185:J186),J184)</f>
        <v>0</v>
      </c>
      <c r="K183" s="220"/>
      <c r="L183" s="287"/>
      <c r="M183" s="60"/>
      <c r="N183" s="60"/>
      <c r="O183" s="60"/>
      <c r="P183" s="60"/>
      <c r="Q183" s="60"/>
      <c r="R183" s="60"/>
      <c r="S183" s="60"/>
      <c r="T183" s="60"/>
      <c r="U183" s="60"/>
      <c r="V183" s="60"/>
      <c r="W183" s="60"/>
    </row>
    <row r="184" spans="1:23" outlineLevel="1" x14ac:dyDescent="0.2">
      <c r="A184" s="287"/>
      <c r="B184" s="287"/>
      <c r="C184" s="212">
        <v>1</v>
      </c>
      <c r="D184" s="270" t="s">
        <v>406</v>
      </c>
      <c r="E184" s="65"/>
      <c r="F184" s="65"/>
      <c r="G184" s="65"/>
      <c r="H184" s="65"/>
      <c r="I184" s="65"/>
      <c r="J184" s="65"/>
      <c r="K184" s="220"/>
      <c r="L184" s="287"/>
      <c r="M184" s="60"/>
      <c r="N184" s="60"/>
      <c r="O184" s="60"/>
      <c r="P184" s="60"/>
      <c r="Q184" s="60"/>
      <c r="R184" s="60"/>
      <c r="S184" s="60"/>
      <c r="T184" s="60"/>
      <c r="U184" s="60"/>
      <c r="V184" s="60"/>
      <c r="W184" s="60"/>
    </row>
    <row r="185" spans="1:23" outlineLevel="1" x14ac:dyDescent="0.2">
      <c r="A185" s="287"/>
      <c r="B185" s="287"/>
      <c r="C185" s="212">
        <v>2</v>
      </c>
      <c r="D185" s="270" t="s">
        <v>277</v>
      </c>
      <c r="E185" s="65"/>
      <c r="F185" s="65"/>
      <c r="G185" s="65"/>
      <c r="H185" s="65"/>
      <c r="I185" s="65"/>
      <c r="J185" s="65"/>
      <c r="K185" s="220"/>
      <c r="L185" s="287"/>
      <c r="M185" s="60"/>
      <c r="N185" s="60"/>
      <c r="O185" s="60"/>
      <c r="P185" s="60"/>
      <c r="Q185" s="60"/>
      <c r="R185" s="60"/>
      <c r="S185" s="60"/>
      <c r="T185" s="60"/>
      <c r="U185" s="60"/>
      <c r="V185" s="60"/>
      <c r="W185" s="60"/>
    </row>
    <row r="186" spans="1:23" outlineLevel="1" x14ac:dyDescent="0.2">
      <c r="A186" s="287"/>
      <c r="B186" s="287"/>
      <c r="C186" s="212">
        <v>3</v>
      </c>
      <c r="D186" s="270" t="s">
        <v>278</v>
      </c>
      <c r="E186" s="65"/>
      <c r="F186" s="65"/>
      <c r="G186" s="65"/>
      <c r="H186" s="65"/>
      <c r="I186" s="65"/>
      <c r="J186" s="65"/>
      <c r="K186" s="220"/>
      <c r="L186" s="287"/>
      <c r="M186" s="60"/>
      <c r="N186" s="60"/>
      <c r="O186" s="60"/>
      <c r="P186" s="60"/>
      <c r="Q186" s="60"/>
      <c r="R186" s="60"/>
      <c r="S186" s="60"/>
      <c r="T186" s="60"/>
      <c r="U186" s="60"/>
      <c r="V186" s="60"/>
      <c r="W186" s="60"/>
    </row>
    <row r="187" spans="1:23" ht="12.75" customHeight="1" outlineLevel="1" x14ac:dyDescent="0.2"/>
  </sheetData>
  <sheetProtection selectLockedCells="1"/>
  <mergeCells count="21">
    <mergeCell ref="X1:Z1"/>
    <mergeCell ref="E106:J106"/>
    <mergeCell ref="E123:J123"/>
    <mergeCell ref="E140:J140"/>
    <mergeCell ref="E157:J157"/>
    <mergeCell ref="M21:R21"/>
    <mergeCell ref="M38:R38"/>
    <mergeCell ref="M55:R55"/>
    <mergeCell ref="M72:R72"/>
    <mergeCell ref="M89:R89"/>
    <mergeCell ref="M106:R106"/>
    <mergeCell ref="M123:R123"/>
    <mergeCell ref="M140:R140"/>
    <mergeCell ref="M157:R157"/>
    <mergeCell ref="M174:R174"/>
    <mergeCell ref="E174:J174"/>
    <mergeCell ref="E72:J72"/>
    <mergeCell ref="E89:J89"/>
    <mergeCell ref="E21:J21"/>
    <mergeCell ref="E38:J38"/>
    <mergeCell ref="E55:J55"/>
  </mergeCells>
  <conditionalFormatting sqref="E23">
    <cfRule type="expression" dxfId="34" priority="38">
      <formula>#REF!=""</formula>
    </cfRule>
  </conditionalFormatting>
  <conditionalFormatting sqref="E40">
    <cfRule type="expression" dxfId="33" priority="36">
      <formula>#REF!=""</formula>
    </cfRule>
  </conditionalFormatting>
  <conditionalFormatting sqref="E57">
    <cfRule type="expression" dxfId="32" priority="34">
      <formula>#REF!=""</formula>
    </cfRule>
  </conditionalFormatting>
  <conditionalFormatting sqref="E74">
    <cfRule type="expression" dxfId="31" priority="32">
      <formula>#REF!=""</formula>
    </cfRule>
  </conditionalFormatting>
  <conditionalFormatting sqref="E91">
    <cfRule type="expression" dxfId="30" priority="30">
      <formula>#REF!=""</formula>
    </cfRule>
  </conditionalFormatting>
  <conditionalFormatting sqref="E21 J23 E27:J27">
    <cfRule type="expression" dxfId="29" priority="29">
      <formula>$B$19=0</formula>
    </cfRule>
  </conditionalFormatting>
  <conditionalFormatting sqref="E38 J40 E44:J44">
    <cfRule type="expression" dxfId="28" priority="28">
      <formula>$B$36=0</formula>
    </cfRule>
  </conditionalFormatting>
  <conditionalFormatting sqref="E55 J57 E61:J61">
    <cfRule type="expression" dxfId="27" priority="27">
      <formula>$B$53=0</formula>
    </cfRule>
  </conditionalFormatting>
  <conditionalFormatting sqref="E72 J74 E78:J78">
    <cfRule type="expression" dxfId="26" priority="26">
      <formula>$B$70=0</formula>
    </cfRule>
  </conditionalFormatting>
  <conditionalFormatting sqref="E89 J91 E95:J95">
    <cfRule type="expression" dxfId="25" priority="25">
      <formula>$B$87=0</formula>
    </cfRule>
  </conditionalFormatting>
  <conditionalFormatting sqref="E108">
    <cfRule type="expression" dxfId="24" priority="24">
      <formula>#REF!=""</formula>
    </cfRule>
  </conditionalFormatting>
  <conditionalFormatting sqref="E106 J108 E112:J112">
    <cfRule type="expression" dxfId="23" priority="23">
      <formula>$B$104=0</formula>
    </cfRule>
  </conditionalFormatting>
  <conditionalFormatting sqref="E125">
    <cfRule type="expression" dxfId="22" priority="22">
      <formula>#REF!=""</formula>
    </cfRule>
  </conditionalFormatting>
  <conditionalFormatting sqref="E123 J125 E129:J129">
    <cfRule type="expression" dxfId="21" priority="21">
      <formula>$B$121=0</formula>
    </cfRule>
  </conditionalFormatting>
  <conditionalFormatting sqref="E142">
    <cfRule type="expression" dxfId="20" priority="20">
      <formula>#REF!=""</formula>
    </cfRule>
  </conditionalFormatting>
  <conditionalFormatting sqref="E140 J142 E146:J146">
    <cfRule type="expression" dxfId="19" priority="19">
      <formula>$B$138=0</formula>
    </cfRule>
  </conditionalFormatting>
  <conditionalFormatting sqref="E159">
    <cfRule type="expression" dxfId="18" priority="18">
      <formula>#REF!=""</formula>
    </cfRule>
  </conditionalFormatting>
  <conditionalFormatting sqref="E157 J159 E163:J163">
    <cfRule type="expression" dxfId="17" priority="17">
      <formula>$B$155=0</formula>
    </cfRule>
  </conditionalFormatting>
  <conditionalFormatting sqref="E176">
    <cfRule type="expression" dxfId="16" priority="16">
      <formula>#REF!=""</formula>
    </cfRule>
  </conditionalFormatting>
  <conditionalFormatting sqref="E174 J176 E180:J180">
    <cfRule type="expression" dxfId="15" priority="15">
      <formula>$B$172=0</formula>
    </cfRule>
  </conditionalFormatting>
  <conditionalFormatting sqref="M21">
    <cfRule type="expression" dxfId="14" priority="10">
      <formula>$B$19=0</formula>
    </cfRule>
  </conditionalFormatting>
  <conditionalFormatting sqref="M38">
    <cfRule type="expression" dxfId="13" priority="9">
      <formula>$B$36=0</formula>
    </cfRule>
  </conditionalFormatting>
  <conditionalFormatting sqref="M55">
    <cfRule type="expression" dxfId="12" priority="8">
      <formula>$B$53=0</formula>
    </cfRule>
  </conditionalFormatting>
  <conditionalFormatting sqref="M72">
    <cfRule type="expression" dxfId="11" priority="7">
      <formula>$B$70=0</formula>
    </cfRule>
  </conditionalFormatting>
  <conditionalFormatting sqref="M89">
    <cfRule type="expression" dxfId="10" priority="6">
      <formula>$B$87=0</formula>
    </cfRule>
  </conditionalFormatting>
  <conditionalFormatting sqref="M106">
    <cfRule type="expression" dxfId="9" priority="5">
      <formula>$B$104=0</formula>
    </cfRule>
  </conditionalFormatting>
  <conditionalFormatting sqref="M123">
    <cfRule type="expression" dxfId="8" priority="4">
      <formula>$B$121=0</formula>
    </cfRule>
  </conditionalFormatting>
  <conditionalFormatting sqref="M140">
    <cfRule type="expression" dxfId="7" priority="3">
      <formula>$B$138=0</formula>
    </cfRule>
  </conditionalFormatting>
  <conditionalFormatting sqref="M157">
    <cfRule type="expression" dxfId="6" priority="2">
      <formula>$B$155=0</formula>
    </cfRule>
  </conditionalFormatting>
  <conditionalFormatting sqref="M174">
    <cfRule type="expression" dxfId="5" priority="1">
      <formula>$B$172=0</formula>
    </cfRule>
  </conditionalFormatting>
  <dataValidations count="1">
    <dataValidation type="list" allowBlank="1" showInputMessage="1" showErrorMessage="1" sqref="E23 E40 E57 E74 E91 E108 E125 E142 E159 E176">
      <formula1>Gender</formula1>
    </dataValidation>
  </dataValidations>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pageSetUpPr fitToPage="1"/>
  </sheetPr>
  <dimension ref="A1:X519"/>
  <sheetViews>
    <sheetView showGridLines="0" zoomScaleNormal="100" zoomScaleSheetLayoutView="100" workbookViewId="0"/>
  </sheetViews>
  <sheetFormatPr defaultRowHeight="12.75" customHeight="1" outlineLevelRow="1" x14ac:dyDescent="0.2"/>
  <cols>
    <col min="1" max="1" width="3.7109375" customWidth="1"/>
    <col min="2" max="2" width="3.7109375" hidden="1" customWidth="1"/>
    <col min="3" max="3" width="25.7109375" customWidth="1"/>
    <col min="4" max="4" width="5.7109375" customWidth="1"/>
    <col min="5" max="5" width="90.7109375" customWidth="1"/>
    <col min="6" max="6" width="3.28515625" hidden="1" customWidth="1"/>
    <col min="7" max="7" width="3.7109375" customWidth="1"/>
    <col min="8" max="9" width="20.7109375" customWidth="1"/>
    <col min="10" max="10" width="3.28515625" hidden="1" customWidth="1"/>
    <col min="11" max="11" width="3.7109375" customWidth="1"/>
    <col min="12" max="13" width="20.7109375" customWidth="1"/>
    <col min="14" max="16" width="3.7109375" hidden="1" customWidth="1"/>
    <col min="17" max="20" width="10.7109375" customWidth="1"/>
  </cols>
  <sheetData>
    <row r="1" spans="1:23" ht="23.25" x14ac:dyDescent="0.2">
      <c r="A1" s="318">
        <f>IF(P407=19,2,0)</f>
        <v>0</v>
      </c>
      <c r="B1" s="319"/>
      <c r="C1" s="320" t="s">
        <v>264</v>
      </c>
      <c r="D1" s="319"/>
      <c r="E1" s="319"/>
      <c r="F1" s="319"/>
      <c r="G1" s="319"/>
      <c r="H1" s="319"/>
      <c r="I1" s="319"/>
      <c r="J1" s="319"/>
      <c r="K1" s="319"/>
      <c r="L1" s="319"/>
      <c r="M1" s="126"/>
      <c r="N1" s="319"/>
      <c r="O1" s="319"/>
      <c r="P1" s="319"/>
      <c r="Q1" s="126"/>
      <c r="R1" s="126"/>
      <c r="S1" s="126"/>
      <c r="T1" s="126"/>
      <c r="U1" s="321"/>
      <c r="V1" s="321"/>
      <c r="W1" s="321"/>
    </row>
    <row r="2" spans="1:23" ht="15.75" x14ac:dyDescent="0.2">
      <c r="A2" s="319"/>
      <c r="B2" s="319"/>
      <c r="C2" s="322" t="str">
        <f>CONCATENATE("Name of medicine: ", MedicineBrand)</f>
        <v>Name of medicine:  (®)</v>
      </c>
      <c r="D2" s="319"/>
      <c r="E2" s="319"/>
      <c r="F2" s="319"/>
      <c r="G2" s="319"/>
      <c r="H2" s="319"/>
      <c r="I2" s="319"/>
      <c r="J2" s="319"/>
      <c r="K2" s="319"/>
      <c r="L2" s="319"/>
      <c r="M2" s="319"/>
      <c r="N2" s="319"/>
      <c r="O2" s="319"/>
      <c r="P2" s="319"/>
      <c r="Q2" s="319"/>
      <c r="R2" s="319"/>
      <c r="S2" s="319"/>
      <c r="T2" s="319"/>
      <c r="U2" s="321"/>
      <c r="V2" s="321"/>
      <c r="W2" s="321"/>
    </row>
    <row r="3" spans="1:23" ht="15.75" x14ac:dyDescent="0.2">
      <c r="A3" s="319"/>
      <c r="B3" s="319"/>
      <c r="C3" s="322" t="str">
        <f>CONCATENATE("Indication: ", Indication)</f>
        <v xml:space="preserve">Indication: </v>
      </c>
      <c r="D3" s="319"/>
      <c r="E3" s="319"/>
      <c r="F3" s="319"/>
      <c r="G3" s="319"/>
      <c r="H3" s="319"/>
      <c r="I3" s="319"/>
      <c r="J3" s="319"/>
      <c r="K3" s="319"/>
      <c r="L3" s="319"/>
      <c r="M3" s="319"/>
      <c r="N3" s="319"/>
      <c r="O3" s="319"/>
      <c r="P3" s="319"/>
      <c r="Q3" s="319"/>
      <c r="R3" s="319"/>
      <c r="S3" s="319"/>
      <c r="T3" s="319"/>
      <c r="U3" s="321"/>
      <c r="V3" s="321"/>
      <c r="W3" s="321"/>
    </row>
    <row r="4" spans="1:23" x14ac:dyDescent="0.2">
      <c r="A4" s="138"/>
      <c r="B4" s="138"/>
      <c r="C4" s="323"/>
      <c r="D4" s="138"/>
      <c r="E4" s="138"/>
      <c r="F4" s="138"/>
      <c r="G4" s="138"/>
      <c r="H4" s="138"/>
      <c r="I4" s="138"/>
      <c r="J4" s="138"/>
      <c r="K4" s="138"/>
      <c r="L4" s="138"/>
      <c r="M4" s="138"/>
      <c r="N4" s="138"/>
      <c r="O4" s="138"/>
      <c r="P4" s="138"/>
      <c r="Q4" s="138"/>
      <c r="R4" s="138"/>
      <c r="S4" s="138"/>
      <c r="T4" s="138"/>
      <c r="U4" s="138"/>
      <c r="V4" s="138"/>
      <c r="W4" s="138"/>
    </row>
    <row r="5" spans="1:23" ht="15.75" x14ac:dyDescent="0.2">
      <c r="A5" s="140"/>
      <c r="B5" s="140"/>
      <c r="C5" s="132" t="s">
        <v>85</v>
      </c>
      <c r="D5" s="141"/>
      <c r="E5" s="141"/>
      <c r="F5" s="141"/>
      <c r="G5" s="141"/>
      <c r="H5" s="141"/>
      <c r="I5" s="141"/>
      <c r="J5" s="141"/>
      <c r="K5" s="141"/>
      <c r="L5" s="141"/>
      <c r="M5" s="141"/>
      <c r="N5" s="141"/>
      <c r="O5" s="141"/>
      <c r="P5" s="141"/>
      <c r="Q5" s="141"/>
      <c r="R5" s="141"/>
      <c r="S5" s="141"/>
      <c r="T5" s="141"/>
      <c r="U5" s="140"/>
      <c r="V5" s="140"/>
      <c r="W5" s="140"/>
    </row>
    <row r="6" spans="1:23" x14ac:dyDescent="0.2">
      <c r="A6" s="138"/>
      <c r="B6" s="138"/>
      <c r="C6" s="138"/>
      <c r="D6" s="138"/>
      <c r="E6" s="138"/>
      <c r="F6" s="138"/>
      <c r="G6" s="138"/>
      <c r="H6" s="138"/>
      <c r="I6" s="138"/>
      <c r="J6" s="138"/>
      <c r="K6" s="138"/>
      <c r="L6" s="138"/>
      <c r="M6" s="138"/>
      <c r="N6" s="138"/>
      <c r="O6" s="138"/>
      <c r="P6" s="138"/>
      <c r="Q6" s="138"/>
      <c r="R6" s="138"/>
      <c r="S6" s="138"/>
      <c r="T6" s="138"/>
      <c r="U6" s="138"/>
      <c r="V6" s="138"/>
      <c r="W6" s="138"/>
    </row>
    <row r="7" spans="1:23" x14ac:dyDescent="0.2">
      <c r="A7" s="138"/>
      <c r="B7" s="138"/>
      <c r="C7" s="747" t="s">
        <v>882</v>
      </c>
      <c r="D7" s="747"/>
      <c r="E7" s="32"/>
      <c r="F7" s="134"/>
      <c r="G7" s="134"/>
      <c r="H7" s="127" t="s">
        <v>611</v>
      </c>
      <c r="I7" s="377"/>
      <c r="J7" s="128"/>
      <c r="K7" s="128"/>
      <c r="L7" s="127" t="s">
        <v>880</v>
      </c>
      <c r="M7" s="107"/>
      <c r="N7" s="494">
        <f>IF(M7="Yes",1,0)</f>
        <v>0</v>
      </c>
      <c r="O7" s="94"/>
      <c r="P7" s="135">
        <f>IF(AND(MedicineName&lt;&gt;"",E8&lt;&gt;"",E9&lt;&gt;""),1,0)</f>
        <v>0</v>
      </c>
      <c r="Q7" s="138"/>
      <c r="R7" s="138"/>
      <c r="S7" s="138"/>
      <c r="T7" s="138"/>
      <c r="U7" s="138"/>
      <c r="V7" s="138"/>
      <c r="W7" s="138"/>
    </row>
    <row r="8" spans="1:23" x14ac:dyDescent="0.2">
      <c r="A8" s="138"/>
      <c r="B8" s="138"/>
      <c r="C8" s="747" t="s">
        <v>612</v>
      </c>
      <c r="D8" s="747"/>
      <c r="E8" s="32"/>
      <c r="F8" s="134"/>
      <c r="G8" s="134"/>
      <c r="H8" s="127" t="s">
        <v>613</v>
      </c>
      <c r="I8" s="534"/>
      <c r="J8" s="128"/>
      <c r="K8" s="128"/>
      <c r="L8" s="127" t="s">
        <v>614</v>
      </c>
      <c r="M8" s="107"/>
      <c r="N8" s="134"/>
      <c r="O8" s="94"/>
      <c r="P8" s="135">
        <f>IF(AND(I7&lt;&gt;"",I9&lt;&gt;0),1,0)</f>
        <v>0</v>
      </c>
      <c r="Q8" s="138"/>
      <c r="R8" s="138"/>
      <c r="S8" s="138"/>
      <c r="T8" s="138"/>
      <c r="U8" s="138"/>
      <c r="V8" s="138"/>
      <c r="W8" s="138"/>
    </row>
    <row r="9" spans="1:23" x14ac:dyDescent="0.2">
      <c r="A9" s="138"/>
      <c r="B9" s="138"/>
      <c r="C9" s="747" t="s">
        <v>1015</v>
      </c>
      <c r="D9" s="747"/>
      <c r="E9" s="29"/>
      <c r="F9" s="140"/>
      <c r="G9" s="140"/>
      <c r="H9" s="127" t="s">
        <v>615</v>
      </c>
      <c r="I9" s="107"/>
      <c r="J9" s="142"/>
      <c r="K9" s="142"/>
      <c r="L9" s="142"/>
      <c r="M9" s="142"/>
      <c r="N9" s="94"/>
      <c r="O9" s="94"/>
      <c r="P9" s="135">
        <f>IF(AND(M7&lt;&gt;"",FirstYear&lt;&gt;""),1,0)</f>
        <v>0</v>
      </c>
      <c r="Q9" s="138"/>
      <c r="R9" s="138"/>
      <c r="S9" s="138"/>
      <c r="T9" s="138"/>
      <c r="U9" s="138"/>
      <c r="V9" s="138"/>
      <c r="W9" s="138"/>
    </row>
    <row r="10" spans="1:23" hidden="1" x14ac:dyDescent="0.2">
      <c r="A10" s="138"/>
      <c r="B10" s="138"/>
      <c r="C10" s="138"/>
      <c r="D10" s="138"/>
      <c r="E10" s="324" t="str">
        <f>TRIM(E7) &amp; " (" &amp; TRIM(E8) &amp; "®)"</f>
        <v xml:space="preserve"> (®)</v>
      </c>
      <c r="F10" s="140"/>
      <c r="G10" s="140"/>
      <c r="H10" s="138"/>
      <c r="I10" s="138"/>
      <c r="J10" s="138"/>
      <c r="K10" s="138"/>
      <c r="L10" s="138"/>
      <c r="M10" s="138"/>
      <c r="N10" s="94"/>
      <c r="O10" s="94"/>
      <c r="P10" s="94"/>
      <c r="Q10" s="138"/>
      <c r="R10" s="138"/>
      <c r="S10" s="138"/>
      <c r="T10" s="138"/>
      <c r="U10" s="138"/>
      <c r="V10" s="138"/>
      <c r="W10" s="138"/>
    </row>
    <row r="11" spans="1:23" x14ac:dyDescent="0.2">
      <c r="A11" s="138"/>
      <c r="B11" s="138"/>
      <c r="C11" s="138"/>
      <c r="D11" s="138"/>
      <c r="E11" s="325"/>
      <c r="F11" s="140"/>
      <c r="G11" s="140"/>
      <c r="H11" s="138"/>
      <c r="I11" s="138"/>
      <c r="J11" s="138"/>
      <c r="K11" s="138"/>
      <c r="L11" s="138"/>
      <c r="M11" s="138"/>
      <c r="N11" s="94"/>
      <c r="O11" s="94"/>
      <c r="P11" s="94"/>
      <c r="Q11" s="138"/>
      <c r="R11" s="138"/>
      <c r="S11" s="138"/>
      <c r="T11" s="138"/>
      <c r="U11" s="138"/>
      <c r="V11" s="138"/>
      <c r="W11" s="138"/>
    </row>
    <row r="12" spans="1:23" x14ac:dyDescent="0.2">
      <c r="A12" s="138"/>
      <c r="B12" s="138"/>
      <c r="C12" s="326"/>
      <c r="D12" s="326"/>
      <c r="E12" s="326"/>
      <c r="F12" s="326"/>
      <c r="G12" s="326"/>
      <c r="H12" s="326"/>
      <c r="I12" s="326"/>
      <c r="J12" s="326"/>
      <c r="K12" s="326"/>
      <c r="L12" s="326"/>
      <c r="M12" s="326"/>
      <c r="N12" s="326"/>
      <c r="O12" s="326"/>
      <c r="P12" s="326"/>
      <c r="Q12" s="326"/>
      <c r="R12" s="138"/>
      <c r="S12" s="138"/>
      <c r="T12" s="138"/>
      <c r="U12" s="138"/>
      <c r="V12" s="138"/>
      <c r="W12" s="138"/>
    </row>
    <row r="13" spans="1:23" ht="15.75" x14ac:dyDescent="0.2">
      <c r="A13" s="140"/>
      <c r="B13" s="140"/>
      <c r="C13" s="132" t="s">
        <v>45</v>
      </c>
      <c r="D13" s="141"/>
      <c r="E13" s="141"/>
      <c r="F13" s="141"/>
      <c r="G13" s="141"/>
      <c r="H13" s="141"/>
      <c r="I13" s="141"/>
      <c r="J13" s="141"/>
      <c r="K13" s="141"/>
      <c r="L13" s="141"/>
      <c r="M13" s="141"/>
      <c r="N13" s="141"/>
      <c r="O13" s="141"/>
      <c r="P13" s="141"/>
      <c r="Q13" s="141"/>
      <c r="R13" s="141"/>
      <c r="S13" s="141"/>
      <c r="T13" s="141"/>
      <c r="U13" s="140"/>
      <c r="V13" s="140"/>
      <c r="W13" s="140"/>
    </row>
    <row r="14" spans="1:23" x14ac:dyDescent="0.2">
      <c r="A14" s="134"/>
      <c r="B14" s="134"/>
      <c r="C14" s="138"/>
      <c r="D14" s="138"/>
      <c r="E14" s="138"/>
      <c r="F14" s="138"/>
      <c r="G14" s="138"/>
      <c r="H14" s="138"/>
      <c r="I14" s="138"/>
      <c r="J14" s="138"/>
      <c r="K14" s="138"/>
      <c r="L14" s="138"/>
      <c r="M14" s="138"/>
      <c r="N14" s="138"/>
      <c r="O14" s="138"/>
      <c r="P14" s="138"/>
      <c r="Q14" s="138"/>
      <c r="R14" s="138"/>
      <c r="S14" s="138"/>
      <c r="T14" s="138"/>
      <c r="U14" s="138"/>
      <c r="V14" s="138"/>
      <c r="W14" s="138"/>
    </row>
    <row r="15" spans="1:23" ht="15.75" x14ac:dyDescent="0.2">
      <c r="A15" s="138"/>
      <c r="B15" s="138"/>
      <c r="C15" s="138"/>
      <c r="D15" s="138"/>
      <c r="E15" s="138"/>
      <c r="F15" s="140"/>
      <c r="G15" s="140"/>
      <c r="H15" s="737" t="s">
        <v>241</v>
      </c>
      <c r="I15" s="737"/>
      <c r="J15" s="134"/>
      <c r="K15" s="134"/>
      <c r="L15" s="737" t="str">
        <f>"Patient cost without subsidy - " &amp; IF(I404="Annual","annual","course")</f>
        <v>Patient cost without subsidy - course</v>
      </c>
      <c r="M15" s="737"/>
      <c r="N15" s="94"/>
      <c r="O15" s="94"/>
      <c r="P15" s="94"/>
      <c r="Q15" s="138"/>
      <c r="R15" s="138"/>
      <c r="S15" s="138"/>
      <c r="T15" s="138"/>
      <c r="U15" s="138"/>
      <c r="V15" s="138"/>
      <c r="W15" s="138"/>
    </row>
    <row r="16" spans="1:23" x14ac:dyDescent="0.2">
      <c r="A16" s="138"/>
      <c r="B16" s="138"/>
      <c r="C16" s="138"/>
      <c r="D16" s="138"/>
      <c r="E16" s="138"/>
      <c r="F16" s="140"/>
      <c r="G16" s="140"/>
      <c r="H16" s="127" t="s">
        <v>616</v>
      </c>
      <c r="I16" s="509" t="str">
        <f>'5. Impact - net'!M1</f>
        <v>Nil</v>
      </c>
      <c r="J16" s="135" t="str">
        <f>IF(I16&lt;&gt;"",VLOOKUP(I16,CostTypePBSCode,2,FALSE),"N")</f>
        <v>N</v>
      </c>
      <c r="K16" s="135"/>
      <c r="L16" s="127" t="s">
        <v>617</v>
      </c>
      <c r="M16" s="403">
        <f>I406*M404</f>
        <v>0</v>
      </c>
      <c r="N16" s="94"/>
      <c r="O16" s="94"/>
      <c r="P16" s="94"/>
      <c r="Q16" s="138"/>
      <c r="R16" s="138"/>
      <c r="S16" s="138"/>
      <c r="T16" s="138"/>
      <c r="U16" s="138"/>
      <c r="V16" s="138"/>
      <c r="W16" s="138"/>
    </row>
    <row r="17" spans="1:23" x14ac:dyDescent="0.2">
      <c r="A17" s="138"/>
      <c r="B17" s="138"/>
      <c r="C17" s="138"/>
      <c r="D17" s="138"/>
      <c r="E17" s="138"/>
      <c r="F17" s="140"/>
      <c r="G17" s="140"/>
      <c r="H17" s="127" t="s">
        <v>618</v>
      </c>
      <c r="I17" s="42" t="str">
        <f>'5. Impact - net'!M2</f>
        <v>Nil</v>
      </c>
      <c r="J17" s="135" t="str">
        <f>IF(I17&lt;&gt;"",VLOOKUP(I17,CostTypeCode,2,FALSE),"N")</f>
        <v>N</v>
      </c>
      <c r="K17" s="135"/>
      <c r="L17" s="127" t="s">
        <v>619</v>
      </c>
      <c r="M17" s="403">
        <f>I406*M406</f>
        <v>0</v>
      </c>
      <c r="N17" s="94"/>
      <c r="O17" s="94"/>
      <c r="P17" s="94"/>
      <c r="Q17" s="138"/>
      <c r="R17" s="138"/>
      <c r="S17" s="138"/>
      <c r="T17" s="138"/>
      <c r="U17" s="138"/>
      <c r="V17" s="138"/>
      <c r="W17" s="138"/>
    </row>
    <row r="18" spans="1:23" x14ac:dyDescent="0.2">
      <c r="A18" s="138"/>
      <c r="B18" s="138"/>
      <c r="C18" s="138"/>
      <c r="D18" s="138"/>
      <c r="E18" s="138"/>
      <c r="F18" s="140"/>
      <c r="G18" s="140"/>
      <c r="H18" s="131" t="s">
        <v>620</v>
      </c>
      <c r="I18" s="533"/>
      <c r="J18" s="135"/>
      <c r="K18" s="135"/>
      <c r="L18" s="134"/>
      <c r="M18" s="134"/>
      <c r="N18" s="94"/>
      <c r="O18" s="94"/>
      <c r="P18" s="94"/>
      <c r="Q18" s="138"/>
      <c r="R18" s="138"/>
      <c r="S18" s="138"/>
      <c r="T18" s="138"/>
      <c r="U18" s="138"/>
      <c r="V18" s="138"/>
      <c r="W18" s="138"/>
    </row>
    <row r="19" spans="1:23" x14ac:dyDescent="0.2">
      <c r="A19" s="138"/>
      <c r="B19" s="138"/>
      <c r="C19" s="138"/>
      <c r="D19" s="138"/>
      <c r="E19" s="138"/>
      <c r="F19" s="140"/>
      <c r="G19" s="140"/>
      <c r="H19" s="134"/>
      <c r="I19" s="134"/>
      <c r="J19" s="135"/>
      <c r="K19" s="135"/>
      <c r="L19" s="134"/>
      <c r="M19" s="134"/>
      <c r="N19" s="94"/>
      <c r="O19" s="94"/>
      <c r="P19" s="94"/>
      <c r="Q19" s="138"/>
      <c r="R19" s="138"/>
      <c r="S19" s="138"/>
      <c r="T19" s="138"/>
      <c r="U19" s="138"/>
      <c r="V19" s="138"/>
      <c r="W19" s="138"/>
    </row>
    <row r="20" spans="1:23" x14ac:dyDescent="0.2">
      <c r="A20" s="138"/>
      <c r="B20" s="138"/>
      <c r="C20" s="138"/>
      <c r="D20" s="138"/>
      <c r="E20" s="138"/>
      <c r="F20" s="140"/>
      <c r="G20" s="140"/>
      <c r="H20" s="127" t="s">
        <v>621</v>
      </c>
      <c r="I20" s="42" t="str">
        <f>'7. Net changes - MBS'!Q1</f>
        <v>Nil</v>
      </c>
      <c r="J20" s="135" t="str">
        <f>IF(I20&lt;&gt;"",VLOOKUP(I20,CostTypeCode,2,FALSE),"N")</f>
        <v>N</v>
      </c>
      <c r="K20" s="135"/>
      <c r="N20" s="94"/>
      <c r="O20" s="94"/>
      <c r="P20" s="94"/>
      <c r="Q20" s="138"/>
      <c r="R20" s="138"/>
      <c r="S20" s="138"/>
      <c r="T20" s="138"/>
      <c r="U20" s="138"/>
      <c r="V20" s="138"/>
      <c r="W20" s="138"/>
    </row>
    <row r="21" spans="1:23" x14ac:dyDescent="0.2">
      <c r="A21" s="138"/>
      <c r="B21" s="138"/>
      <c r="C21" s="138"/>
      <c r="D21" s="138"/>
      <c r="E21" s="138"/>
      <c r="F21" s="140"/>
      <c r="G21" s="140"/>
      <c r="H21" s="613" t="s">
        <v>796</v>
      </c>
      <c r="I21" s="42" t="str">
        <f>'6. Net changes - SA'!AA1</f>
        <v>Nil</v>
      </c>
      <c r="J21" s="135" t="str">
        <f>IF(I21&lt;&gt;"",VLOOKUP(I21,CostTypeCode,2,FALSE),"N")</f>
        <v>N</v>
      </c>
      <c r="K21" s="135"/>
      <c r="N21" s="94"/>
      <c r="O21" s="94"/>
      <c r="P21" s="94"/>
      <c r="Q21" s="138"/>
      <c r="R21" s="138"/>
      <c r="S21" s="138"/>
      <c r="T21" s="138"/>
      <c r="U21" s="138"/>
      <c r="V21" s="138"/>
      <c r="W21" s="138"/>
    </row>
    <row r="22" spans="1:23" x14ac:dyDescent="0.2">
      <c r="A22" s="138"/>
      <c r="B22" s="138"/>
      <c r="C22" s="138"/>
      <c r="D22" s="138"/>
      <c r="E22" s="138"/>
      <c r="F22" s="140"/>
      <c r="G22" s="140"/>
      <c r="H22" s="133" t="s">
        <v>622</v>
      </c>
      <c r="I22" s="42" t="str">
        <f>IF(ComplexAuthCount&gt;0,"Yes","No")</f>
        <v>No</v>
      </c>
      <c r="J22" s="135"/>
      <c r="K22" s="135"/>
      <c r="N22" s="94"/>
      <c r="O22" s="94"/>
      <c r="P22" s="94"/>
      <c r="Q22" s="138"/>
      <c r="R22" s="138"/>
      <c r="S22" s="138"/>
      <c r="T22" s="138"/>
      <c r="U22" s="138"/>
      <c r="V22" s="138"/>
      <c r="W22" s="138"/>
    </row>
    <row r="23" spans="1:23" x14ac:dyDescent="0.2">
      <c r="A23" s="138"/>
      <c r="B23" s="138"/>
      <c r="C23" s="138"/>
      <c r="D23" s="138"/>
      <c r="E23" s="138"/>
      <c r="F23" s="140"/>
      <c r="G23" s="140"/>
      <c r="H23" s="133" t="s">
        <v>623</v>
      </c>
      <c r="I23" s="533"/>
      <c r="J23" s="135"/>
      <c r="K23" s="135"/>
      <c r="N23" s="94"/>
      <c r="O23" s="94"/>
      <c r="P23" s="94"/>
      <c r="Q23" s="138"/>
      <c r="R23" s="138"/>
      <c r="S23" s="138"/>
      <c r="T23" s="138"/>
      <c r="U23" s="138"/>
      <c r="V23" s="138"/>
      <c r="W23" s="138"/>
    </row>
    <row r="24" spans="1:23" x14ac:dyDescent="0.2">
      <c r="A24" s="138"/>
      <c r="B24" s="138"/>
      <c r="C24" s="138"/>
      <c r="D24" s="138"/>
      <c r="E24" s="138"/>
      <c r="F24" s="140"/>
      <c r="G24" s="140"/>
      <c r="H24" s="133" t="s">
        <v>624</v>
      </c>
      <c r="I24" s="42" t="str">
        <f>IF(I62&lt;&gt;"",I62,"")</f>
        <v/>
      </c>
      <c r="J24" s="135"/>
      <c r="K24" s="135"/>
      <c r="N24" s="94"/>
      <c r="O24" s="94"/>
      <c r="P24" s="94"/>
      <c r="Q24" s="138"/>
      <c r="R24" s="138"/>
      <c r="S24" s="138"/>
      <c r="T24" s="138"/>
      <c r="U24" s="138"/>
      <c r="V24" s="138"/>
      <c r="W24" s="138"/>
    </row>
    <row r="25" spans="1:23" x14ac:dyDescent="0.2">
      <c r="A25" s="138"/>
      <c r="B25" s="138"/>
      <c r="C25" s="138"/>
      <c r="D25" s="138"/>
      <c r="E25" s="138"/>
      <c r="F25" s="140"/>
      <c r="G25" s="140"/>
      <c r="H25" s="138"/>
      <c r="I25" s="138"/>
      <c r="J25" s="138"/>
      <c r="K25" s="138"/>
      <c r="L25" s="138"/>
      <c r="M25" s="138"/>
      <c r="N25" s="94"/>
      <c r="O25" s="94"/>
      <c r="P25" s="94"/>
      <c r="Q25" s="138"/>
      <c r="R25" s="138"/>
      <c r="S25" s="138"/>
      <c r="T25" s="138"/>
      <c r="U25" s="138"/>
      <c r="V25" s="138"/>
      <c r="W25" s="138"/>
    </row>
    <row r="26" spans="1:23" x14ac:dyDescent="0.2">
      <c r="A26" s="138"/>
      <c r="B26" s="138"/>
      <c r="C26" s="138"/>
      <c r="D26" s="138"/>
      <c r="E26" s="138"/>
      <c r="F26" s="140"/>
      <c r="G26" s="140"/>
      <c r="H26" s="138"/>
      <c r="I26" s="138"/>
      <c r="J26" s="138"/>
      <c r="K26" s="138"/>
      <c r="L26" s="138"/>
      <c r="M26" s="138"/>
      <c r="N26" s="138"/>
      <c r="O26" s="138"/>
      <c r="P26" s="138"/>
      <c r="Q26" s="138"/>
      <c r="R26" s="138"/>
      <c r="S26" s="138"/>
      <c r="T26" s="138"/>
      <c r="U26" s="138"/>
      <c r="V26" s="138"/>
      <c r="W26" s="138"/>
    </row>
    <row r="27" spans="1:23" ht="15.75" x14ac:dyDescent="0.2">
      <c r="A27" s="140"/>
      <c r="B27" s="140"/>
      <c r="C27" s="132" t="s">
        <v>609</v>
      </c>
      <c r="D27" s="141"/>
      <c r="E27" s="141"/>
      <c r="F27" s="141"/>
      <c r="G27" s="141"/>
      <c r="H27" s="141"/>
      <c r="I27" s="141"/>
      <c r="J27" s="141"/>
      <c r="K27" s="141"/>
      <c r="L27" s="141"/>
      <c r="M27" s="141"/>
      <c r="N27" s="141"/>
      <c r="O27" s="141"/>
      <c r="P27" s="141"/>
      <c r="Q27" s="141"/>
      <c r="R27" s="141"/>
      <c r="S27" s="141"/>
      <c r="T27" s="141"/>
      <c r="U27" s="140"/>
      <c r="V27" s="140"/>
      <c r="W27" s="140"/>
    </row>
    <row r="28" spans="1:23"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row>
    <row r="29" spans="1:23" ht="56.25" x14ac:dyDescent="0.2">
      <c r="A29" s="138"/>
      <c r="B29" s="138"/>
      <c r="C29" s="748"/>
      <c r="D29" s="749"/>
      <c r="E29" s="44" t="str">
        <f>IF(E30&lt;&gt;"",E30,E36) &amp; " " &amp; IF(E31&lt;&gt;"",E31,E37) &amp; " " &amp; IF(E32&lt;&gt;"",E32,E38) &amp; " " &amp; IF(E33&lt;&gt;"",E33,E39) &amp; " " &amp; IF(E34&lt;&gt;"",E34,E40)</f>
        <v>As there are no financial impacts for any portfolio agency, there is no financial impact for the Commonwealth. As there is no change to the price or volume of the medicine associated with this listing, there is no financial impact on the PBS. As there no change to the price or volume of the medicine associated with this listing, there is no financial impact on the RPBS. As there is no testing or medical imaging associated with this listing, there is no impact on the MBS. As there is no change in dispensing volumes or the service delivery model associated with this listing, there is no impact on SA.</v>
      </c>
      <c r="F29" s="135"/>
      <c r="G29" s="135"/>
      <c r="H29" s="327"/>
      <c r="I29" s="135"/>
      <c r="J29" s="135"/>
      <c r="K29" s="135"/>
      <c r="L29" s="135"/>
      <c r="M29" s="135"/>
      <c r="N29" s="135"/>
      <c r="O29" s="94"/>
      <c r="P29" s="94"/>
      <c r="Q29" s="138"/>
      <c r="R29" s="138"/>
      <c r="S29" s="138"/>
      <c r="T29" s="138"/>
      <c r="U29" s="138"/>
      <c r="V29" s="138"/>
      <c r="W29" s="138"/>
    </row>
    <row r="30" spans="1:23" x14ac:dyDescent="0.2">
      <c r="A30" s="138"/>
      <c r="B30" s="138"/>
      <c r="C30" s="738" t="s">
        <v>625</v>
      </c>
      <c r="D30" s="739"/>
      <c r="E30" s="535"/>
      <c r="F30" s="135"/>
      <c r="G30" s="135"/>
      <c r="H30" s="138"/>
      <c r="I30" s="135"/>
      <c r="J30" s="135"/>
      <c r="K30" s="135"/>
      <c r="L30" s="135"/>
      <c r="M30" s="135"/>
      <c r="N30" s="135"/>
      <c r="O30" s="94"/>
      <c r="P30" s="94"/>
      <c r="Q30" s="138"/>
      <c r="R30" s="138"/>
      <c r="S30" s="138"/>
      <c r="T30" s="138"/>
      <c r="U30" s="138"/>
      <c r="V30" s="138"/>
      <c r="W30" s="138"/>
    </row>
    <row r="31" spans="1:23" x14ac:dyDescent="0.2">
      <c r="A31" s="138"/>
      <c r="B31" s="138"/>
      <c r="C31" s="738" t="s">
        <v>616</v>
      </c>
      <c r="D31" s="739"/>
      <c r="E31" s="535"/>
      <c r="F31" s="135"/>
      <c r="G31" s="135"/>
      <c r="H31" s="138"/>
      <c r="I31" s="135"/>
      <c r="J31" s="135"/>
      <c r="K31" s="135"/>
      <c r="L31" s="135"/>
      <c r="M31" s="135"/>
      <c r="N31" s="135"/>
      <c r="O31" s="94"/>
      <c r="P31" s="94"/>
      <c r="Q31" s="138"/>
      <c r="R31" s="138"/>
      <c r="S31" s="138"/>
      <c r="T31" s="138"/>
      <c r="U31" s="138"/>
      <c r="V31" s="138"/>
      <c r="W31" s="138"/>
    </row>
    <row r="32" spans="1:23" x14ac:dyDescent="0.2">
      <c r="A32" s="138"/>
      <c r="B32" s="138"/>
      <c r="C32" s="738" t="s">
        <v>618</v>
      </c>
      <c r="D32" s="739"/>
      <c r="E32" s="535"/>
      <c r="F32" s="135"/>
      <c r="G32" s="135"/>
      <c r="H32" s="138"/>
      <c r="I32" s="135"/>
      <c r="J32" s="135"/>
      <c r="K32" s="135"/>
      <c r="L32" s="135"/>
      <c r="M32" s="135"/>
      <c r="N32" s="135"/>
      <c r="O32" s="94"/>
      <c r="P32" s="94"/>
      <c r="Q32" s="138"/>
      <c r="R32" s="138"/>
      <c r="S32" s="138"/>
      <c r="T32" s="138"/>
      <c r="U32" s="138"/>
      <c r="V32" s="138"/>
      <c r="W32" s="138"/>
    </row>
    <row r="33" spans="1:23" x14ac:dyDescent="0.2">
      <c r="A33" s="138"/>
      <c r="B33" s="138"/>
      <c r="C33" s="738" t="s">
        <v>621</v>
      </c>
      <c r="D33" s="739"/>
      <c r="E33" s="535"/>
      <c r="F33" s="135"/>
      <c r="G33" s="135"/>
      <c r="H33" s="138"/>
      <c r="I33" s="135"/>
      <c r="J33" s="135"/>
      <c r="K33" s="135"/>
      <c r="L33" s="135"/>
      <c r="M33" s="135"/>
      <c r="N33" s="135"/>
      <c r="O33" s="94"/>
      <c r="P33" s="94"/>
      <c r="Q33" s="138"/>
      <c r="R33" s="138"/>
      <c r="S33" s="138"/>
      <c r="T33" s="138"/>
      <c r="U33" s="138"/>
      <c r="V33" s="138"/>
      <c r="W33" s="138"/>
    </row>
    <row r="34" spans="1:23" x14ac:dyDescent="0.2">
      <c r="A34" s="138"/>
      <c r="B34" s="138"/>
      <c r="C34" s="738" t="s">
        <v>796</v>
      </c>
      <c r="D34" s="739"/>
      <c r="E34" s="535"/>
      <c r="F34" s="135"/>
      <c r="G34" s="135"/>
      <c r="H34" s="138"/>
      <c r="I34" s="135"/>
      <c r="J34" s="135"/>
      <c r="K34" s="135"/>
      <c r="L34" s="135"/>
      <c r="M34" s="135"/>
      <c r="N34" s="135"/>
      <c r="O34" s="94"/>
      <c r="P34" s="94"/>
      <c r="Q34" s="138"/>
      <c r="R34" s="138"/>
      <c r="S34" s="138"/>
      <c r="T34" s="138"/>
      <c r="U34" s="138"/>
      <c r="V34" s="138"/>
      <c r="W34" s="138"/>
    </row>
    <row r="35" spans="1:23" hidden="1" x14ac:dyDescent="0.2">
      <c r="A35" s="138"/>
      <c r="B35" s="138"/>
      <c r="C35" s="138"/>
      <c r="D35" s="138"/>
      <c r="E35" s="138"/>
      <c r="F35" s="138"/>
      <c r="G35" s="138"/>
      <c r="H35" s="138"/>
      <c r="I35" s="138"/>
      <c r="J35" s="138"/>
      <c r="K35" s="138"/>
      <c r="L35" s="138"/>
      <c r="M35" s="138"/>
      <c r="N35" s="94"/>
      <c r="O35" s="94"/>
      <c r="P35" s="94"/>
      <c r="Q35" s="138"/>
      <c r="R35" s="138"/>
      <c r="S35" s="138"/>
      <c r="T35" s="138"/>
      <c r="U35" s="138"/>
      <c r="V35" s="138"/>
      <c r="W35" s="138"/>
    </row>
    <row r="36" spans="1:23" hidden="1" x14ac:dyDescent="0.2">
      <c r="A36" s="138"/>
      <c r="B36" s="138"/>
      <c r="C36" s="138"/>
      <c r="D36" s="138"/>
      <c r="E36" s="328" t="str">
        <f>IF(AND(J16="N",J17="N",J20="N",J21="N"),References!AI5,IF(AND(OR(J16="C",J17="C"),I65="Price change"),References!AI6,IF(AND(OR(J16="S",J17="S"),I65="Price change"),References!AI7,IF(E30&lt;&gt;"",E30,""))))</f>
        <v>As there are no financial impacts for any portfolio agency, there is no financial impact for the Commonwealth.</v>
      </c>
      <c r="F36" s="138"/>
      <c r="G36" s="138"/>
      <c r="H36" s="138"/>
      <c r="I36" s="138"/>
      <c r="J36" s="138"/>
      <c r="K36" s="138"/>
      <c r="L36" s="138"/>
      <c r="M36" s="138"/>
      <c r="N36" s="94"/>
      <c r="O36" s="94"/>
      <c r="P36" s="94"/>
      <c r="Q36" s="138"/>
      <c r="R36" s="138"/>
      <c r="S36" s="138"/>
      <c r="T36" s="138"/>
      <c r="U36" s="138"/>
      <c r="V36" s="138"/>
      <c r="W36" s="138"/>
    </row>
    <row r="37" spans="1:23" hidden="1" x14ac:dyDescent="0.2">
      <c r="A37" s="138"/>
      <c r="B37" s="138"/>
      <c r="C37" s="138"/>
      <c r="D37" s="138"/>
      <c r="E37" s="328" t="str">
        <f>IF(J16="N",References!AI9,IF(AND(J16="C",I65="Price change"),References!AI10,IF(AND(J16="S",I65="Price change"),References!AI11,IF(E31&lt;&gt;"",E31,""))))</f>
        <v>As there is no change to the price or volume of the medicine associated with this listing, there is no financial impact on the PBS.</v>
      </c>
      <c r="F37" s="138"/>
      <c r="G37" s="138"/>
      <c r="H37" s="138"/>
      <c r="I37" s="138"/>
      <c r="J37" s="138"/>
      <c r="K37" s="138"/>
      <c r="L37" s="138"/>
      <c r="M37" s="138"/>
      <c r="N37" s="94"/>
      <c r="O37" s="94"/>
      <c r="P37" s="94"/>
      <c r="Q37" s="138"/>
      <c r="R37" s="138"/>
      <c r="S37" s="138"/>
      <c r="T37" s="138"/>
      <c r="U37" s="138"/>
      <c r="V37" s="138"/>
      <c r="W37" s="138"/>
    </row>
    <row r="38" spans="1:23" hidden="1" x14ac:dyDescent="0.2">
      <c r="A38" s="138"/>
      <c r="B38" s="138"/>
      <c r="C38" s="138"/>
      <c r="D38" s="138"/>
      <c r="E38" s="328" t="str">
        <f>IF(J17="N",References!AI13,IF(AND(J17="C",I65="Price change"),References!AI14,IF(AND(J17="S",I65="Price change"),References!AI15,IF(E32&lt;&gt;"",E32,""))))</f>
        <v>As there no change to the price or volume of the medicine associated with this listing, there is no financial impact on the RPBS.</v>
      </c>
      <c r="F38" s="138"/>
      <c r="G38" s="138"/>
      <c r="H38" s="138"/>
      <c r="I38" s="138"/>
      <c r="J38" s="138"/>
      <c r="K38" s="138"/>
      <c r="L38" s="138"/>
      <c r="M38" s="138"/>
      <c r="N38" s="94"/>
      <c r="O38" s="94"/>
      <c r="P38" s="94"/>
      <c r="Q38" s="138"/>
      <c r="R38" s="138"/>
      <c r="S38" s="138"/>
      <c r="T38" s="138"/>
      <c r="U38" s="138"/>
      <c r="V38" s="138"/>
      <c r="W38" s="138"/>
    </row>
    <row r="39" spans="1:23" hidden="1" x14ac:dyDescent="0.2">
      <c r="A39" s="138"/>
      <c r="B39" s="138"/>
      <c r="C39" s="138"/>
      <c r="D39" s="138"/>
      <c r="E39" s="328" t="str">
        <f>IF(J20="N",References!AI17,IF(E33&lt;&gt;"",E33,""))</f>
        <v>As there is no testing or medical imaging associated with this listing, there is no impact on the MBS.</v>
      </c>
      <c r="F39" s="138"/>
      <c r="G39" s="138"/>
      <c r="H39" s="138"/>
      <c r="I39" s="138"/>
      <c r="J39" s="138"/>
      <c r="K39" s="138"/>
      <c r="L39" s="138"/>
      <c r="M39" s="138"/>
      <c r="N39" s="94"/>
      <c r="O39" s="94"/>
      <c r="P39" s="94"/>
      <c r="Q39" s="138"/>
      <c r="R39" s="138"/>
      <c r="S39" s="138"/>
      <c r="T39" s="138"/>
      <c r="U39" s="138"/>
      <c r="V39" s="138"/>
      <c r="W39" s="138"/>
    </row>
    <row r="40" spans="1:23" hidden="1" x14ac:dyDescent="0.2">
      <c r="A40" s="138"/>
      <c r="B40" s="138"/>
      <c r="C40" s="138"/>
      <c r="D40" s="138"/>
      <c r="E40" s="328" t="str">
        <f>IF(J21="N",References!AI18,IF(E34&lt;&gt;"",E34,""))</f>
        <v>As there is no change in dispensing volumes or the service delivery model associated with this listing, there is no impact on SA.</v>
      </c>
      <c r="F40" s="138"/>
      <c r="G40" s="138"/>
      <c r="H40" s="138"/>
      <c r="I40" s="138"/>
      <c r="J40" s="138"/>
      <c r="K40" s="138"/>
      <c r="L40" s="138"/>
      <c r="M40" s="138"/>
      <c r="N40" s="94"/>
      <c r="O40" s="94"/>
      <c r="P40" s="94"/>
      <c r="Q40" s="138"/>
      <c r="R40" s="138"/>
      <c r="S40" s="138"/>
      <c r="T40" s="138"/>
      <c r="U40" s="138"/>
      <c r="V40" s="138"/>
      <c r="W40" s="138"/>
    </row>
    <row r="41" spans="1:23" x14ac:dyDescent="0.2">
      <c r="A41" s="138"/>
      <c r="B41" s="138"/>
      <c r="C41" s="138"/>
      <c r="D41" s="138"/>
      <c r="E41" s="329"/>
      <c r="F41" s="138"/>
      <c r="G41" s="138"/>
      <c r="H41" s="138"/>
      <c r="I41" s="138"/>
      <c r="J41" s="138"/>
      <c r="K41" s="138"/>
      <c r="L41" s="138"/>
      <c r="M41" s="138"/>
      <c r="N41" s="94"/>
      <c r="O41" s="94"/>
      <c r="P41" s="94"/>
      <c r="Q41" s="138"/>
      <c r="R41" s="138"/>
      <c r="S41" s="138"/>
      <c r="T41" s="138"/>
      <c r="U41" s="138"/>
      <c r="V41" s="138"/>
      <c r="W41" s="138"/>
    </row>
    <row r="42" spans="1:23" ht="15.75" x14ac:dyDescent="0.2">
      <c r="A42" s="140"/>
      <c r="B42" s="140"/>
      <c r="C42" s="132" t="s">
        <v>610</v>
      </c>
      <c r="D42" s="141"/>
      <c r="E42" s="141"/>
      <c r="F42" s="141"/>
      <c r="G42" s="141"/>
      <c r="H42" s="141"/>
      <c r="I42" s="141"/>
      <c r="J42" s="141"/>
      <c r="K42" s="141"/>
      <c r="L42" s="141"/>
      <c r="M42" s="141"/>
      <c r="N42" s="141"/>
      <c r="O42" s="141"/>
      <c r="P42" s="141"/>
      <c r="Q42" s="141"/>
      <c r="R42" s="141"/>
      <c r="S42" s="141"/>
      <c r="T42" s="141"/>
      <c r="U42" s="140"/>
      <c r="V42" s="140"/>
      <c r="W42" s="140"/>
    </row>
    <row r="43" spans="1:23" x14ac:dyDescent="0.2">
      <c r="A43" s="142"/>
      <c r="B43" s="142"/>
      <c r="C43" s="142"/>
      <c r="D43" s="142"/>
      <c r="E43" s="142"/>
      <c r="F43" s="142"/>
      <c r="G43" s="142"/>
      <c r="H43" s="142"/>
      <c r="I43" s="142"/>
      <c r="J43" s="142"/>
      <c r="K43" s="142"/>
      <c r="L43" s="142"/>
      <c r="M43" s="142"/>
      <c r="N43" s="94"/>
      <c r="O43" s="94"/>
      <c r="P43" s="94"/>
      <c r="Q43" s="142"/>
      <c r="R43" s="142"/>
      <c r="S43" s="142"/>
      <c r="T43" s="142"/>
      <c r="U43" s="142"/>
      <c r="V43" s="142"/>
      <c r="W43" s="142"/>
    </row>
    <row r="44" spans="1:23" x14ac:dyDescent="0.2">
      <c r="A44" s="138"/>
      <c r="B44" s="138"/>
      <c r="C44" s="738" t="s">
        <v>626</v>
      </c>
      <c r="D44" s="739"/>
      <c r="E44" s="536"/>
      <c r="F44" s="134"/>
      <c r="G44" s="134"/>
      <c r="H44" s="750" t="str">
        <f>IF(E44="",MsgError &amp; VLOOKUP("NoPBAC",ErrorMessages,2,FALSE),"")</f>
        <v>Error: missing PBAC recommendation</v>
      </c>
      <c r="I44" s="750"/>
      <c r="J44" s="128"/>
      <c r="K44" s="128"/>
      <c r="L44" s="128"/>
      <c r="M44" s="128"/>
      <c r="N44" s="128"/>
      <c r="O44" s="94"/>
      <c r="P44" s="135">
        <f>IF(E44&lt;&gt;"",1,0)</f>
        <v>0</v>
      </c>
      <c r="Q44" s="138"/>
      <c r="R44" s="138"/>
      <c r="S44" s="138"/>
      <c r="T44" s="138"/>
      <c r="U44" s="138"/>
      <c r="V44" s="138"/>
      <c r="W44" s="138"/>
    </row>
    <row r="45" spans="1:23" x14ac:dyDescent="0.2">
      <c r="A45" s="138"/>
      <c r="B45" s="138"/>
      <c r="C45" s="738" t="s">
        <v>627</v>
      </c>
      <c r="D45" s="739"/>
      <c r="E45" s="537"/>
      <c r="F45" s="134"/>
      <c r="G45" s="134"/>
      <c r="H45" s="746" t="str">
        <f>IF(CoDep=0,MsgNote &amp; VLOOKUP("NoMSAC",WarningMessages,2,FALSE),IF(AND(CoDep=1,E45=""),MsgError &amp; VLOOKUP("NoMSAC",ErrorMessages,2,FALSE),""))</f>
        <v>Note: not presented to MSAC</v>
      </c>
      <c r="I45" s="746"/>
      <c r="J45" s="494">
        <f>IF(AND(CoDep=1,E45=""),2,IF(CoDep=0,1,0))</f>
        <v>1</v>
      </c>
      <c r="K45" s="128"/>
      <c r="L45" s="128"/>
      <c r="M45" s="128"/>
      <c r="N45" s="128"/>
      <c r="O45" s="94"/>
      <c r="P45" s="94"/>
      <c r="Q45" s="138"/>
      <c r="R45" s="138"/>
      <c r="S45" s="138"/>
      <c r="T45" s="138"/>
      <c r="U45" s="138"/>
      <c r="V45" s="138"/>
      <c r="W45" s="138"/>
    </row>
    <row r="46" spans="1:23" x14ac:dyDescent="0.2">
      <c r="A46" s="142"/>
      <c r="B46" s="142"/>
      <c r="C46" s="142"/>
      <c r="D46" s="142"/>
      <c r="E46" s="142"/>
      <c r="F46" s="142"/>
      <c r="G46" s="142"/>
      <c r="H46" s="142"/>
      <c r="I46" s="142"/>
      <c r="J46" s="142"/>
      <c r="K46" s="142"/>
      <c r="L46" s="142"/>
      <c r="M46" s="142"/>
      <c r="N46" s="94"/>
      <c r="O46" s="94"/>
      <c r="P46" s="94"/>
      <c r="Q46" s="142"/>
      <c r="R46" s="142"/>
      <c r="S46" s="142"/>
      <c r="T46" s="142"/>
      <c r="U46" s="142"/>
      <c r="V46" s="142"/>
      <c r="W46" s="142"/>
    </row>
    <row r="47" spans="1:23" x14ac:dyDescent="0.2">
      <c r="A47" s="142"/>
      <c r="B47" s="142"/>
      <c r="C47" s="142"/>
      <c r="D47" s="142"/>
      <c r="E47" s="142"/>
      <c r="F47" s="142"/>
      <c r="G47" s="142"/>
      <c r="H47" s="142"/>
      <c r="I47" s="142"/>
      <c r="J47" s="142"/>
      <c r="K47" s="142"/>
      <c r="L47" s="142"/>
      <c r="M47" s="142"/>
      <c r="N47" s="94"/>
      <c r="O47" s="94"/>
      <c r="P47" s="94"/>
      <c r="Q47" s="142"/>
      <c r="R47" s="142"/>
      <c r="S47" s="142"/>
      <c r="T47" s="142"/>
      <c r="U47" s="142"/>
      <c r="V47" s="142"/>
      <c r="W47" s="142"/>
    </row>
    <row r="48" spans="1:23" ht="15.75" x14ac:dyDescent="0.2">
      <c r="A48" s="140"/>
      <c r="B48" s="140"/>
      <c r="C48" s="132" t="s">
        <v>251</v>
      </c>
      <c r="D48" s="141"/>
      <c r="E48" s="141"/>
      <c r="F48" s="141"/>
      <c r="G48" s="141"/>
      <c r="H48" s="141"/>
      <c r="I48" s="141"/>
      <c r="J48" s="141"/>
      <c r="K48" s="141"/>
      <c r="L48" s="141"/>
      <c r="M48" s="141"/>
      <c r="N48" s="141"/>
      <c r="O48" s="141"/>
      <c r="P48" s="141"/>
      <c r="Q48" s="141"/>
      <c r="R48" s="141"/>
      <c r="S48" s="141"/>
      <c r="T48" s="141"/>
      <c r="U48" s="140"/>
      <c r="V48" s="140"/>
      <c r="W48" s="140"/>
    </row>
    <row r="49" spans="1:23" x14ac:dyDescent="0.2">
      <c r="A49" s="142"/>
      <c r="B49" s="142"/>
      <c r="C49" s="142"/>
      <c r="D49" s="142"/>
      <c r="E49" s="142"/>
      <c r="F49" s="142"/>
      <c r="G49" s="142"/>
      <c r="H49" s="142"/>
      <c r="I49" s="142"/>
      <c r="J49" s="142"/>
      <c r="K49" s="142"/>
      <c r="L49" s="142"/>
      <c r="M49" s="142"/>
      <c r="N49" s="94"/>
      <c r="O49" s="94"/>
      <c r="P49" s="94"/>
      <c r="Q49" s="142"/>
      <c r="R49" s="142"/>
      <c r="S49" s="142"/>
      <c r="T49" s="142"/>
      <c r="U49" s="142"/>
      <c r="V49" s="142"/>
      <c r="W49" s="142"/>
    </row>
    <row r="50" spans="1:23" x14ac:dyDescent="0.2">
      <c r="A50" s="138"/>
      <c r="B50" s="138"/>
      <c r="C50" s="738" t="s">
        <v>36</v>
      </c>
      <c r="D50" s="739"/>
      <c r="E50" s="28"/>
      <c r="F50" s="128"/>
      <c r="G50" s="128"/>
      <c r="H50" s="136"/>
      <c r="I50" s="128"/>
      <c r="J50" s="128"/>
      <c r="K50" s="128"/>
      <c r="L50" s="128"/>
      <c r="M50" s="128"/>
      <c r="N50" s="128"/>
      <c r="O50" s="94"/>
      <c r="P50" s="135">
        <f t="shared" ref="P50:P56" si="0">IF(E50&lt;&gt;"",1,0)</f>
        <v>0</v>
      </c>
      <c r="Q50" s="138"/>
      <c r="R50" s="138"/>
      <c r="S50" s="138"/>
      <c r="T50" s="138"/>
      <c r="U50" s="138"/>
      <c r="V50" s="138"/>
      <c r="W50" s="138"/>
    </row>
    <row r="51" spans="1:23" x14ac:dyDescent="0.2">
      <c r="A51" s="138"/>
      <c r="B51" s="138"/>
      <c r="C51" s="738" t="s">
        <v>37</v>
      </c>
      <c r="D51" s="739"/>
      <c r="E51" s="28"/>
      <c r="F51" s="128"/>
      <c r="G51" s="128"/>
      <c r="H51" s="136"/>
      <c r="I51" s="128"/>
      <c r="J51" s="128"/>
      <c r="K51" s="128"/>
      <c r="L51" s="128"/>
      <c r="M51" s="128"/>
      <c r="N51" s="128"/>
      <c r="O51" s="94"/>
      <c r="P51" s="135">
        <f t="shared" si="0"/>
        <v>0</v>
      </c>
      <c r="Q51" s="138"/>
      <c r="R51" s="138"/>
      <c r="S51" s="138"/>
      <c r="T51" s="138"/>
      <c r="U51" s="138"/>
      <c r="V51" s="138"/>
      <c r="W51" s="138"/>
    </row>
    <row r="52" spans="1:23" x14ac:dyDescent="0.2">
      <c r="A52" s="138"/>
      <c r="B52" s="138"/>
      <c r="C52" s="738" t="s">
        <v>38</v>
      </c>
      <c r="D52" s="739"/>
      <c r="E52" s="28"/>
      <c r="F52" s="128"/>
      <c r="G52" s="128"/>
      <c r="H52" s="136"/>
      <c r="I52" s="128"/>
      <c r="J52" s="128"/>
      <c r="K52" s="128"/>
      <c r="L52" s="128"/>
      <c r="M52" s="128"/>
      <c r="N52" s="128"/>
      <c r="O52" s="94"/>
      <c r="P52" s="135">
        <f t="shared" si="0"/>
        <v>0</v>
      </c>
      <c r="Q52" s="138"/>
      <c r="R52" s="138"/>
      <c r="S52" s="138"/>
      <c r="T52" s="138"/>
      <c r="U52" s="138"/>
      <c r="V52" s="138"/>
      <c r="W52" s="138"/>
    </row>
    <row r="53" spans="1:23" x14ac:dyDescent="0.2">
      <c r="A53" s="138"/>
      <c r="B53" s="138"/>
      <c r="C53" s="738" t="s">
        <v>39</v>
      </c>
      <c r="D53" s="739"/>
      <c r="E53" s="28"/>
      <c r="F53" s="128"/>
      <c r="G53" s="128"/>
      <c r="H53" s="136"/>
      <c r="I53" s="128"/>
      <c r="J53" s="128"/>
      <c r="K53" s="128"/>
      <c r="L53" s="128"/>
      <c r="M53" s="128"/>
      <c r="N53" s="128"/>
      <c r="O53" s="94"/>
      <c r="P53" s="135">
        <f t="shared" si="0"/>
        <v>0</v>
      </c>
      <c r="Q53" s="138"/>
      <c r="R53" s="138"/>
      <c r="S53" s="138"/>
      <c r="T53" s="138"/>
      <c r="U53" s="138"/>
      <c r="V53" s="138"/>
      <c r="W53" s="138"/>
    </row>
    <row r="54" spans="1:23" x14ac:dyDescent="0.2">
      <c r="A54" s="138"/>
      <c r="B54" s="138"/>
      <c r="C54" s="738" t="s">
        <v>40</v>
      </c>
      <c r="D54" s="739"/>
      <c r="E54" s="33"/>
      <c r="F54" s="128"/>
      <c r="G54" s="128"/>
      <c r="H54" s="136"/>
      <c r="I54" s="128"/>
      <c r="J54" s="128"/>
      <c r="K54" s="128"/>
      <c r="L54" s="128"/>
      <c r="M54" s="128"/>
      <c r="N54" s="128"/>
      <c r="O54" s="94"/>
      <c r="P54" s="135">
        <f t="shared" si="0"/>
        <v>0</v>
      </c>
      <c r="Q54" s="138"/>
      <c r="R54" s="138"/>
      <c r="S54" s="138"/>
      <c r="T54" s="138"/>
      <c r="U54" s="138"/>
      <c r="V54" s="138"/>
      <c r="W54" s="138"/>
    </row>
    <row r="55" spans="1:23" x14ac:dyDescent="0.2">
      <c r="A55" s="138"/>
      <c r="B55" s="138"/>
      <c r="C55" s="738" t="s">
        <v>628</v>
      </c>
      <c r="D55" s="739"/>
      <c r="E55" s="26"/>
      <c r="F55" s="128"/>
      <c r="G55" s="128"/>
      <c r="H55" s="128"/>
      <c r="I55" s="128"/>
      <c r="J55" s="128"/>
      <c r="K55" s="128"/>
      <c r="L55" s="128"/>
      <c r="M55" s="128"/>
      <c r="N55" s="128"/>
      <c r="O55" s="94"/>
      <c r="P55" s="135">
        <f t="shared" si="0"/>
        <v>0</v>
      </c>
      <c r="Q55" s="138"/>
      <c r="R55" s="138"/>
      <c r="S55" s="138"/>
      <c r="T55" s="138"/>
      <c r="U55" s="138"/>
      <c r="V55" s="138"/>
      <c r="W55" s="138"/>
    </row>
    <row r="56" spans="1:23" x14ac:dyDescent="0.2">
      <c r="A56" s="138"/>
      <c r="B56" s="138"/>
      <c r="C56" s="738" t="s">
        <v>629</v>
      </c>
      <c r="D56" s="739"/>
      <c r="E56" s="26"/>
      <c r="F56" s="128"/>
      <c r="G56" s="128"/>
      <c r="H56" s="128"/>
      <c r="I56" s="128"/>
      <c r="J56" s="128"/>
      <c r="K56" s="128"/>
      <c r="L56" s="128"/>
      <c r="M56" s="128"/>
      <c r="N56" s="128"/>
      <c r="O56" s="94"/>
      <c r="P56" s="135">
        <f t="shared" si="0"/>
        <v>0</v>
      </c>
      <c r="Q56" s="138"/>
      <c r="R56" s="138"/>
      <c r="S56" s="138"/>
      <c r="T56" s="138"/>
      <c r="U56" s="138"/>
      <c r="V56" s="138"/>
      <c r="W56" s="138"/>
    </row>
    <row r="57" spans="1:23" x14ac:dyDescent="0.2">
      <c r="A57" s="142"/>
      <c r="B57" s="142"/>
      <c r="C57" s="142"/>
      <c r="D57" s="142"/>
      <c r="E57" s="142"/>
      <c r="F57" s="142"/>
      <c r="G57" s="142"/>
      <c r="H57" s="142"/>
      <c r="I57" s="142"/>
      <c r="J57" s="142"/>
      <c r="K57" s="142"/>
      <c r="L57" s="142"/>
      <c r="M57" s="142"/>
      <c r="N57" s="94"/>
      <c r="O57" s="94"/>
      <c r="P57" s="94"/>
      <c r="Q57" s="142"/>
      <c r="R57" s="142"/>
      <c r="S57" s="142"/>
      <c r="T57" s="142"/>
      <c r="U57" s="142"/>
      <c r="V57" s="142"/>
      <c r="W57" s="142"/>
    </row>
    <row r="58" spans="1:23" x14ac:dyDescent="0.2">
      <c r="A58" s="142"/>
      <c r="B58" s="142"/>
      <c r="C58" s="142"/>
      <c r="D58" s="142"/>
      <c r="E58" s="142"/>
      <c r="F58" s="142"/>
      <c r="G58" s="142"/>
      <c r="H58" s="142"/>
      <c r="I58" s="142"/>
      <c r="J58" s="142"/>
      <c r="K58" s="142"/>
      <c r="L58" s="142"/>
      <c r="M58" s="142"/>
      <c r="N58" s="94"/>
      <c r="O58" s="94"/>
      <c r="P58" s="94"/>
      <c r="Q58" s="142"/>
      <c r="R58" s="142"/>
      <c r="S58" s="142"/>
      <c r="T58" s="142"/>
      <c r="U58" s="142"/>
      <c r="V58" s="142"/>
      <c r="W58" s="142"/>
    </row>
    <row r="59" spans="1:23" ht="15.75" x14ac:dyDescent="0.2">
      <c r="A59" s="140"/>
      <c r="B59" s="140"/>
      <c r="C59" s="132" t="s">
        <v>969</v>
      </c>
      <c r="D59" s="141"/>
      <c r="E59" s="141"/>
      <c r="F59" s="141"/>
      <c r="G59" s="141"/>
      <c r="H59" s="141"/>
      <c r="I59" s="141"/>
      <c r="J59" s="141"/>
      <c r="K59" s="141"/>
      <c r="L59" s="141"/>
      <c r="M59" s="141"/>
      <c r="N59" s="141"/>
      <c r="O59" s="141"/>
      <c r="P59" s="141"/>
      <c r="Q59" s="141"/>
      <c r="R59" s="141"/>
      <c r="S59" s="141"/>
      <c r="T59" s="141"/>
      <c r="U59" s="140"/>
      <c r="V59" s="140"/>
      <c r="W59" s="140"/>
    </row>
    <row r="60" spans="1:23" x14ac:dyDescent="0.2">
      <c r="A60" s="142"/>
      <c r="B60" s="142"/>
      <c r="C60" s="142"/>
      <c r="D60" s="142"/>
      <c r="E60" s="142"/>
      <c r="F60" s="142"/>
      <c r="G60" s="142"/>
      <c r="H60" s="142"/>
      <c r="I60" s="142"/>
      <c r="J60" s="142"/>
      <c r="K60" s="142"/>
      <c r="L60" s="142"/>
      <c r="M60" s="142"/>
      <c r="N60" s="94"/>
      <c r="O60" s="94"/>
      <c r="P60" s="94"/>
      <c r="Q60" s="142"/>
      <c r="R60" s="142"/>
      <c r="S60" s="142"/>
      <c r="T60" s="142"/>
      <c r="U60" s="142"/>
      <c r="V60" s="142"/>
      <c r="W60" s="142"/>
    </row>
    <row r="61" spans="1:23" x14ac:dyDescent="0.2">
      <c r="A61" s="138"/>
      <c r="B61" s="138"/>
      <c r="C61" s="139"/>
      <c r="D61" s="139"/>
      <c r="E61" s="542" t="str">
        <f>IF(AND(TPAll&gt;0,OR(TPInit&gt;0,TPCont&gt;0)),MsgNote &amp; VLOOKUP("DupInCon",WarningMessages,2,FALSE),"")</f>
        <v/>
      </c>
      <c r="F61" s="134"/>
      <c r="G61" s="134"/>
      <c r="H61" s="372" t="s">
        <v>630</v>
      </c>
      <c r="I61" s="723"/>
      <c r="J61" s="134"/>
      <c r="K61" s="134"/>
      <c r="N61" s="134"/>
      <c r="O61" s="94"/>
      <c r="P61" s="135">
        <f>IF(AND(I61&lt;&gt;"",I61&lt;&gt;0),1,0)</f>
        <v>0</v>
      </c>
      <c r="Q61" s="138"/>
      <c r="R61" s="138"/>
      <c r="S61" s="138"/>
      <c r="T61" s="138"/>
      <c r="U61" s="138"/>
      <c r="V61" s="138"/>
      <c r="W61" s="138"/>
    </row>
    <row r="62" spans="1:23" x14ac:dyDescent="0.2">
      <c r="A62" s="138"/>
      <c r="B62" s="138"/>
      <c r="C62" s="139"/>
      <c r="D62" s="139"/>
      <c r="E62" s="542" t="str">
        <f>IF(OR(AND(TPInit&gt;0,TPCont=0),AND(TPInit=0,TPCont&gt;0)),MsgNote &amp; VLOOKUP("MisInCon",WarningMessages,2,FALSE),"")</f>
        <v/>
      </c>
      <c r="F62" s="134"/>
      <c r="G62" s="134"/>
      <c r="H62" s="127" t="s">
        <v>624</v>
      </c>
      <c r="I62" s="378"/>
      <c r="J62" s="134"/>
      <c r="K62" s="134"/>
      <c r="L62" s="134"/>
      <c r="M62" s="134"/>
      <c r="N62" s="494">
        <f>IF(I62="Yes",1,0)</f>
        <v>0</v>
      </c>
      <c r="O62" s="94"/>
      <c r="P62" s="94"/>
      <c r="Q62" s="138"/>
      <c r="R62" s="138"/>
      <c r="S62" s="138"/>
      <c r="T62" s="138"/>
      <c r="U62" s="138"/>
      <c r="V62" s="138"/>
      <c r="W62" s="138"/>
    </row>
    <row r="63" spans="1:23" x14ac:dyDescent="0.2">
      <c r="A63" s="138"/>
      <c r="B63" s="138"/>
      <c r="C63" s="139"/>
      <c r="D63" s="139"/>
      <c r="E63" s="139"/>
      <c r="F63" s="134"/>
      <c r="G63" s="134"/>
      <c r="H63" s="134"/>
      <c r="I63" s="134"/>
      <c r="J63" s="134"/>
      <c r="K63" s="134"/>
      <c r="L63" s="134"/>
      <c r="M63" s="134"/>
      <c r="N63" s="134"/>
      <c r="O63" s="94"/>
      <c r="P63" s="94"/>
      <c r="Q63" s="138"/>
      <c r="R63" s="138"/>
      <c r="S63" s="138"/>
      <c r="T63" s="138"/>
      <c r="U63" s="138"/>
      <c r="V63" s="138"/>
      <c r="W63" s="138"/>
    </row>
    <row r="64" spans="1:23" ht="15.75" x14ac:dyDescent="0.2">
      <c r="A64" s="138"/>
      <c r="B64" s="330">
        <v>1</v>
      </c>
      <c r="C64" s="743" t="str">
        <f xml:space="preserve"> IF(B64&lt;=$I$61,"Restriction " &amp; B64 &amp; " of " &amp; $I$61,MsgNotUsed)</f>
        <v>** NOT USED **</v>
      </c>
      <c r="D64" s="744"/>
      <c r="E64" s="745"/>
      <c r="F64" s="128"/>
      <c r="G64" s="128"/>
      <c r="H64" s="134"/>
      <c r="I64" s="134"/>
      <c r="J64" s="134"/>
      <c r="K64" s="134"/>
      <c r="L64" s="135"/>
      <c r="M64" s="135"/>
      <c r="N64" s="134"/>
      <c r="O64" s="94"/>
      <c r="P64" s="94"/>
      <c r="Q64" s="138"/>
      <c r="R64" s="138"/>
      <c r="S64" s="138"/>
      <c r="T64" s="138"/>
      <c r="U64" s="138"/>
      <c r="V64" s="138"/>
      <c r="W64" s="138"/>
    </row>
    <row r="65" spans="1:24" hidden="1" outlineLevel="1" x14ac:dyDescent="0.2">
      <c r="A65" s="554"/>
      <c r="B65" s="554"/>
      <c r="C65" s="547" t="s">
        <v>631</v>
      </c>
      <c r="D65" s="378"/>
      <c r="E65" s="43" t="str">
        <f>IF(D65&lt;&gt;"",VLOOKUP(D65,ProgrammeCode,2,FALSE),"")</f>
        <v/>
      </c>
      <c r="F65" s="106">
        <f>IF(D65&lt;&gt;"",VLOOKUP(D65,ProgrammeCode,3),0)</f>
        <v>0</v>
      </c>
      <c r="G65" s="111"/>
      <c r="H65" s="495" t="s">
        <v>632</v>
      </c>
      <c r="I65" s="378"/>
      <c r="J65" s="494" t="str">
        <f>IF(I65="New","N","")</f>
        <v/>
      </c>
      <c r="K65" s="493"/>
      <c r="L65" s="546" t="s">
        <v>778</v>
      </c>
      <c r="M65" s="13"/>
      <c r="N65" s="13"/>
      <c r="O65" s="13"/>
      <c r="P65" s="555"/>
      <c r="Q65" s="554"/>
      <c r="R65" s="554"/>
      <c r="S65" s="554"/>
      <c r="T65" s="554"/>
      <c r="U65" s="554"/>
      <c r="V65" s="554"/>
      <c r="W65" s="554"/>
      <c r="X65" s="13"/>
    </row>
    <row r="66" spans="1:24" hidden="1" outlineLevel="1" x14ac:dyDescent="0.2">
      <c r="A66" s="554"/>
      <c r="B66" s="554"/>
      <c r="C66" s="493"/>
      <c r="D66" s="493"/>
      <c r="E66" s="493"/>
      <c r="F66" s="493"/>
      <c r="G66" s="493"/>
      <c r="H66" s="131" t="s">
        <v>759</v>
      </c>
      <c r="I66" s="27"/>
      <c r="J66" s="494"/>
      <c r="K66" s="493"/>
      <c r="L66" s="724"/>
      <c r="M66" s="13"/>
      <c r="N66" s="725">
        <f>IF(L66&lt;&gt;"",VLOOKUP(L66,AuthorityCode,2,FALSE),0)</f>
        <v>0</v>
      </c>
      <c r="O66" s="13"/>
      <c r="P66" s="555"/>
      <c r="Q66" s="554"/>
      <c r="R66" s="554"/>
      <c r="S66" s="554"/>
      <c r="T66" s="554"/>
      <c r="U66" s="554"/>
      <c r="V66" s="554"/>
      <c r="W66" s="554"/>
      <c r="X66" s="13"/>
    </row>
    <row r="67" spans="1:24" hidden="1" outlineLevel="1" x14ac:dyDescent="0.2">
      <c r="A67" s="554"/>
      <c r="B67" s="554"/>
      <c r="C67" s="741" t="s">
        <v>57</v>
      </c>
      <c r="D67" s="742"/>
      <c r="E67" s="28"/>
      <c r="F67" s="106" t="str">
        <f>IF(E67&lt;&gt;"",VLOOKUP(E67,TPShortCode,3,FALSE),"")</f>
        <v/>
      </c>
      <c r="G67" s="556"/>
      <c r="H67" s="131" t="str">
        <f>VLOOKUP(F65,MaxQ,2,TRUE)</f>
        <v>Max quantity (units)</v>
      </c>
      <c r="I67" s="31"/>
      <c r="J67" s="494"/>
      <c r="K67" s="493"/>
      <c r="L67" s="724"/>
      <c r="M67" s="13"/>
      <c r="N67" s="13"/>
      <c r="O67" s="13"/>
      <c r="P67" s="555"/>
      <c r="Q67" s="554"/>
      <c r="R67" s="554"/>
      <c r="S67" s="554"/>
      <c r="T67" s="554"/>
      <c r="U67" s="554"/>
      <c r="V67" s="554"/>
      <c r="W67" s="554"/>
      <c r="X67" s="13"/>
    </row>
    <row r="68" spans="1:24" hidden="1" outlineLevel="1" x14ac:dyDescent="0.2">
      <c r="A68" s="554"/>
      <c r="B68" s="554"/>
      <c r="C68" s="557"/>
      <c r="D68" s="557"/>
      <c r="E68" s="28"/>
      <c r="F68" s="493"/>
      <c r="G68" s="493"/>
      <c r="H68" s="131" t="s">
        <v>633</v>
      </c>
      <c r="I68" s="31"/>
      <c r="J68" s="494"/>
      <c r="K68" s="493"/>
      <c r="L68" s="13"/>
      <c r="M68" s="13"/>
      <c r="N68" s="13"/>
      <c r="O68" s="13"/>
      <c r="P68" s="555"/>
      <c r="Q68" s="554"/>
      <c r="R68" s="554"/>
      <c r="S68" s="554"/>
      <c r="T68" s="554"/>
      <c r="U68" s="554"/>
      <c r="V68" s="554"/>
      <c r="W68" s="554"/>
      <c r="X68" s="13"/>
    </row>
    <row r="69" spans="1:24" hidden="1" outlineLevel="1" x14ac:dyDescent="0.2">
      <c r="A69" s="554"/>
      <c r="B69" s="554"/>
      <c r="C69" s="738" t="s">
        <v>634</v>
      </c>
      <c r="D69" s="740"/>
      <c r="E69" s="28"/>
      <c r="F69" s="128"/>
      <c r="G69" s="128"/>
      <c r="H69" s="556"/>
      <c r="I69" s="556"/>
      <c r="J69" s="494"/>
      <c r="K69" s="493"/>
      <c r="L69" s="13"/>
      <c r="M69" s="13"/>
      <c r="N69" s="13"/>
      <c r="O69" s="13"/>
      <c r="P69" s="494"/>
      <c r="Q69" s="554"/>
      <c r="R69" s="554"/>
      <c r="S69" s="554"/>
      <c r="T69" s="554"/>
      <c r="U69" s="554"/>
      <c r="V69" s="554"/>
      <c r="W69" s="554"/>
      <c r="X69" s="13"/>
    </row>
    <row r="70" spans="1:24" hidden="1" outlineLevel="1" x14ac:dyDescent="0.2">
      <c r="A70" s="554"/>
      <c r="B70" s="554"/>
      <c r="C70" s="738" t="s">
        <v>635</v>
      </c>
      <c r="D70" s="740"/>
      <c r="E70" s="28"/>
      <c r="F70" s="128"/>
      <c r="G70" s="128"/>
      <c r="H70" s="556"/>
      <c r="I70" s="556"/>
      <c r="J70" s="494"/>
      <c r="K70" s="493"/>
      <c r="L70" s="13"/>
      <c r="M70" s="13"/>
      <c r="N70" s="13"/>
      <c r="O70" s="13"/>
      <c r="P70" s="555"/>
      <c r="Q70" s="554"/>
      <c r="R70" s="554"/>
      <c r="S70" s="554"/>
      <c r="T70" s="554"/>
      <c r="U70" s="554"/>
      <c r="V70" s="554"/>
      <c r="W70" s="554"/>
      <c r="X70" s="13"/>
    </row>
    <row r="71" spans="1:24" hidden="1" outlineLevel="1" x14ac:dyDescent="0.2">
      <c r="A71" s="554"/>
      <c r="B71" s="554"/>
      <c r="C71" s="738" t="s">
        <v>636</v>
      </c>
      <c r="D71" s="740"/>
      <c r="E71" s="28"/>
      <c r="F71" s="128"/>
      <c r="G71" s="128"/>
      <c r="H71" s="493"/>
      <c r="I71" s="493"/>
      <c r="J71" s="494"/>
      <c r="K71" s="493"/>
      <c r="L71" s="13"/>
      <c r="M71" s="13"/>
      <c r="N71" s="13"/>
      <c r="O71" s="13"/>
      <c r="P71" s="555"/>
      <c r="Q71" s="554"/>
      <c r="R71" s="554"/>
      <c r="S71" s="554"/>
      <c r="T71" s="554"/>
      <c r="U71" s="554"/>
      <c r="V71" s="554"/>
      <c r="W71" s="554"/>
      <c r="X71" s="13"/>
    </row>
    <row r="72" spans="1:24" hidden="1" outlineLevel="1" x14ac:dyDescent="0.2">
      <c r="A72" s="554"/>
      <c r="B72" s="554"/>
      <c r="C72" s="738" t="s">
        <v>977</v>
      </c>
      <c r="D72" s="740"/>
      <c r="E72" s="43" t="str">
        <f>IF(AND(E70&lt;&gt;"",E71&lt;&gt;""),E70 &amp; " " &amp; E71,IF(E71&lt;&gt;"",E71,""))</f>
        <v/>
      </c>
      <c r="F72" s="128"/>
      <c r="G72" s="128"/>
      <c r="H72" s="493"/>
      <c r="I72" s="493"/>
      <c r="J72" s="494"/>
      <c r="K72" s="493"/>
      <c r="L72" s="13"/>
      <c r="M72" s="494"/>
      <c r="N72" s="494"/>
      <c r="O72" s="555"/>
      <c r="P72" s="555"/>
      <c r="Q72" s="554"/>
      <c r="R72" s="554"/>
      <c r="S72" s="554"/>
      <c r="T72" s="554"/>
      <c r="U72" s="554"/>
      <c r="V72" s="554"/>
      <c r="W72" s="554"/>
      <c r="X72" s="13"/>
    </row>
    <row r="73" spans="1:24" hidden="1" outlineLevel="1" x14ac:dyDescent="0.2">
      <c r="A73" s="554"/>
      <c r="B73" s="554"/>
      <c r="C73" s="738" t="s">
        <v>637</v>
      </c>
      <c r="D73" s="740"/>
      <c r="E73" s="28"/>
      <c r="F73" s="128"/>
      <c r="G73" s="128"/>
      <c r="H73" s="493"/>
      <c r="I73" s="493"/>
      <c r="J73" s="494"/>
      <c r="K73" s="493"/>
      <c r="L73" s="494"/>
      <c r="M73" s="494"/>
      <c r="N73" s="494"/>
      <c r="O73" s="555"/>
      <c r="P73" s="555"/>
      <c r="Q73" s="554"/>
      <c r="R73" s="554"/>
      <c r="S73" s="554"/>
      <c r="T73" s="554"/>
      <c r="U73" s="554"/>
      <c r="V73" s="554"/>
      <c r="W73" s="554"/>
      <c r="X73" s="13"/>
    </row>
    <row r="74" spans="1:24" hidden="1" outlineLevel="1" x14ac:dyDescent="0.2">
      <c r="A74" s="554"/>
      <c r="B74" s="554"/>
      <c r="C74" s="738" t="s">
        <v>638</v>
      </c>
      <c r="D74" s="740"/>
      <c r="E74" s="28"/>
      <c r="F74" s="493"/>
      <c r="G74" s="493"/>
      <c r="H74" s="493"/>
      <c r="I74" s="493"/>
      <c r="J74" s="494"/>
      <c r="K74" s="493"/>
      <c r="L74" s="494"/>
      <c r="M74" s="494"/>
      <c r="N74" s="494"/>
      <c r="O74" s="555"/>
      <c r="P74" s="555"/>
      <c r="Q74" s="554"/>
      <c r="R74" s="554"/>
      <c r="S74" s="554"/>
      <c r="T74" s="554"/>
      <c r="U74" s="554"/>
      <c r="V74" s="554"/>
      <c r="W74" s="554"/>
      <c r="X74" s="13"/>
    </row>
    <row r="75" spans="1:24" hidden="1" outlineLevel="1" x14ac:dyDescent="0.2">
      <c r="A75" s="554"/>
      <c r="B75" s="554"/>
      <c r="C75" s="738" t="s">
        <v>639</v>
      </c>
      <c r="D75" s="740"/>
      <c r="E75" s="28"/>
      <c r="F75" s="493"/>
      <c r="G75" s="493"/>
      <c r="H75" s="493"/>
      <c r="I75" s="493"/>
      <c r="J75" s="494"/>
      <c r="K75" s="493"/>
      <c r="L75" s="494"/>
      <c r="M75" s="494"/>
      <c r="N75" s="494"/>
      <c r="O75" s="555"/>
      <c r="P75" s="555"/>
      <c r="Q75" s="554"/>
      <c r="R75" s="554"/>
      <c r="S75" s="554"/>
      <c r="T75" s="554"/>
      <c r="U75" s="554"/>
      <c r="V75" s="554"/>
      <c r="W75" s="554"/>
      <c r="X75" s="13"/>
    </row>
    <row r="76" spans="1:24" hidden="1" outlineLevel="1" x14ac:dyDescent="0.2">
      <c r="A76" s="554"/>
      <c r="B76" s="554"/>
      <c r="C76" s="738" t="s">
        <v>640</v>
      </c>
      <c r="D76" s="740"/>
      <c r="E76" s="28"/>
      <c r="F76" s="493"/>
      <c r="G76" s="493"/>
      <c r="H76" s="493"/>
      <c r="I76" s="493"/>
      <c r="J76" s="494"/>
      <c r="K76" s="493"/>
      <c r="L76" s="494"/>
      <c r="M76" s="494"/>
      <c r="N76" s="494"/>
      <c r="O76" s="555"/>
      <c r="P76" s="555"/>
      <c r="Q76" s="554"/>
      <c r="R76" s="554"/>
      <c r="S76" s="554"/>
      <c r="T76" s="554"/>
      <c r="U76" s="554"/>
      <c r="V76" s="554"/>
      <c r="W76" s="554"/>
      <c r="X76" s="13"/>
    </row>
    <row r="77" spans="1:24" hidden="1" outlineLevel="1" x14ac:dyDescent="0.2">
      <c r="A77" s="554"/>
      <c r="B77" s="554"/>
      <c r="C77" s="557"/>
      <c r="D77" s="557"/>
      <c r="E77" s="556"/>
      <c r="F77" s="493"/>
      <c r="G77" s="493"/>
      <c r="H77" s="493"/>
      <c r="I77" s="493"/>
      <c r="J77" s="494"/>
      <c r="K77" s="493"/>
      <c r="L77" s="494"/>
      <c r="M77" s="494"/>
      <c r="N77" s="494"/>
      <c r="O77" s="555"/>
      <c r="P77" s="555"/>
      <c r="Q77" s="554"/>
      <c r="R77" s="554"/>
      <c r="S77" s="554"/>
      <c r="T77" s="554"/>
      <c r="U77" s="554"/>
      <c r="V77" s="554"/>
      <c r="W77" s="554"/>
      <c r="X77" s="13"/>
    </row>
    <row r="78" spans="1:24" hidden="1" outlineLevel="1" x14ac:dyDescent="0.2">
      <c r="A78" s="554"/>
      <c r="B78" s="554"/>
      <c r="C78" s="557"/>
      <c r="D78" s="557"/>
      <c r="E78" s="556"/>
      <c r="F78" s="493"/>
      <c r="G78" s="493"/>
      <c r="H78" s="493"/>
      <c r="I78" s="493"/>
      <c r="J78" s="494"/>
      <c r="K78" s="493"/>
      <c r="L78" s="494"/>
      <c r="M78" s="494"/>
      <c r="N78" s="494"/>
      <c r="O78" s="555"/>
      <c r="P78" s="555"/>
      <c r="Q78" s="554"/>
      <c r="R78" s="554"/>
      <c r="S78" s="554"/>
      <c r="T78" s="554"/>
      <c r="U78" s="554"/>
      <c r="V78" s="554"/>
      <c r="W78" s="554"/>
      <c r="X78" s="13"/>
    </row>
    <row r="79" spans="1:24" ht="15.75" collapsed="1" x14ac:dyDescent="0.2">
      <c r="A79" s="138"/>
      <c r="B79" s="330">
        <v>2</v>
      </c>
      <c r="C79" s="743" t="str">
        <f xml:space="preserve"> IF(B79&lt;=$I$61,"Restriction " &amp; B79 &amp; " of " &amp; $I$61,MsgNotUsed)</f>
        <v>** NOT USED **</v>
      </c>
      <c r="D79" s="744"/>
      <c r="E79" s="745"/>
      <c r="F79" s="128"/>
      <c r="G79" s="128"/>
      <c r="H79" s="134"/>
      <c r="I79" s="134"/>
      <c r="J79" s="135"/>
      <c r="K79" s="134"/>
      <c r="L79" s="135"/>
      <c r="M79" s="135"/>
      <c r="N79" s="135"/>
      <c r="O79" s="94"/>
      <c r="P79" s="94"/>
      <c r="Q79" s="138"/>
      <c r="R79" s="138"/>
      <c r="S79" s="138"/>
      <c r="T79" s="138"/>
      <c r="U79" s="138"/>
      <c r="V79" s="138"/>
      <c r="W79" s="138"/>
    </row>
    <row r="80" spans="1:24" hidden="1" outlineLevel="1" x14ac:dyDescent="0.2">
      <c r="A80" s="554"/>
      <c r="B80" s="554"/>
      <c r="C80" s="547" t="s">
        <v>631</v>
      </c>
      <c r="D80" s="378"/>
      <c r="E80" s="43" t="str">
        <f>IF(D80&lt;&gt;"",VLOOKUP(D80,ProgrammeCode,2,FALSE),"")</f>
        <v/>
      </c>
      <c r="F80" s="106">
        <f>IF(D80&lt;&gt;"",VLOOKUP(D80,ProgrammeCode,3),0)</f>
        <v>0</v>
      </c>
      <c r="G80" s="111"/>
      <c r="H80" s="495" t="s">
        <v>632</v>
      </c>
      <c r="I80" s="378"/>
      <c r="J80" s="494" t="str">
        <f>IF(I80="New","N","")</f>
        <v/>
      </c>
      <c r="K80" s="493"/>
      <c r="L80" s="546" t="s">
        <v>778</v>
      </c>
      <c r="M80" s="13"/>
      <c r="N80" s="13"/>
      <c r="O80" s="13"/>
      <c r="P80" s="555"/>
      <c r="Q80" s="554"/>
      <c r="R80" s="554"/>
      <c r="S80" s="554"/>
      <c r="T80" s="554"/>
      <c r="U80" s="554"/>
      <c r="V80" s="554"/>
      <c r="W80" s="554"/>
      <c r="X80" s="13"/>
    </row>
    <row r="81" spans="1:24" hidden="1" outlineLevel="1" x14ac:dyDescent="0.2">
      <c r="A81" s="554"/>
      <c r="B81" s="554"/>
      <c r="C81" s="493"/>
      <c r="D81" s="493"/>
      <c r="E81" s="493"/>
      <c r="F81" s="493"/>
      <c r="G81" s="493"/>
      <c r="H81" s="131" t="s">
        <v>759</v>
      </c>
      <c r="I81" s="27"/>
      <c r="J81" s="494"/>
      <c r="K81" s="493"/>
      <c r="L81" s="724"/>
      <c r="M81" s="575"/>
      <c r="N81" s="725">
        <f>IF(L81&lt;&gt;"",VLOOKUP(L81,AuthorityCode,2,FALSE),0)</f>
        <v>0</v>
      </c>
      <c r="O81" s="13"/>
      <c r="P81" s="555"/>
      <c r="Q81" s="554"/>
      <c r="R81" s="554"/>
      <c r="S81" s="554"/>
      <c r="T81" s="554"/>
      <c r="U81" s="554"/>
      <c r="V81" s="554"/>
      <c r="W81" s="554"/>
      <c r="X81" s="13"/>
    </row>
    <row r="82" spans="1:24" hidden="1" outlineLevel="1" x14ac:dyDescent="0.2">
      <c r="A82" s="554"/>
      <c r="B82" s="554"/>
      <c r="C82" s="741" t="s">
        <v>57</v>
      </c>
      <c r="D82" s="742"/>
      <c r="E82" s="24"/>
      <c r="F82" s="106" t="str">
        <f>IF(E82&lt;&gt;"",VLOOKUP(E82,TPShortCode,3,FALSE),"")</f>
        <v/>
      </c>
      <c r="G82" s="556"/>
      <c r="H82" s="131" t="str">
        <f>VLOOKUP(F80,MaxQ,2,TRUE)</f>
        <v>Max quantity (units)</v>
      </c>
      <c r="I82" s="31"/>
      <c r="J82" s="494"/>
      <c r="K82" s="493"/>
      <c r="L82" s="724"/>
      <c r="M82" s="575"/>
      <c r="N82" s="575"/>
      <c r="O82" s="13"/>
      <c r="P82" s="555"/>
      <c r="Q82" s="554"/>
      <c r="R82" s="554"/>
      <c r="S82" s="554"/>
      <c r="T82" s="554"/>
      <c r="U82" s="554"/>
      <c r="V82" s="554"/>
      <c r="W82" s="554"/>
      <c r="X82" s="13"/>
    </row>
    <row r="83" spans="1:24" hidden="1" outlineLevel="1" x14ac:dyDescent="0.2">
      <c r="A83" s="554"/>
      <c r="B83" s="554"/>
      <c r="C83" s="557"/>
      <c r="D83" s="557"/>
      <c r="E83" s="28"/>
      <c r="F83" s="493"/>
      <c r="G83" s="493"/>
      <c r="H83" s="131" t="s">
        <v>633</v>
      </c>
      <c r="I83" s="31"/>
      <c r="J83" s="494"/>
      <c r="K83" s="493"/>
      <c r="L83" s="13"/>
      <c r="M83" s="13"/>
      <c r="N83" s="13"/>
      <c r="O83" s="13"/>
      <c r="P83" s="555"/>
      <c r="Q83" s="554"/>
      <c r="R83" s="554"/>
      <c r="S83" s="554"/>
      <c r="T83" s="554"/>
      <c r="U83" s="554"/>
      <c r="V83" s="554"/>
      <c r="W83" s="554"/>
      <c r="X83" s="13"/>
    </row>
    <row r="84" spans="1:24" hidden="1" outlineLevel="1" x14ac:dyDescent="0.2">
      <c r="A84" s="554"/>
      <c r="B84" s="554"/>
      <c r="C84" s="738" t="s">
        <v>634</v>
      </c>
      <c r="D84" s="740"/>
      <c r="E84" s="28"/>
      <c r="F84" s="493"/>
      <c r="G84" s="493"/>
      <c r="H84" s="554"/>
      <c r="I84" s="554"/>
      <c r="J84" s="494"/>
      <c r="K84" s="493"/>
      <c r="L84" s="13"/>
      <c r="M84" s="13"/>
      <c r="N84" s="13"/>
      <c r="O84" s="13"/>
      <c r="P84" s="494"/>
      <c r="Q84" s="554"/>
      <c r="R84" s="554"/>
      <c r="S84" s="554"/>
      <c r="T84" s="554"/>
      <c r="U84" s="554"/>
      <c r="V84" s="554"/>
      <c r="W84" s="554"/>
      <c r="X84" s="13"/>
    </row>
    <row r="85" spans="1:24" hidden="1" outlineLevel="1" x14ac:dyDescent="0.2">
      <c r="A85" s="554"/>
      <c r="B85" s="554"/>
      <c r="C85" s="738" t="s">
        <v>635</v>
      </c>
      <c r="D85" s="740"/>
      <c r="E85" s="28"/>
      <c r="F85" s="494"/>
      <c r="G85" s="494"/>
      <c r="H85" s="554"/>
      <c r="I85" s="554"/>
      <c r="J85" s="494"/>
      <c r="K85" s="493"/>
      <c r="L85" s="13"/>
      <c r="M85" s="13"/>
      <c r="N85" s="13"/>
      <c r="O85" s="13"/>
      <c r="P85" s="555"/>
      <c r="Q85" s="554"/>
      <c r="R85" s="554"/>
      <c r="S85" s="554"/>
      <c r="T85" s="554"/>
      <c r="U85" s="554"/>
      <c r="V85" s="554"/>
      <c r="W85" s="554"/>
      <c r="X85" s="13"/>
    </row>
    <row r="86" spans="1:24" hidden="1" outlineLevel="1" x14ac:dyDescent="0.2">
      <c r="A86" s="554"/>
      <c r="B86" s="554"/>
      <c r="C86" s="738" t="s">
        <v>636</v>
      </c>
      <c r="D86" s="740"/>
      <c r="E86" s="28"/>
      <c r="F86" s="494"/>
      <c r="G86" s="494"/>
      <c r="H86" s="494"/>
      <c r="I86" s="494"/>
      <c r="J86" s="494"/>
      <c r="K86" s="494"/>
      <c r="L86" s="13"/>
      <c r="M86" s="13"/>
      <c r="N86" s="13"/>
      <c r="O86" s="13"/>
      <c r="P86" s="555"/>
      <c r="Q86" s="554"/>
      <c r="R86" s="554"/>
      <c r="S86" s="554"/>
      <c r="T86" s="554"/>
      <c r="U86" s="554"/>
      <c r="V86" s="554"/>
      <c r="W86" s="554"/>
      <c r="X86" s="13"/>
    </row>
    <row r="87" spans="1:24" hidden="1" outlineLevel="1" x14ac:dyDescent="0.2">
      <c r="A87" s="554"/>
      <c r="B87" s="554"/>
      <c r="C87" s="738" t="s">
        <v>977</v>
      </c>
      <c r="D87" s="740"/>
      <c r="E87" s="43" t="str">
        <f>IF(AND(E85&lt;&gt;"",E86&lt;&gt;""),E85 &amp; " " &amp; E86,IF(E86&lt;&gt;"",E86,""))</f>
        <v/>
      </c>
      <c r="F87" s="494"/>
      <c r="G87" s="494"/>
      <c r="H87" s="494"/>
      <c r="I87" s="494"/>
      <c r="J87" s="494"/>
      <c r="K87" s="494"/>
      <c r="L87" s="494"/>
      <c r="M87" s="494"/>
      <c r="N87" s="494"/>
      <c r="O87" s="555"/>
      <c r="P87" s="555"/>
      <c r="Q87" s="554"/>
      <c r="R87" s="554"/>
      <c r="S87" s="554"/>
      <c r="T87" s="554"/>
      <c r="U87" s="554"/>
      <c r="V87" s="554"/>
      <c r="W87" s="554"/>
      <c r="X87" s="13"/>
    </row>
    <row r="88" spans="1:24" hidden="1" outlineLevel="1" x14ac:dyDescent="0.2">
      <c r="A88" s="554"/>
      <c r="B88" s="554"/>
      <c r="C88" s="738" t="s">
        <v>637</v>
      </c>
      <c r="D88" s="740"/>
      <c r="E88" s="28"/>
      <c r="F88" s="494"/>
      <c r="G88" s="494"/>
      <c r="H88" s="494"/>
      <c r="I88" s="494"/>
      <c r="J88" s="494"/>
      <c r="K88" s="494"/>
      <c r="L88" s="494"/>
      <c r="M88" s="494"/>
      <c r="N88" s="494"/>
      <c r="O88" s="555"/>
      <c r="P88" s="555"/>
      <c r="Q88" s="554"/>
      <c r="R88" s="554"/>
      <c r="S88" s="554"/>
      <c r="T88" s="554"/>
      <c r="U88" s="554"/>
      <c r="V88" s="554"/>
      <c r="W88" s="554"/>
      <c r="X88" s="13"/>
    </row>
    <row r="89" spans="1:24" hidden="1" outlineLevel="1" x14ac:dyDescent="0.2">
      <c r="A89" s="554"/>
      <c r="B89" s="554"/>
      <c r="C89" s="738" t="s">
        <v>638</v>
      </c>
      <c r="D89" s="740"/>
      <c r="E89" s="28"/>
      <c r="F89" s="494"/>
      <c r="G89" s="494"/>
      <c r="H89" s="494"/>
      <c r="I89" s="494"/>
      <c r="J89" s="494"/>
      <c r="K89" s="494"/>
      <c r="L89" s="494"/>
      <c r="M89" s="494"/>
      <c r="N89" s="494"/>
      <c r="O89" s="555"/>
      <c r="P89" s="555"/>
      <c r="Q89" s="554"/>
      <c r="R89" s="554"/>
      <c r="S89" s="554"/>
      <c r="T89" s="554"/>
      <c r="U89" s="554"/>
      <c r="V89" s="554"/>
      <c r="W89" s="554"/>
      <c r="X89" s="13"/>
    </row>
    <row r="90" spans="1:24" hidden="1" outlineLevel="1" x14ac:dyDescent="0.2">
      <c r="A90" s="554"/>
      <c r="B90" s="554"/>
      <c r="C90" s="738" t="s">
        <v>639</v>
      </c>
      <c r="D90" s="740"/>
      <c r="E90" s="28"/>
      <c r="F90" s="494"/>
      <c r="G90" s="494"/>
      <c r="H90" s="494"/>
      <c r="I90" s="494"/>
      <c r="J90" s="494"/>
      <c r="K90" s="494"/>
      <c r="L90" s="494"/>
      <c r="M90" s="494"/>
      <c r="N90" s="494"/>
      <c r="O90" s="555"/>
      <c r="P90" s="555"/>
      <c r="Q90" s="554"/>
      <c r="R90" s="554"/>
      <c r="S90" s="554"/>
      <c r="T90" s="554"/>
      <c r="U90" s="554"/>
      <c r="V90" s="554"/>
      <c r="W90" s="554"/>
      <c r="X90" s="13"/>
    </row>
    <row r="91" spans="1:24" hidden="1" outlineLevel="1" x14ac:dyDescent="0.2">
      <c r="A91" s="554"/>
      <c r="B91" s="554"/>
      <c r="C91" s="738" t="s">
        <v>640</v>
      </c>
      <c r="D91" s="740"/>
      <c r="E91" s="28"/>
      <c r="F91" s="494"/>
      <c r="G91" s="494"/>
      <c r="H91" s="494"/>
      <c r="I91" s="494"/>
      <c r="J91" s="494"/>
      <c r="K91" s="494"/>
      <c r="L91" s="494"/>
      <c r="M91" s="494"/>
      <c r="N91" s="494"/>
      <c r="O91" s="555"/>
      <c r="P91" s="555"/>
      <c r="Q91" s="554"/>
      <c r="R91" s="554"/>
      <c r="S91" s="554"/>
      <c r="T91" s="554"/>
      <c r="U91" s="554"/>
      <c r="V91" s="554"/>
      <c r="W91" s="554"/>
      <c r="X91" s="13"/>
    </row>
    <row r="92" spans="1:24" hidden="1" outlineLevel="1" x14ac:dyDescent="0.2">
      <c r="A92" s="554"/>
      <c r="B92" s="554"/>
      <c r="C92" s="554"/>
      <c r="D92" s="554"/>
      <c r="E92" s="554"/>
      <c r="F92" s="494"/>
      <c r="G92" s="494"/>
      <c r="H92" s="494"/>
      <c r="I92" s="494"/>
      <c r="J92" s="494"/>
      <c r="K92" s="494"/>
      <c r="L92" s="494"/>
      <c r="M92" s="494"/>
      <c r="N92" s="494"/>
      <c r="O92" s="555"/>
      <c r="P92" s="555"/>
      <c r="Q92" s="554"/>
      <c r="R92" s="554"/>
      <c r="S92" s="554"/>
      <c r="T92" s="554"/>
      <c r="U92" s="554"/>
      <c r="V92" s="554"/>
      <c r="W92" s="554"/>
      <c r="X92" s="13"/>
    </row>
    <row r="93" spans="1:24" hidden="1" outlineLevel="1" x14ac:dyDescent="0.2">
      <c r="A93" s="554"/>
      <c r="B93" s="554"/>
      <c r="C93" s="554"/>
      <c r="D93" s="554"/>
      <c r="E93" s="554"/>
      <c r="F93" s="494"/>
      <c r="G93" s="494"/>
      <c r="H93" s="494"/>
      <c r="I93" s="494"/>
      <c r="J93" s="494"/>
      <c r="K93" s="494"/>
      <c r="L93" s="494"/>
      <c r="M93" s="494"/>
      <c r="N93" s="494"/>
      <c r="O93" s="555"/>
      <c r="P93" s="555"/>
      <c r="Q93" s="554"/>
      <c r="R93" s="554"/>
      <c r="S93" s="554"/>
      <c r="T93" s="554"/>
      <c r="U93" s="554"/>
      <c r="V93" s="554"/>
      <c r="W93" s="554"/>
      <c r="X93" s="13"/>
    </row>
    <row r="94" spans="1:24" ht="15.75" collapsed="1" x14ac:dyDescent="0.2">
      <c r="A94" s="138"/>
      <c r="B94" s="330">
        <v>3</v>
      </c>
      <c r="C94" s="743" t="str">
        <f xml:space="preserve"> IF(B94&lt;=$I$61,"Restriction " &amp; B94 &amp; " of " &amp; $I$61,MsgNotUsed)</f>
        <v>** NOT USED **</v>
      </c>
      <c r="D94" s="744"/>
      <c r="E94" s="745"/>
      <c r="F94" s="128"/>
      <c r="G94" s="128"/>
      <c r="H94" s="134"/>
      <c r="I94" s="134"/>
      <c r="J94" s="135"/>
      <c r="K94" s="134"/>
      <c r="L94" s="135"/>
      <c r="M94" s="135"/>
      <c r="N94" s="134"/>
      <c r="O94" s="94"/>
      <c r="P94" s="94"/>
      <c r="Q94" s="138"/>
      <c r="R94" s="138"/>
      <c r="S94" s="138"/>
      <c r="T94" s="138"/>
      <c r="U94" s="138"/>
      <c r="V94" s="138"/>
      <c r="W94" s="138"/>
    </row>
    <row r="95" spans="1:24" hidden="1" outlineLevel="1" x14ac:dyDescent="0.2">
      <c r="A95" s="554"/>
      <c r="B95" s="554"/>
      <c r="C95" s="547" t="s">
        <v>631</v>
      </c>
      <c r="D95" s="378"/>
      <c r="E95" s="43" t="str">
        <f>IF(D95&lt;&gt;"",VLOOKUP(D95,ProgrammeCode,2,FALSE),"")</f>
        <v/>
      </c>
      <c r="F95" s="106">
        <f>IF(D95&lt;&gt;"",VLOOKUP(D95,ProgrammeCode,3),0)</f>
        <v>0</v>
      </c>
      <c r="G95" s="111"/>
      <c r="H95" s="495" t="s">
        <v>632</v>
      </c>
      <c r="I95" s="378"/>
      <c r="J95" s="494" t="str">
        <f>IF(I95="New","N","")</f>
        <v/>
      </c>
      <c r="K95" s="493"/>
      <c r="L95" s="546" t="s">
        <v>778</v>
      </c>
      <c r="M95" s="13"/>
      <c r="N95" s="13"/>
      <c r="O95" s="13"/>
      <c r="P95" s="555"/>
      <c r="Q95" s="554"/>
      <c r="R95" s="554"/>
      <c r="S95" s="554"/>
      <c r="T95" s="554"/>
      <c r="U95" s="554"/>
      <c r="V95" s="554"/>
      <c r="W95" s="554"/>
      <c r="X95" s="13"/>
    </row>
    <row r="96" spans="1:24" hidden="1" outlineLevel="1" x14ac:dyDescent="0.2">
      <c r="A96" s="554"/>
      <c r="B96" s="554"/>
      <c r="C96" s="493"/>
      <c r="D96" s="493"/>
      <c r="E96" s="493"/>
      <c r="F96" s="493"/>
      <c r="G96" s="493"/>
      <c r="H96" s="131" t="s">
        <v>759</v>
      </c>
      <c r="I96" s="27"/>
      <c r="J96" s="494"/>
      <c r="K96" s="493"/>
      <c r="L96" s="724"/>
      <c r="M96" s="575"/>
      <c r="N96" s="725">
        <f>IF(L96&lt;&gt;"",VLOOKUP(L96,AuthorityCode,2,FALSE),0)</f>
        <v>0</v>
      </c>
      <c r="O96" s="13"/>
      <c r="P96" s="555"/>
      <c r="Q96" s="554"/>
      <c r="R96" s="554"/>
      <c r="S96" s="554"/>
      <c r="T96" s="554"/>
      <c r="U96" s="554"/>
      <c r="V96" s="554"/>
      <c r="W96" s="554"/>
      <c r="X96" s="13"/>
    </row>
    <row r="97" spans="1:24" hidden="1" outlineLevel="1" x14ac:dyDescent="0.2">
      <c r="A97" s="554"/>
      <c r="B97" s="554"/>
      <c r="C97" s="741" t="s">
        <v>57</v>
      </c>
      <c r="D97" s="742"/>
      <c r="E97" s="24"/>
      <c r="F97" s="106" t="str">
        <f>IF(E97&lt;&gt;"",VLOOKUP(E97,TPShortCode,3,FALSE),"")</f>
        <v/>
      </c>
      <c r="G97" s="556"/>
      <c r="H97" s="131" t="str">
        <f>VLOOKUP(F95,MaxQ,2,TRUE)</f>
        <v>Max quantity (units)</v>
      </c>
      <c r="I97" s="27"/>
      <c r="J97" s="494"/>
      <c r="K97" s="493"/>
      <c r="L97" s="724"/>
      <c r="M97" s="575"/>
      <c r="N97" s="575"/>
      <c r="O97" s="13"/>
      <c r="P97" s="555"/>
      <c r="Q97" s="554"/>
      <c r="R97" s="554"/>
      <c r="S97" s="554"/>
      <c r="T97" s="554"/>
      <c r="U97" s="554"/>
      <c r="V97" s="554"/>
      <c r="W97" s="554"/>
      <c r="X97" s="13"/>
    </row>
    <row r="98" spans="1:24" hidden="1" outlineLevel="1" x14ac:dyDescent="0.2">
      <c r="A98" s="554"/>
      <c r="B98" s="554"/>
      <c r="C98" s="493"/>
      <c r="D98" s="493"/>
      <c r="E98" s="28"/>
      <c r="F98" s="493"/>
      <c r="G98" s="493"/>
      <c r="H98" s="131" t="s">
        <v>633</v>
      </c>
      <c r="I98" s="27"/>
      <c r="J98" s="494"/>
      <c r="K98" s="493"/>
      <c r="L98" s="13"/>
      <c r="M98" s="13"/>
      <c r="N98" s="13"/>
      <c r="O98" s="13"/>
      <c r="P98" s="555"/>
      <c r="Q98" s="554"/>
      <c r="R98" s="554"/>
      <c r="S98" s="554"/>
      <c r="T98" s="554"/>
      <c r="U98" s="554"/>
      <c r="V98" s="554"/>
      <c r="W98" s="554"/>
      <c r="X98" s="13"/>
    </row>
    <row r="99" spans="1:24" hidden="1" outlineLevel="1" x14ac:dyDescent="0.2">
      <c r="A99" s="554"/>
      <c r="B99" s="554"/>
      <c r="C99" s="738" t="s">
        <v>634</v>
      </c>
      <c r="D99" s="740"/>
      <c r="E99" s="28"/>
      <c r="F99" s="493"/>
      <c r="G99" s="493"/>
      <c r="H99" s="554"/>
      <c r="I99" s="554"/>
      <c r="J99" s="494"/>
      <c r="K99" s="493"/>
      <c r="L99" s="13"/>
      <c r="M99" s="13"/>
      <c r="N99" s="13"/>
      <c r="O99" s="13"/>
      <c r="P99" s="494"/>
      <c r="Q99" s="554"/>
      <c r="R99" s="554"/>
      <c r="S99" s="554"/>
      <c r="T99" s="554"/>
      <c r="U99" s="554"/>
      <c r="V99" s="554"/>
      <c r="W99" s="554"/>
      <c r="X99" s="13"/>
    </row>
    <row r="100" spans="1:24" hidden="1" outlineLevel="1" x14ac:dyDescent="0.2">
      <c r="A100" s="554"/>
      <c r="B100" s="554"/>
      <c r="C100" s="738" t="s">
        <v>635</v>
      </c>
      <c r="D100" s="740"/>
      <c r="E100" s="28"/>
      <c r="F100" s="494"/>
      <c r="G100" s="494"/>
      <c r="H100" s="554"/>
      <c r="I100" s="554"/>
      <c r="J100" s="494"/>
      <c r="K100" s="493"/>
      <c r="L100" s="13"/>
      <c r="M100" s="13"/>
      <c r="N100" s="13"/>
      <c r="O100" s="13"/>
      <c r="P100" s="555"/>
      <c r="Q100" s="554"/>
      <c r="R100" s="554"/>
      <c r="S100" s="554"/>
      <c r="T100" s="554"/>
      <c r="U100" s="554"/>
      <c r="V100" s="554"/>
      <c r="W100" s="554"/>
      <c r="X100" s="13"/>
    </row>
    <row r="101" spans="1:24" hidden="1" outlineLevel="1" x14ac:dyDescent="0.2">
      <c r="A101" s="554"/>
      <c r="B101" s="554"/>
      <c r="C101" s="738" t="s">
        <v>636</v>
      </c>
      <c r="D101" s="740"/>
      <c r="E101" s="28"/>
      <c r="F101" s="494"/>
      <c r="G101" s="494"/>
      <c r="H101" s="494"/>
      <c r="I101" s="494"/>
      <c r="J101" s="494"/>
      <c r="K101" s="494"/>
      <c r="L101" s="13"/>
      <c r="M101" s="13"/>
      <c r="N101" s="13"/>
      <c r="O101" s="13"/>
      <c r="P101" s="555"/>
      <c r="Q101" s="554"/>
      <c r="R101" s="554"/>
      <c r="S101" s="554"/>
      <c r="T101" s="554"/>
      <c r="U101" s="554"/>
      <c r="V101" s="554"/>
      <c r="W101" s="554"/>
      <c r="X101" s="13"/>
    </row>
    <row r="102" spans="1:24" hidden="1" outlineLevel="1" x14ac:dyDescent="0.2">
      <c r="A102" s="554"/>
      <c r="B102" s="554"/>
      <c r="C102" s="738" t="s">
        <v>977</v>
      </c>
      <c r="D102" s="740"/>
      <c r="E102" s="43" t="str">
        <f>IF(AND(E100&lt;&gt;"",E101&lt;&gt;""),E100 &amp; " " &amp; E101,IF(E101&lt;&gt;"",E101,""))</f>
        <v/>
      </c>
      <c r="F102" s="494"/>
      <c r="G102" s="494"/>
      <c r="H102" s="494"/>
      <c r="I102" s="494"/>
      <c r="J102" s="494"/>
      <c r="K102" s="494"/>
      <c r="L102" s="494"/>
      <c r="M102" s="494"/>
      <c r="N102" s="494"/>
      <c r="O102" s="555"/>
      <c r="P102" s="555"/>
      <c r="Q102" s="554"/>
      <c r="R102" s="554"/>
      <c r="S102" s="554"/>
      <c r="T102" s="554"/>
      <c r="U102" s="554"/>
      <c r="V102" s="554"/>
      <c r="W102" s="554"/>
      <c r="X102" s="13"/>
    </row>
    <row r="103" spans="1:24" hidden="1" outlineLevel="1" x14ac:dyDescent="0.2">
      <c r="A103" s="554"/>
      <c r="B103" s="554"/>
      <c r="C103" s="738" t="s">
        <v>637</v>
      </c>
      <c r="D103" s="740"/>
      <c r="E103" s="28"/>
      <c r="F103" s="494"/>
      <c r="G103" s="494"/>
      <c r="H103" s="494"/>
      <c r="I103" s="494"/>
      <c r="J103" s="494"/>
      <c r="K103" s="494"/>
      <c r="L103" s="494"/>
      <c r="M103" s="494"/>
      <c r="N103" s="494"/>
      <c r="O103" s="555"/>
      <c r="P103" s="555"/>
      <c r="Q103" s="554"/>
      <c r="R103" s="554"/>
      <c r="S103" s="554"/>
      <c r="T103" s="554"/>
      <c r="U103" s="554"/>
      <c r="V103" s="554"/>
      <c r="W103" s="554"/>
      <c r="X103" s="13"/>
    </row>
    <row r="104" spans="1:24" hidden="1" outlineLevel="1" x14ac:dyDescent="0.2">
      <c r="A104" s="554"/>
      <c r="B104" s="554"/>
      <c r="C104" s="738" t="s">
        <v>638</v>
      </c>
      <c r="D104" s="740"/>
      <c r="E104" s="28"/>
      <c r="F104" s="494"/>
      <c r="G104" s="494"/>
      <c r="H104" s="494"/>
      <c r="I104" s="494"/>
      <c r="J104" s="494"/>
      <c r="K104" s="494"/>
      <c r="L104" s="494"/>
      <c r="M104" s="494"/>
      <c r="N104" s="494"/>
      <c r="O104" s="555"/>
      <c r="P104" s="555"/>
      <c r="Q104" s="554"/>
      <c r="R104" s="554"/>
      <c r="S104" s="554"/>
      <c r="T104" s="554"/>
      <c r="U104" s="554"/>
      <c r="V104" s="554"/>
      <c r="W104" s="554"/>
      <c r="X104" s="13"/>
    </row>
    <row r="105" spans="1:24" hidden="1" outlineLevel="1" x14ac:dyDescent="0.2">
      <c r="A105" s="554"/>
      <c r="B105" s="554"/>
      <c r="C105" s="738" t="s">
        <v>639</v>
      </c>
      <c r="D105" s="740"/>
      <c r="E105" s="28"/>
      <c r="F105" s="494"/>
      <c r="G105" s="494"/>
      <c r="H105" s="494"/>
      <c r="I105" s="494"/>
      <c r="J105" s="494"/>
      <c r="K105" s="494"/>
      <c r="L105" s="494"/>
      <c r="M105" s="494"/>
      <c r="N105" s="494"/>
      <c r="O105" s="555"/>
      <c r="P105" s="555"/>
      <c r="Q105" s="554"/>
      <c r="R105" s="554"/>
      <c r="S105" s="554"/>
      <c r="T105" s="554"/>
      <c r="U105" s="554"/>
      <c r="V105" s="554"/>
      <c r="W105" s="554"/>
      <c r="X105" s="13"/>
    </row>
    <row r="106" spans="1:24" hidden="1" outlineLevel="1" x14ac:dyDescent="0.2">
      <c r="A106" s="554"/>
      <c r="B106" s="554"/>
      <c r="C106" s="738" t="s">
        <v>640</v>
      </c>
      <c r="D106" s="740"/>
      <c r="E106" s="28"/>
      <c r="F106" s="494"/>
      <c r="G106" s="494"/>
      <c r="H106" s="494"/>
      <c r="I106" s="494"/>
      <c r="J106" s="494"/>
      <c r="K106" s="494"/>
      <c r="L106" s="494"/>
      <c r="M106" s="494"/>
      <c r="N106" s="494"/>
      <c r="O106" s="555"/>
      <c r="P106" s="555"/>
      <c r="Q106" s="554"/>
      <c r="R106" s="554"/>
      <c r="S106" s="554"/>
      <c r="T106" s="554"/>
      <c r="U106" s="554"/>
      <c r="V106" s="554"/>
      <c r="W106" s="554"/>
      <c r="X106" s="13"/>
    </row>
    <row r="107" spans="1:24" hidden="1" outlineLevel="1" x14ac:dyDescent="0.2">
      <c r="A107" s="554"/>
      <c r="B107" s="554"/>
      <c r="C107" s="554"/>
      <c r="D107" s="554"/>
      <c r="E107" s="554"/>
      <c r="F107" s="494"/>
      <c r="G107" s="494"/>
      <c r="H107" s="494"/>
      <c r="I107" s="494"/>
      <c r="J107" s="494"/>
      <c r="K107" s="494"/>
      <c r="L107" s="494"/>
      <c r="M107" s="494"/>
      <c r="N107" s="494"/>
      <c r="O107" s="555"/>
      <c r="P107" s="555"/>
      <c r="Q107" s="554"/>
      <c r="R107" s="554"/>
      <c r="S107" s="554"/>
      <c r="T107" s="554"/>
      <c r="U107" s="554"/>
      <c r="V107" s="554"/>
      <c r="W107" s="554"/>
      <c r="X107" s="13"/>
    </row>
    <row r="108" spans="1:24" hidden="1" outlineLevel="1" x14ac:dyDescent="0.2">
      <c r="A108" s="554"/>
      <c r="B108" s="554"/>
      <c r="C108" s="554"/>
      <c r="D108" s="554"/>
      <c r="E108" s="554"/>
      <c r="F108" s="494"/>
      <c r="G108" s="494"/>
      <c r="H108" s="494"/>
      <c r="I108" s="494"/>
      <c r="J108" s="494"/>
      <c r="K108" s="494"/>
      <c r="L108" s="494"/>
      <c r="M108" s="494"/>
      <c r="N108" s="494"/>
      <c r="O108" s="555"/>
      <c r="P108" s="555"/>
      <c r="Q108" s="554"/>
      <c r="R108" s="554"/>
      <c r="S108" s="554"/>
      <c r="T108" s="554"/>
      <c r="U108" s="554"/>
      <c r="V108" s="554"/>
      <c r="W108" s="554"/>
      <c r="X108" s="13"/>
    </row>
    <row r="109" spans="1:24" ht="15.75" collapsed="1" x14ac:dyDescent="0.2">
      <c r="A109" s="138"/>
      <c r="B109" s="330">
        <v>4</v>
      </c>
      <c r="C109" s="743" t="str">
        <f xml:space="preserve"> IF(B109&lt;=$I$61,"Restriction " &amp; B109 &amp; " of " &amp; $I$61,MsgNotUsed)</f>
        <v>** NOT USED **</v>
      </c>
      <c r="D109" s="744"/>
      <c r="E109" s="745"/>
      <c r="F109" s="128"/>
      <c r="G109" s="128"/>
      <c r="H109" s="134"/>
      <c r="I109" s="134"/>
      <c r="J109" s="135"/>
      <c r="K109" s="134"/>
      <c r="L109" s="135"/>
      <c r="M109" s="135"/>
      <c r="N109" s="134"/>
      <c r="O109" s="94"/>
      <c r="P109" s="94"/>
      <c r="Q109" s="138"/>
      <c r="R109" s="138"/>
      <c r="S109" s="138"/>
      <c r="T109" s="138"/>
      <c r="U109" s="138"/>
      <c r="V109" s="138"/>
      <c r="W109" s="138"/>
    </row>
    <row r="110" spans="1:24" hidden="1" outlineLevel="1" x14ac:dyDescent="0.2">
      <c r="A110" s="554"/>
      <c r="B110" s="554"/>
      <c r="C110" s="547" t="s">
        <v>631</v>
      </c>
      <c r="D110" s="378"/>
      <c r="E110" s="43" t="str">
        <f>IF(D110&lt;&gt;"",VLOOKUP(D110,ProgrammeCode,2,FALSE),"")</f>
        <v/>
      </c>
      <c r="F110" s="106">
        <f>IF(D110&lt;&gt;"",VLOOKUP(D110,ProgrammeCode,3),0)</f>
        <v>0</v>
      </c>
      <c r="G110" s="111"/>
      <c r="H110" s="495" t="s">
        <v>632</v>
      </c>
      <c r="I110" s="378"/>
      <c r="J110" s="494" t="str">
        <f>IF(I110="New","N","")</f>
        <v/>
      </c>
      <c r="K110" s="493"/>
      <c r="L110" s="546" t="s">
        <v>778</v>
      </c>
      <c r="M110" s="13"/>
      <c r="N110" s="13"/>
      <c r="O110" s="13"/>
      <c r="P110" s="555"/>
      <c r="Q110" s="554"/>
      <c r="R110" s="554"/>
      <c r="S110" s="554"/>
      <c r="T110" s="554"/>
      <c r="U110" s="554"/>
      <c r="V110" s="554"/>
      <c r="W110" s="554"/>
      <c r="X110" s="13"/>
    </row>
    <row r="111" spans="1:24" hidden="1" outlineLevel="1" x14ac:dyDescent="0.2">
      <c r="A111" s="554"/>
      <c r="B111" s="554"/>
      <c r="C111" s="493"/>
      <c r="D111" s="493"/>
      <c r="E111" s="493"/>
      <c r="F111" s="493"/>
      <c r="G111" s="493"/>
      <c r="H111" s="131" t="s">
        <v>759</v>
      </c>
      <c r="I111" s="27"/>
      <c r="J111" s="494"/>
      <c r="K111" s="493"/>
      <c r="L111" s="724"/>
      <c r="M111" s="575"/>
      <c r="N111" s="725">
        <f>IF(L111&lt;&gt;"",VLOOKUP(L111,AuthorityCode,2,FALSE),0)</f>
        <v>0</v>
      </c>
      <c r="O111" s="13"/>
      <c r="P111" s="555"/>
      <c r="Q111" s="554"/>
      <c r="R111" s="554"/>
      <c r="S111" s="554"/>
      <c r="T111" s="554"/>
      <c r="U111" s="554"/>
      <c r="V111" s="554"/>
      <c r="W111" s="554"/>
      <c r="X111" s="13"/>
    </row>
    <row r="112" spans="1:24" hidden="1" outlineLevel="1" x14ac:dyDescent="0.2">
      <c r="A112" s="554"/>
      <c r="B112" s="554"/>
      <c r="C112" s="548" t="s">
        <v>57</v>
      </c>
      <c r="D112" s="558"/>
      <c r="E112" s="24"/>
      <c r="F112" s="106" t="str">
        <f>IF(E112&lt;&gt;"",VLOOKUP(E112,TPShortCode,3,FALSE),"")</f>
        <v/>
      </c>
      <c r="G112" s="556"/>
      <c r="H112" s="131" t="str">
        <f>VLOOKUP(F110,MaxQ,2,TRUE)</f>
        <v>Max quantity (units)</v>
      </c>
      <c r="I112" s="27"/>
      <c r="J112" s="494"/>
      <c r="K112" s="493"/>
      <c r="L112" s="724"/>
      <c r="M112" s="575"/>
      <c r="N112" s="575"/>
      <c r="O112" s="13"/>
      <c r="P112" s="555"/>
      <c r="Q112" s="554"/>
      <c r="R112" s="554"/>
      <c r="S112" s="554"/>
      <c r="T112" s="554"/>
      <c r="U112" s="554"/>
      <c r="V112" s="554"/>
      <c r="W112" s="554"/>
      <c r="X112" s="13"/>
    </row>
    <row r="113" spans="1:24" hidden="1" outlineLevel="1" x14ac:dyDescent="0.2">
      <c r="A113" s="554"/>
      <c r="B113" s="554"/>
      <c r="C113" s="493"/>
      <c r="D113" s="493"/>
      <c r="E113" s="28"/>
      <c r="F113" s="493"/>
      <c r="G113" s="493"/>
      <c r="H113" s="131" t="s">
        <v>633</v>
      </c>
      <c r="I113" s="27"/>
      <c r="J113" s="494"/>
      <c r="K113" s="493"/>
      <c r="L113" s="13"/>
      <c r="M113" s="13"/>
      <c r="N113" s="13"/>
      <c r="O113" s="13"/>
      <c r="P113" s="555"/>
      <c r="Q113" s="554"/>
      <c r="R113" s="554"/>
      <c r="S113" s="554"/>
      <c r="T113" s="554"/>
      <c r="U113" s="554"/>
      <c r="V113" s="554"/>
      <c r="W113" s="554"/>
      <c r="X113" s="13"/>
    </row>
    <row r="114" spans="1:24" hidden="1" outlineLevel="1" x14ac:dyDescent="0.2">
      <c r="A114" s="554"/>
      <c r="B114" s="554"/>
      <c r="C114" s="738" t="s">
        <v>634</v>
      </c>
      <c r="D114" s="740"/>
      <c r="E114" s="28"/>
      <c r="F114" s="493"/>
      <c r="G114" s="493"/>
      <c r="H114" s="554"/>
      <c r="I114" s="554"/>
      <c r="J114" s="494"/>
      <c r="K114" s="493"/>
      <c r="L114" s="13"/>
      <c r="M114" s="13"/>
      <c r="N114" s="13"/>
      <c r="O114" s="13"/>
      <c r="P114" s="494"/>
      <c r="Q114" s="554"/>
      <c r="R114" s="554"/>
      <c r="S114" s="554"/>
      <c r="T114" s="554"/>
      <c r="U114" s="554"/>
      <c r="V114" s="554"/>
      <c r="W114" s="554"/>
      <c r="X114" s="13"/>
    </row>
    <row r="115" spans="1:24" hidden="1" outlineLevel="1" x14ac:dyDescent="0.2">
      <c r="A115" s="554"/>
      <c r="B115" s="554"/>
      <c r="C115" s="738" t="s">
        <v>635</v>
      </c>
      <c r="D115" s="740"/>
      <c r="E115" s="28"/>
      <c r="F115" s="494"/>
      <c r="G115" s="494"/>
      <c r="H115" s="554"/>
      <c r="I115" s="554"/>
      <c r="J115" s="494"/>
      <c r="K115" s="493"/>
      <c r="L115" s="13"/>
      <c r="M115" s="13"/>
      <c r="N115" s="13"/>
      <c r="O115" s="13"/>
      <c r="P115" s="555"/>
      <c r="Q115" s="554"/>
      <c r="R115" s="554"/>
      <c r="S115" s="554"/>
      <c r="T115" s="554"/>
      <c r="U115" s="554"/>
      <c r="V115" s="554"/>
      <c r="W115" s="554"/>
      <c r="X115" s="13"/>
    </row>
    <row r="116" spans="1:24" hidden="1" outlineLevel="1" x14ac:dyDescent="0.2">
      <c r="A116" s="554"/>
      <c r="B116" s="554"/>
      <c r="C116" s="738" t="s">
        <v>636</v>
      </c>
      <c r="D116" s="740"/>
      <c r="E116" s="28"/>
      <c r="F116" s="494"/>
      <c r="G116" s="494"/>
      <c r="H116" s="494"/>
      <c r="I116" s="494"/>
      <c r="J116" s="494"/>
      <c r="K116" s="494"/>
      <c r="L116" s="13"/>
      <c r="M116" s="13"/>
      <c r="N116" s="13"/>
      <c r="O116" s="13"/>
      <c r="P116" s="555"/>
      <c r="Q116" s="554"/>
      <c r="R116" s="554"/>
      <c r="S116" s="554"/>
      <c r="T116" s="554"/>
      <c r="U116" s="554"/>
      <c r="V116" s="554"/>
      <c r="W116" s="554"/>
      <c r="X116" s="13"/>
    </row>
    <row r="117" spans="1:24" hidden="1" outlineLevel="1" x14ac:dyDescent="0.2">
      <c r="A117" s="554"/>
      <c r="B117" s="554"/>
      <c r="C117" s="738" t="s">
        <v>977</v>
      </c>
      <c r="D117" s="740"/>
      <c r="E117" s="43" t="str">
        <f>IF(AND(E115&lt;&gt;"",E116&lt;&gt;""),E115 &amp; " " &amp; E116,IF(E116&lt;&gt;"",E116,""))</f>
        <v/>
      </c>
      <c r="F117" s="494"/>
      <c r="G117" s="494"/>
      <c r="H117" s="494"/>
      <c r="I117" s="494"/>
      <c r="J117" s="494"/>
      <c r="K117" s="494"/>
      <c r="L117" s="494"/>
      <c r="M117" s="494"/>
      <c r="N117" s="494"/>
      <c r="O117" s="555"/>
      <c r="P117" s="555"/>
      <c r="Q117" s="554"/>
      <c r="R117" s="554"/>
      <c r="S117" s="554"/>
      <c r="T117" s="554"/>
      <c r="U117" s="554"/>
      <c r="V117" s="554"/>
      <c r="W117" s="554"/>
      <c r="X117" s="13"/>
    </row>
    <row r="118" spans="1:24" hidden="1" outlineLevel="1" x14ac:dyDescent="0.2">
      <c r="A118" s="554"/>
      <c r="B118" s="554"/>
      <c r="C118" s="738" t="s">
        <v>637</v>
      </c>
      <c r="D118" s="740"/>
      <c r="E118" s="28"/>
      <c r="F118" s="494"/>
      <c r="G118" s="494"/>
      <c r="H118" s="494"/>
      <c r="I118" s="494"/>
      <c r="J118" s="494"/>
      <c r="K118" s="494"/>
      <c r="L118" s="494"/>
      <c r="M118" s="494"/>
      <c r="N118" s="494"/>
      <c r="O118" s="555"/>
      <c r="P118" s="555"/>
      <c r="Q118" s="554"/>
      <c r="R118" s="554"/>
      <c r="S118" s="554"/>
      <c r="T118" s="554"/>
      <c r="U118" s="554"/>
      <c r="V118" s="554"/>
      <c r="W118" s="554"/>
      <c r="X118" s="13"/>
    </row>
    <row r="119" spans="1:24" hidden="1" outlineLevel="1" x14ac:dyDescent="0.2">
      <c r="A119" s="554"/>
      <c r="B119" s="554"/>
      <c r="C119" s="738" t="s">
        <v>638</v>
      </c>
      <c r="D119" s="740"/>
      <c r="E119" s="28"/>
      <c r="F119" s="494"/>
      <c r="G119" s="494"/>
      <c r="H119" s="494"/>
      <c r="I119" s="494"/>
      <c r="J119" s="494"/>
      <c r="K119" s="494"/>
      <c r="L119" s="494"/>
      <c r="M119" s="494"/>
      <c r="N119" s="494"/>
      <c r="O119" s="555"/>
      <c r="P119" s="555"/>
      <c r="Q119" s="554"/>
      <c r="R119" s="554"/>
      <c r="S119" s="554"/>
      <c r="T119" s="554"/>
      <c r="U119" s="554"/>
      <c r="V119" s="554"/>
      <c r="W119" s="554"/>
      <c r="X119" s="13"/>
    </row>
    <row r="120" spans="1:24" hidden="1" outlineLevel="1" x14ac:dyDescent="0.2">
      <c r="A120" s="554"/>
      <c r="B120" s="554"/>
      <c r="C120" s="738" t="s">
        <v>639</v>
      </c>
      <c r="D120" s="740"/>
      <c r="E120" s="28"/>
      <c r="F120" s="494"/>
      <c r="G120" s="494"/>
      <c r="H120" s="494"/>
      <c r="I120" s="494"/>
      <c r="J120" s="494"/>
      <c r="K120" s="494"/>
      <c r="L120" s="494"/>
      <c r="M120" s="494"/>
      <c r="N120" s="494"/>
      <c r="O120" s="555"/>
      <c r="P120" s="555"/>
      <c r="Q120" s="554"/>
      <c r="R120" s="554"/>
      <c r="S120" s="554"/>
      <c r="T120" s="554"/>
      <c r="U120" s="554"/>
      <c r="V120" s="554"/>
      <c r="W120" s="554"/>
      <c r="X120" s="13"/>
    </row>
    <row r="121" spans="1:24" hidden="1" outlineLevel="1" x14ac:dyDescent="0.2">
      <c r="A121" s="554"/>
      <c r="B121" s="554"/>
      <c r="C121" s="738" t="s">
        <v>640</v>
      </c>
      <c r="D121" s="740"/>
      <c r="E121" s="28"/>
      <c r="F121" s="494"/>
      <c r="G121" s="494"/>
      <c r="H121" s="494"/>
      <c r="I121" s="494"/>
      <c r="J121" s="494"/>
      <c r="K121" s="494"/>
      <c r="L121" s="494"/>
      <c r="M121" s="494"/>
      <c r="N121" s="494"/>
      <c r="O121" s="555"/>
      <c r="P121" s="555"/>
      <c r="Q121" s="554"/>
      <c r="R121" s="554"/>
      <c r="S121" s="554"/>
      <c r="T121" s="554"/>
      <c r="U121" s="554"/>
      <c r="V121" s="554"/>
      <c r="W121" s="554"/>
      <c r="X121" s="13"/>
    </row>
    <row r="122" spans="1:24" hidden="1" outlineLevel="1" x14ac:dyDescent="0.2">
      <c r="A122" s="554"/>
      <c r="B122" s="554"/>
      <c r="C122" s="554"/>
      <c r="D122" s="554"/>
      <c r="E122" s="554"/>
      <c r="F122" s="494"/>
      <c r="G122" s="494"/>
      <c r="H122" s="494"/>
      <c r="I122" s="494"/>
      <c r="J122" s="494"/>
      <c r="K122" s="494"/>
      <c r="L122" s="494"/>
      <c r="M122" s="494"/>
      <c r="N122" s="494"/>
      <c r="O122" s="555"/>
      <c r="P122" s="555"/>
      <c r="Q122" s="554"/>
      <c r="R122" s="554"/>
      <c r="S122" s="554"/>
      <c r="T122" s="554"/>
      <c r="U122" s="554"/>
      <c r="V122" s="554"/>
      <c r="W122" s="554"/>
      <c r="X122" s="13"/>
    </row>
    <row r="123" spans="1:24" hidden="1" outlineLevel="1" x14ac:dyDescent="0.2">
      <c r="A123" s="554"/>
      <c r="B123" s="554"/>
      <c r="C123" s="554"/>
      <c r="D123" s="554"/>
      <c r="E123" s="554"/>
      <c r="F123" s="494"/>
      <c r="G123" s="494"/>
      <c r="H123" s="494"/>
      <c r="I123" s="494"/>
      <c r="J123" s="494"/>
      <c r="K123" s="494"/>
      <c r="L123" s="494"/>
      <c r="M123" s="494"/>
      <c r="N123" s="494"/>
      <c r="O123" s="555"/>
      <c r="P123" s="555"/>
      <c r="Q123" s="554"/>
      <c r="R123" s="554"/>
      <c r="S123" s="554"/>
      <c r="T123" s="554"/>
      <c r="U123" s="554"/>
      <c r="V123" s="554"/>
      <c r="W123" s="554"/>
      <c r="X123" s="13"/>
    </row>
    <row r="124" spans="1:24" ht="15.75" collapsed="1" x14ac:dyDescent="0.2">
      <c r="A124" s="138"/>
      <c r="B124" s="330">
        <v>5</v>
      </c>
      <c r="C124" s="743" t="str">
        <f xml:space="preserve"> IF(B124&lt;=$I$61,"Restriction " &amp; B124 &amp; " of " &amp; $I$61,MsgNotUsed)</f>
        <v>** NOT USED **</v>
      </c>
      <c r="D124" s="744"/>
      <c r="E124" s="745"/>
      <c r="F124" s="128"/>
      <c r="G124" s="128"/>
      <c r="H124" s="134"/>
      <c r="I124" s="134"/>
      <c r="J124" s="135"/>
      <c r="K124" s="134"/>
      <c r="L124" s="135"/>
      <c r="M124" s="135"/>
      <c r="N124" s="134"/>
      <c r="O124" s="94"/>
      <c r="P124" s="94"/>
      <c r="Q124" s="138"/>
      <c r="R124" s="138"/>
      <c r="S124" s="138"/>
      <c r="T124" s="138"/>
      <c r="U124" s="138"/>
      <c r="V124" s="138"/>
      <c r="W124" s="138"/>
    </row>
    <row r="125" spans="1:24" hidden="1" outlineLevel="1" x14ac:dyDescent="0.2">
      <c r="A125" s="138"/>
      <c r="B125" s="138"/>
      <c r="C125" s="372" t="s">
        <v>631</v>
      </c>
      <c r="D125" s="378"/>
      <c r="E125" s="43" t="str">
        <f>IF(D125&lt;&gt;"",VLOOKUP(D125,ProgrammeCode,2,FALSE),"")</f>
        <v/>
      </c>
      <c r="F125" s="103">
        <f>IF(D125&lt;&gt;"",VLOOKUP(D125,ProgrammeCode,3),0)</f>
        <v>0</v>
      </c>
      <c r="G125" s="111"/>
      <c r="H125" s="127" t="s">
        <v>632</v>
      </c>
      <c r="I125" s="378"/>
      <c r="J125" s="135" t="str">
        <f>IF(I125="New","N","")</f>
        <v/>
      </c>
      <c r="K125" s="134"/>
      <c r="L125" s="546" t="s">
        <v>778</v>
      </c>
      <c r="P125" s="94"/>
      <c r="Q125" s="138"/>
      <c r="R125" s="138"/>
      <c r="S125" s="138"/>
      <c r="T125" s="138"/>
      <c r="U125" s="138"/>
      <c r="V125" s="138"/>
      <c r="W125" s="138"/>
    </row>
    <row r="126" spans="1:24" hidden="1" outlineLevel="1" x14ac:dyDescent="0.2">
      <c r="A126" s="138"/>
      <c r="B126" s="138"/>
      <c r="C126" s="134"/>
      <c r="D126" s="134"/>
      <c r="E126" s="134"/>
      <c r="F126" s="134"/>
      <c r="G126" s="134"/>
      <c r="H126" s="131" t="s">
        <v>759</v>
      </c>
      <c r="I126" s="27"/>
      <c r="J126" s="135"/>
      <c r="K126" s="134"/>
      <c r="L126" s="724"/>
      <c r="M126" s="575"/>
      <c r="N126" s="725">
        <f>IF(L126&lt;&gt;"",VLOOKUP(L126,AuthorityCode,2,FALSE),0)</f>
        <v>0</v>
      </c>
      <c r="P126" s="94"/>
      <c r="Q126" s="138"/>
      <c r="R126" s="138"/>
      <c r="S126" s="138"/>
      <c r="T126" s="138"/>
      <c r="U126" s="138"/>
      <c r="V126" s="138"/>
      <c r="W126" s="138"/>
    </row>
    <row r="127" spans="1:24" hidden="1" outlineLevel="1" x14ac:dyDescent="0.2">
      <c r="A127" s="138"/>
      <c r="B127" s="138"/>
      <c r="C127" s="373" t="s">
        <v>57</v>
      </c>
      <c r="D127" s="313"/>
      <c r="E127" s="24"/>
      <c r="F127" s="103" t="str">
        <f>IF(E127&lt;&gt;"",VLOOKUP(E127,TPShortCode,3,FALSE),"")</f>
        <v/>
      </c>
      <c r="G127" s="136"/>
      <c r="H127" s="131" t="str">
        <f>VLOOKUP(F125,MaxQ,2,TRUE)</f>
        <v>Max quantity (units)</v>
      </c>
      <c r="I127" s="27"/>
      <c r="J127" s="135"/>
      <c r="K127" s="134"/>
      <c r="L127" s="724"/>
      <c r="M127" s="575"/>
      <c r="N127" s="575"/>
      <c r="P127" s="94"/>
      <c r="Q127" s="138"/>
      <c r="R127" s="138"/>
      <c r="S127" s="138"/>
      <c r="T127" s="138"/>
      <c r="U127" s="138"/>
      <c r="V127" s="138"/>
      <c r="W127" s="138"/>
    </row>
    <row r="128" spans="1:24" hidden="1" outlineLevel="1" x14ac:dyDescent="0.2">
      <c r="A128" s="138"/>
      <c r="B128" s="138"/>
      <c r="C128" s="134"/>
      <c r="D128" s="134"/>
      <c r="E128" s="26"/>
      <c r="F128" s="134"/>
      <c r="G128" s="134"/>
      <c r="H128" s="131" t="s">
        <v>633</v>
      </c>
      <c r="I128" s="27"/>
      <c r="J128" s="135"/>
      <c r="K128" s="134"/>
      <c r="P128" s="94"/>
      <c r="Q128" s="138"/>
      <c r="R128" s="138"/>
      <c r="S128" s="138"/>
      <c r="T128" s="138"/>
      <c r="U128" s="138"/>
      <c r="V128" s="138"/>
      <c r="W128" s="138"/>
    </row>
    <row r="129" spans="1:23" hidden="1" outlineLevel="1" x14ac:dyDescent="0.2">
      <c r="A129" s="138"/>
      <c r="B129" s="138"/>
      <c r="C129" s="738" t="s">
        <v>634</v>
      </c>
      <c r="D129" s="739"/>
      <c r="E129" s="26"/>
      <c r="F129" s="134"/>
      <c r="G129" s="134"/>
      <c r="H129" s="138"/>
      <c r="I129" s="138"/>
      <c r="J129" s="135"/>
      <c r="K129" s="134"/>
      <c r="P129" s="494"/>
      <c r="Q129" s="138"/>
      <c r="R129" s="138"/>
      <c r="S129" s="138"/>
      <c r="T129" s="138"/>
      <c r="U129" s="138"/>
      <c r="V129" s="138"/>
      <c r="W129" s="138"/>
    </row>
    <row r="130" spans="1:23" hidden="1" outlineLevel="1" x14ac:dyDescent="0.2">
      <c r="A130" s="138"/>
      <c r="B130" s="138"/>
      <c r="C130" s="738" t="s">
        <v>635</v>
      </c>
      <c r="D130" s="739"/>
      <c r="E130" s="26"/>
      <c r="F130" s="135"/>
      <c r="G130" s="135"/>
      <c r="H130" s="138"/>
      <c r="I130" s="138"/>
      <c r="J130" s="135"/>
      <c r="K130" s="134"/>
      <c r="P130" s="94"/>
      <c r="Q130" s="138"/>
      <c r="R130" s="138"/>
      <c r="S130" s="138"/>
      <c r="T130" s="138"/>
      <c r="U130" s="138"/>
      <c r="V130" s="138"/>
      <c r="W130" s="138"/>
    </row>
    <row r="131" spans="1:23" hidden="1" outlineLevel="1" x14ac:dyDescent="0.2">
      <c r="A131" s="138"/>
      <c r="B131" s="138"/>
      <c r="C131" s="738" t="s">
        <v>636</v>
      </c>
      <c r="D131" s="739"/>
      <c r="E131" s="26"/>
      <c r="F131" s="135"/>
      <c r="G131" s="135"/>
      <c r="H131" s="135"/>
      <c r="I131" s="135"/>
      <c r="J131" s="135"/>
      <c r="K131" s="135"/>
      <c r="P131" s="94"/>
      <c r="Q131" s="138"/>
      <c r="R131" s="138"/>
      <c r="S131" s="138"/>
      <c r="T131" s="138"/>
      <c r="U131" s="138"/>
      <c r="V131" s="138"/>
      <c r="W131" s="138"/>
    </row>
    <row r="132" spans="1:23" hidden="1" outlineLevel="1" x14ac:dyDescent="0.2">
      <c r="A132" s="138"/>
      <c r="B132" s="138"/>
      <c r="C132" s="738" t="s">
        <v>977</v>
      </c>
      <c r="D132" s="739"/>
      <c r="E132" s="44" t="str">
        <f>IF(AND(E130&lt;&gt;"",E131&lt;&gt;""),E130 &amp; " " &amp; E131,IF(E131&lt;&gt;"",E131,""))</f>
        <v/>
      </c>
      <c r="F132" s="135"/>
      <c r="G132" s="135"/>
      <c r="H132" s="135"/>
      <c r="I132" s="135"/>
      <c r="J132" s="135"/>
      <c r="K132" s="135"/>
      <c r="L132" s="135"/>
      <c r="M132" s="135"/>
      <c r="N132" s="134"/>
      <c r="O132" s="94"/>
      <c r="P132" s="94"/>
      <c r="Q132" s="138"/>
      <c r="R132" s="138"/>
      <c r="S132" s="138"/>
      <c r="T132" s="138"/>
      <c r="U132" s="138"/>
      <c r="V132" s="138"/>
      <c r="W132" s="138"/>
    </row>
    <row r="133" spans="1:23" hidden="1" outlineLevel="1" x14ac:dyDescent="0.2">
      <c r="A133" s="138"/>
      <c r="B133" s="138"/>
      <c r="C133" s="738" t="s">
        <v>637</v>
      </c>
      <c r="D133" s="739"/>
      <c r="E133" s="26"/>
      <c r="F133" s="135"/>
      <c r="G133" s="135"/>
      <c r="H133" s="135"/>
      <c r="I133" s="135"/>
      <c r="J133" s="135"/>
      <c r="K133" s="135"/>
      <c r="L133" s="135"/>
      <c r="M133" s="135"/>
      <c r="N133" s="134"/>
      <c r="O133" s="94"/>
      <c r="P133" s="94"/>
      <c r="Q133" s="138"/>
      <c r="R133" s="138"/>
      <c r="S133" s="138"/>
      <c r="T133" s="138"/>
      <c r="U133" s="138"/>
      <c r="V133" s="138"/>
      <c r="W133" s="138"/>
    </row>
    <row r="134" spans="1:23" hidden="1" outlineLevel="1" x14ac:dyDescent="0.2">
      <c r="A134" s="138"/>
      <c r="B134" s="138"/>
      <c r="C134" s="738" t="s">
        <v>638</v>
      </c>
      <c r="D134" s="739"/>
      <c r="E134" s="26"/>
      <c r="F134" s="135"/>
      <c r="G134" s="135"/>
      <c r="H134" s="135"/>
      <c r="I134" s="135"/>
      <c r="J134" s="135"/>
      <c r="K134" s="135"/>
      <c r="L134" s="135"/>
      <c r="M134" s="135"/>
      <c r="N134" s="134"/>
      <c r="O134" s="94"/>
      <c r="P134" s="94"/>
      <c r="Q134" s="138"/>
      <c r="R134" s="138"/>
      <c r="S134" s="138"/>
      <c r="T134" s="138"/>
      <c r="U134" s="138"/>
      <c r="V134" s="138"/>
      <c r="W134" s="138"/>
    </row>
    <row r="135" spans="1:23" hidden="1" outlineLevel="1" x14ac:dyDescent="0.2">
      <c r="A135" s="138"/>
      <c r="B135" s="138"/>
      <c r="C135" s="738" t="s">
        <v>639</v>
      </c>
      <c r="D135" s="739"/>
      <c r="E135" s="26"/>
      <c r="F135" s="135"/>
      <c r="G135" s="135"/>
      <c r="H135" s="135"/>
      <c r="I135" s="135"/>
      <c r="J135" s="135"/>
      <c r="K135" s="135"/>
      <c r="L135" s="135"/>
      <c r="M135" s="135"/>
      <c r="N135" s="134"/>
      <c r="O135" s="94"/>
      <c r="P135" s="94"/>
      <c r="Q135" s="138"/>
      <c r="R135" s="138"/>
      <c r="S135" s="138"/>
      <c r="T135" s="138"/>
      <c r="U135" s="138"/>
      <c r="V135" s="138"/>
      <c r="W135" s="138"/>
    </row>
    <row r="136" spans="1:23" hidden="1" outlineLevel="1" x14ac:dyDescent="0.2">
      <c r="A136" s="138"/>
      <c r="B136" s="138"/>
      <c r="C136" s="738" t="s">
        <v>640</v>
      </c>
      <c r="D136" s="739"/>
      <c r="E136" s="26"/>
      <c r="F136" s="135"/>
      <c r="G136" s="135"/>
      <c r="H136" s="135"/>
      <c r="I136" s="135"/>
      <c r="J136" s="135"/>
      <c r="K136" s="135"/>
      <c r="L136" s="135"/>
      <c r="M136" s="135"/>
      <c r="N136" s="134"/>
      <c r="O136" s="94"/>
      <c r="P136" s="94"/>
      <c r="Q136" s="138"/>
      <c r="R136" s="138"/>
      <c r="S136" s="138"/>
      <c r="T136" s="138"/>
      <c r="U136" s="138"/>
      <c r="V136" s="138"/>
      <c r="W136" s="138"/>
    </row>
    <row r="137" spans="1:23" hidden="1" outlineLevel="1" x14ac:dyDescent="0.2">
      <c r="A137" s="138"/>
      <c r="B137" s="138"/>
      <c r="C137" s="138"/>
      <c r="D137" s="138"/>
      <c r="E137" s="138"/>
      <c r="F137" s="135"/>
      <c r="G137" s="135"/>
      <c r="H137" s="135"/>
      <c r="I137" s="135"/>
      <c r="J137" s="135"/>
      <c r="K137" s="135"/>
      <c r="L137" s="135"/>
      <c r="M137" s="135"/>
      <c r="N137" s="134"/>
      <c r="O137" s="94"/>
      <c r="P137" s="94"/>
      <c r="Q137" s="138"/>
      <c r="R137" s="138"/>
      <c r="S137" s="138"/>
      <c r="T137" s="138"/>
      <c r="U137" s="138"/>
      <c r="V137" s="138"/>
      <c r="W137" s="138"/>
    </row>
    <row r="138" spans="1:23" hidden="1" outlineLevel="1" x14ac:dyDescent="0.2">
      <c r="A138" s="138"/>
      <c r="B138" s="138"/>
      <c r="C138" s="135"/>
      <c r="D138" s="135"/>
      <c r="E138" s="135"/>
      <c r="F138" s="128"/>
      <c r="G138" s="128"/>
      <c r="H138" s="134"/>
      <c r="I138" s="134"/>
      <c r="J138" s="135"/>
      <c r="K138" s="134"/>
      <c r="L138" s="134"/>
      <c r="M138" s="134"/>
      <c r="N138" s="134"/>
      <c r="O138" s="94"/>
      <c r="P138" s="94"/>
      <c r="Q138" s="138"/>
      <c r="R138" s="138"/>
      <c r="S138" s="138"/>
      <c r="T138" s="138"/>
      <c r="U138" s="138"/>
      <c r="V138" s="138"/>
      <c r="W138" s="138"/>
    </row>
    <row r="139" spans="1:23" ht="15.75" collapsed="1" x14ac:dyDescent="0.2">
      <c r="A139" s="138"/>
      <c r="B139" s="330">
        <v>6</v>
      </c>
      <c r="C139" s="743" t="str">
        <f xml:space="preserve"> IF(B139&lt;=$I$61,"Restriction " &amp; B139 &amp; " of " &amp; $I$61,MsgNotUsed)</f>
        <v>** NOT USED **</v>
      </c>
      <c r="D139" s="744"/>
      <c r="E139" s="745"/>
      <c r="F139" s="128"/>
      <c r="G139" s="128"/>
      <c r="H139" s="134"/>
      <c r="I139" s="134"/>
      <c r="J139" s="135"/>
      <c r="K139" s="134"/>
      <c r="L139" s="135"/>
      <c r="M139" s="135"/>
      <c r="N139" s="134"/>
      <c r="O139" s="94"/>
      <c r="P139" s="94"/>
      <c r="Q139" s="138"/>
      <c r="R139" s="138"/>
      <c r="S139" s="138"/>
      <c r="T139" s="138"/>
      <c r="U139" s="138"/>
      <c r="V139" s="138"/>
      <c r="W139" s="138"/>
    </row>
    <row r="140" spans="1:23" hidden="1" outlineLevel="1" x14ac:dyDescent="0.2">
      <c r="A140" s="138"/>
      <c r="B140" s="138"/>
      <c r="C140" s="372" t="s">
        <v>631</v>
      </c>
      <c r="D140" s="378"/>
      <c r="E140" s="43" t="str">
        <f>IF(D140&lt;&gt;"",VLOOKUP(D140,ProgrammeCode,2,FALSE),"")</f>
        <v/>
      </c>
      <c r="F140" s="103">
        <f>IF(D140&lt;&gt;"",VLOOKUP(D140,ProgrammeCode,3),0)</f>
        <v>0</v>
      </c>
      <c r="G140" s="111"/>
      <c r="H140" s="127" t="s">
        <v>632</v>
      </c>
      <c r="I140" s="378"/>
      <c r="J140" s="135" t="str">
        <f>IF(I140="New","N","")</f>
        <v/>
      </c>
      <c r="K140" s="134"/>
      <c r="L140" s="546" t="s">
        <v>778</v>
      </c>
      <c r="Q140" s="138"/>
      <c r="R140" s="138"/>
      <c r="S140" s="138"/>
      <c r="T140" s="138"/>
      <c r="U140" s="138"/>
      <c r="V140" s="138"/>
      <c r="W140" s="138"/>
    </row>
    <row r="141" spans="1:23" hidden="1" outlineLevel="1" x14ac:dyDescent="0.2">
      <c r="A141" s="138"/>
      <c r="B141" s="138"/>
      <c r="C141" s="134"/>
      <c r="D141" s="134"/>
      <c r="E141" s="134"/>
      <c r="F141" s="134"/>
      <c r="G141" s="134"/>
      <c r="H141" s="131" t="s">
        <v>759</v>
      </c>
      <c r="I141" s="27"/>
      <c r="J141" s="135"/>
      <c r="K141" s="134"/>
      <c r="L141" s="724"/>
      <c r="M141" s="575"/>
      <c r="N141" s="725">
        <f>IF(L141&lt;&gt;"",VLOOKUP(L141,AuthorityCode,2,FALSE),0)</f>
        <v>0</v>
      </c>
      <c r="Q141" s="138"/>
      <c r="R141" s="138"/>
      <c r="S141" s="138"/>
      <c r="T141" s="138"/>
      <c r="U141" s="138"/>
      <c r="V141" s="138"/>
      <c r="W141" s="138"/>
    </row>
    <row r="142" spans="1:23" hidden="1" outlineLevel="1" x14ac:dyDescent="0.2">
      <c r="A142" s="138"/>
      <c r="B142" s="138"/>
      <c r="C142" s="373" t="s">
        <v>57</v>
      </c>
      <c r="D142" s="313"/>
      <c r="E142" s="24"/>
      <c r="F142" s="103" t="str">
        <f>IF(E142&lt;&gt;"",VLOOKUP(E142,TPShortCode,3,FALSE),"")</f>
        <v/>
      </c>
      <c r="G142" s="136"/>
      <c r="H142" s="131" t="str">
        <f>VLOOKUP(F140,MaxQ,2,TRUE)</f>
        <v>Max quantity (units)</v>
      </c>
      <c r="I142" s="27"/>
      <c r="J142" s="135"/>
      <c r="K142" s="134"/>
      <c r="L142" s="724"/>
      <c r="M142" s="575"/>
      <c r="N142" s="575"/>
      <c r="Q142" s="138"/>
      <c r="R142" s="138"/>
      <c r="S142" s="138"/>
      <c r="T142" s="138"/>
      <c r="U142" s="138"/>
      <c r="V142" s="138"/>
      <c r="W142" s="138"/>
    </row>
    <row r="143" spans="1:23" hidden="1" outlineLevel="1" x14ac:dyDescent="0.2">
      <c r="A143" s="138"/>
      <c r="B143" s="138"/>
      <c r="C143" s="134"/>
      <c r="D143" s="134"/>
      <c r="E143" s="26"/>
      <c r="F143" s="134"/>
      <c r="G143" s="134"/>
      <c r="H143" s="131" t="s">
        <v>633</v>
      </c>
      <c r="I143" s="27"/>
      <c r="J143" s="135"/>
      <c r="K143" s="134"/>
      <c r="Q143" s="138"/>
      <c r="R143" s="138"/>
      <c r="S143" s="138"/>
      <c r="T143" s="138"/>
      <c r="U143" s="138"/>
      <c r="V143" s="138"/>
      <c r="W143" s="138"/>
    </row>
    <row r="144" spans="1:23" hidden="1" outlineLevel="1" x14ac:dyDescent="0.2">
      <c r="A144" s="138"/>
      <c r="B144" s="138"/>
      <c r="C144" s="738" t="s">
        <v>634</v>
      </c>
      <c r="D144" s="739"/>
      <c r="E144" s="26"/>
      <c r="F144" s="134"/>
      <c r="G144" s="134"/>
      <c r="H144" s="135"/>
      <c r="I144" s="135"/>
      <c r="J144" s="135"/>
      <c r="K144" s="134"/>
      <c r="Q144" s="138"/>
      <c r="R144" s="138"/>
      <c r="S144" s="138"/>
      <c r="T144" s="138"/>
      <c r="U144" s="138"/>
      <c r="V144" s="138"/>
      <c r="W144" s="138"/>
    </row>
    <row r="145" spans="1:23" hidden="1" outlineLevel="1" x14ac:dyDescent="0.2">
      <c r="A145" s="138"/>
      <c r="B145" s="138"/>
      <c r="C145" s="738" t="s">
        <v>635</v>
      </c>
      <c r="D145" s="739"/>
      <c r="E145" s="26"/>
      <c r="F145" s="135"/>
      <c r="G145" s="135"/>
      <c r="H145" s="135"/>
      <c r="I145" s="135"/>
      <c r="J145" s="135"/>
      <c r="K145" s="134"/>
      <c r="Q145" s="138"/>
      <c r="R145" s="138"/>
      <c r="S145" s="138"/>
      <c r="T145" s="138"/>
      <c r="U145" s="138"/>
      <c r="V145" s="138"/>
      <c r="W145" s="138"/>
    </row>
    <row r="146" spans="1:23" hidden="1" outlineLevel="1" x14ac:dyDescent="0.2">
      <c r="A146" s="138"/>
      <c r="B146" s="138"/>
      <c r="C146" s="738" t="s">
        <v>636</v>
      </c>
      <c r="D146" s="739"/>
      <c r="E146" s="26"/>
      <c r="F146" s="135"/>
      <c r="G146" s="135"/>
      <c r="H146" s="135"/>
      <c r="I146" s="135"/>
      <c r="J146" s="135"/>
      <c r="K146" s="135"/>
      <c r="Q146" s="138"/>
      <c r="R146" s="138"/>
      <c r="S146" s="138"/>
      <c r="T146" s="138"/>
      <c r="U146" s="138"/>
      <c r="V146" s="138"/>
      <c r="W146" s="138"/>
    </row>
    <row r="147" spans="1:23" hidden="1" outlineLevel="1" x14ac:dyDescent="0.2">
      <c r="A147" s="138"/>
      <c r="B147" s="138"/>
      <c r="C147" s="738" t="s">
        <v>977</v>
      </c>
      <c r="D147" s="739"/>
      <c r="E147" s="44" t="str">
        <f>IF(AND(E145&lt;&gt;"",E146&lt;&gt;""),E145 &amp; " " &amp; E146,IF(E146&lt;&gt;"",E146,""))</f>
        <v/>
      </c>
      <c r="F147" s="135"/>
      <c r="G147" s="135"/>
      <c r="H147" s="135"/>
      <c r="I147" s="135"/>
      <c r="J147" s="135"/>
      <c r="K147" s="135"/>
      <c r="L147" s="135"/>
      <c r="M147" s="135"/>
      <c r="N147" s="134"/>
      <c r="O147" s="94"/>
      <c r="P147" s="94"/>
      <c r="Q147" s="138"/>
      <c r="R147" s="138"/>
      <c r="S147" s="138"/>
      <c r="T147" s="138"/>
      <c r="U147" s="138"/>
      <c r="V147" s="138"/>
      <c r="W147" s="138"/>
    </row>
    <row r="148" spans="1:23" hidden="1" outlineLevel="1" x14ac:dyDescent="0.2">
      <c r="A148" s="138"/>
      <c r="B148" s="138"/>
      <c r="C148" s="738" t="s">
        <v>637</v>
      </c>
      <c r="D148" s="739"/>
      <c r="E148" s="26"/>
      <c r="F148" s="135"/>
      <c r="G148" s="135"/>
      <c r="H148" s="140"/>
      <c r="I148" s="140"/>
      <c r="J148" s="135"/>
      <c r="K148" s="135"/>
      <c r="L148" s="135"/>
      <c r="M148" s="135"/>
      <c r="N148" s="134"/>
      <c r="O148" s="94"/>
      <c r="P148" s="94"/>
      <c r="Q148" s="138"/>
      <c r="R148" s="138"/>
      <c r="S148" s="138"/>
      <c r="T148" s="138"/>
      <c r="U148" s="138"/>
      <c r="V148" s="138"/>
      <c r="W148" s="138"/>
    </row>
    <row r="149" spans="1:23" hidden="1" outlineLevel="1" x14ac:dyDescent="0.2">
      <c r="A149" s="138"/>
      <c r="B149" s="138"/>
      <c r="C149" s="738" t="s">
        <v>638</v>
      </c>
      <c r="D149" s="739"/>
      <c r="E149" s="26"/>
      <c r="F149" s="135"/>
      <c r="G149" s="135"/>
      <c r="H149" s="140"/>
      <c r="I149" s="140"/>
      <c r="J149" s="135"/>
      <c r="K149" s="135"/>
      <c r="L149" s="135"/>
      <c r="M149" s="135"/>
      <c r="N149" s="134"/>
      <c r="O149" s="94"/>
      <c r="P149" s="94"/>
      <c r="Q149" s="138"/>
      <c r="R149" s="138"/>
      <c r="S149" s="138"/>
      <c r="T149" s="138"/>
      <c r="U149" s="138"/>
      <c r="V149" s="138"/>
      <c r="W149" s="138"/>
    </row>
    <row r="150" spans="1:23" hidden="1" outlineLevel="1" x14ac:dyDescent="0.2">
      <c r="A150" s="138"/>
      <c r="B150" s="138"/>
      <c r="C150" s="738" t="s">
        <v>639</v>
      </c>
      <c r="D150" s="739"/>
      <c r="E150" s="26"/>
      <c r="F150" s="135"/>
      <c r="G150" s="135"/>
      <c r="H150" s="135"/>
      <c r="I150" s="135"/>
      <c r="J150" s="135"/>
      <c r="K150" s="135"/>
      <c r="L150" s="135"/>
      <c r="M150" s="135"/>
      <c r="N150" s="134"/>
      <c r="O150" s="94"/>
      <c r="P150" s="94"/>
      <c r="Q150" s="138"/>
      <c r="R150" s="138"/>
      <c r="S150" s="138"/>
      <c r="T150" s="138"/>
      <c r="U150" s="138"/>
      <c r="V150" s="138"/>
      <c r="W150" s="138"/>
    </row>
    <row r="151" spans="1:23" hidden="1" outlineLevel="1" x14ac:dyDescent="0.2">
      <c r="A151" s="138"/>
      <c r="B151" s="138"/>
      <c r="C151" s="738" t="s">
        <v>640</v>
      </c>
      <c r="D151" s="739"/>
      <c r="E151" s="26"/>
      <c r="F151" s="135"/>
      <c r="G151" s="135"/>
      <c r="H151" s="135"/>
      <c r="I151" s="135"/>
      <c r="J151" s="135"/>
      <c r="K151" s="135"/>
      <c r="L151" s="135"/>
      <c r="M151" s="135"/>
      <c r="N151" s="134"/>
      <c r="O151" s="94"/>
      <c r="P151" s="94"/>
      <c r="Q151" s="138"/>
      <c r="R151" s="138"/>
      <c r="S151" s="138"/>
      <c r="T151" s="138"/>
      <c r="U151" s="138"/>
      <c r="V151" s="138"/>
      <c r="W151" s="138"/>
    </row>
    <row r="152" spans="1:23" hidden="1" outlineLevel="1" x14ac:dyDescent="0.2">
      <c r="A152" s="138"/>
      <c r="B152" s="138"/>
      <c r="C152" s="138"/>
      <c r="D152" s="138"/>
      <c r="E152" s="138"/>
      <c r="F152" s="135"/>
      <c r="G152" s="135"/>
      <c r="H152" s="135"/>
      <c r="I152" s="135"/>
      <c r="J152" s="135"/>
      <c r="K152" s="135"/>
      <c r="L152" s="135"/>
      <c r="M152" s="135"/>
      <c r="N152" s="134"/>
      <c r="O152" s="94"/>
      <c r="P152" s="94"/>
      <c r="Q152" s="138"/>
      <c r="R152" s="138"/>
      <c r="S152" s="138"/>
      <c r="T152" s="138"/>
      <c r="U152" s="138"/>
      <c r="V152" s="138"/>
      <c r="W152" s="138"/>
    </row>
    <row r="153" spans="1:23" hidden="1" outlineLevel="1" x14ac:dyDescent="0.2">
      <c r="A153" s="138"/>
      <c r="B153" s="138"/>
      <c r="C153" s="135"/>
      <c r="D153" s="135"/>
      <c r="E153" s="135"/>
      <c r="F153" s="128"/>
      <c r="G153" s="128"/>
      <c r="H153" s="134"/>
      <c r="I153" s="134"/>
      <c r="J153" s="135"/>
      <c r="K153" s="134"/>
      <c r="L153" s="134"/>
      <c r="M153" s="134"/>
      <c r="N153" s="134"/>
      <c r="O153" s="94"/>
      <c r="P153" s="94"/>
      <c r="Q153" s="138"/>
      <c r="R153" s="138"/>
      <c r="S153" s="138"/>
      <c r="T153" s="138"/>
      <c r="U153" s="138"/>
      <c r="V153" s="138"/>
      <c r="W153" s="138"/>
    </row>
    <row r="154" spans="1:23" ht="15.75" collapsed="1" x14ac:dyDescent="0.2">
      <c r="A154" s="138"/>
      <c r="B154" s="330">
        <v>7</v>
      </c>
      <c r="C154" s="743" t="str">
        <f xml:space="preserve"> IF(B154&lt;=$I$61,"Restriction " &amp; B154 &amp; " of " &amp; $I$61,MsgNotUsed)</f>
        <v>** NOT USED **</v>
      </c>
      <c r="D154" s="744"/>
      <c r="E154" s="745"/>
      <c r="F154" s="128"/>
      <c r="G154" s="128"/>
      <c r="H154" s="134"/>
      <c r="I154" s="134"/>
      <c r="J154" s="135"/>
      <c r="K154" s="134"/>
      <c r="L154" s="135"/>
      <c r="M154" s="135"/>
      <c r="N154" s="134"/>
      <c r="O154" s="94"/>
      <c r="P154" s="94"/>
      <c r="Q154" s="138"/>
      <c r="R154" s="138"/>
      <c r="S154" s="138"/>
      <c r="T154" s="138"/>
      <c r="U154" s="138"/>
      <c r="V154" s="138"/>
      <c r="W154" s="138"/>
    </row>
    <row r="155" spans="1:23" hidden="1" outlineLevel="1" x14ac:dyDescent="0.2">
      <c r="A155" s="138"/>
      <c r="B155" s="138"/>
      <c r="C155" s="372" t="s">
        <v>631</v>
      </c>
      <c r="D155" s="378"/>
      <c r="E155" s="43" t="str">
        <f>IF(D155&lt;&gt;"",VLOOKUP(D155,ProgrammeCode,2,FALSE),"")</f>
        <v/>
      </c>
      <c r="F155" s="103">
        <f>IF(D155&lt;&gt;"",VLOOKUP(D155,ProgrammeCode,3),0)</f>
        <v>0</v>
      </c>
      <c r="G155" s="111"/>
      <c r="H155" s="127" t="s">
        <v>632</v>
      </c>
      <c r="I155" s="378"/>
      <c r="J155" s="135" t="str">
        <f>IF(I155="New","N","")</f>
        <v/>
      </c>
      <c r="K155" s="134"/>
      <c r="L155" s="546" t="s">
        <v>778</v>
      </c>
      <c r="P155" s="94"/>
      <c r="Q155" s="138"/>
      <c r="R155" s="138"/>
      <c r="S155" s="138"/>
      <c r="T155" s="138"/>
      <c r="U155" s="138"/>
      <c r="V155" s="138"/>
      <c r="W155" s="138"/>
    </row>
    <row r="156" spans="1:23" hidden="1" outlineLevel="1" x14ac:dyDescent="0.2">
      <c r="A156" s="138"/>
      <c r="B156" s="138"/>
      <c r="C156" s="134"/>
      <c r="D156" s="134"/>
      <c r="E156" s="134"/>
      <c r="F156" s="134"/>
      <c r="G156" s="134"/>
      <c r="H156" s="131" t="s">
        <v>759</v>
      </c>
      <c r="I156" s="27"/>
      <c r="J156" s="135"/>
      <c r="K156" s="134"/>
      <c r="L156" s="724"/>
      <c r="M156" s="575"/>
      <c r="N156" s="725">
        <f>IF(L156&lt;&gt;"",VLOOKUP(L156,AuthorityCode,2,FALSE),0)</f>
        <v>0</v>
      </c>
      <c r="P156" s="94"/>
      <c r="Q156" s="138"/>
      <c r="R156" s="138"/>
      <c r="S156" s="138"/>
      <c r="T156" s="138"/>
      <c r="U156" s="138"/>
      <c r="V156" s="138"/>
      <c r="W156" s="138"/>
    </row>
    <row r="157" spans="1:23" hidden="1" outlineLevel="1" x14ac:dyDescent="0.2">
      <c r="A157" s="138"/>
      <c r="B157" s="138"/>
      <c r="C157" s="373" t="s">
        <v>57</v>
      </c>
      <c r="D157" s="313"/>
      <c r="E157" s="24"/>
      <c r="F157" s="103" t="str">
        <f>IF(E157&lt;&gt;"",VLOOKUP(E157,TPShortCode,3,FALSE),"")</f>
        <v/>
      </c>
      <c r="G157" s="136"/>
      <c r="H157" s="131" t="str">
        <f>VLOOKUP(F155,MaxQ,2,TRUE)</f>
        <v>Max quantity (units)</v>
      </c>
      <c r="I157" s="27"/>
      <c r="J157" s="135"/>
      <c r="K157" s="134"/>
      <c r="L157" s="724"/>
      <c r="M157" s="575"/>
      <c r="N157" s="575"/>
      <c r="P157" s="94"/>
      <c r="Q157" s="138"/>
      <c r="R157" s="138"/>
      <c r="S157" s="138"/>
      <c r="T157" s="138"/>
      <c r="U157" s="138"/>
      <c r="V157" s="138"/>
      <c r="W157" s="138"/>
    </row>
    <row r="158" spans="1:23" hidden="1" outlineLevel="1" x14ac:dyDescent="0.2">
      <c r="A158" s="138"/>
      <c r="B158" s="138"/>
      <c r="C158" s="134"/>
      <c r="D158" s="134"/>
      <c r="E158" s="26"/>
      <c r="F158" s="134"/>
      <c r="G158" s="134"/>
      <c r="H158" s="131" t="s">
        <v>633</v>
      </c>
      <c r="I158" s="27"/>
      <c r="J158" s="135"/>
      <c r="K158" s="134"/>
      <c r="P158" s="94"/>
      <c r="Q158" s="138"/>
      <c r="R158" s="138"/>
      <c r="S158" s="138"/>
      <c r="T158" s="138"/>
      <c r="U158" s="138"/>
      <c r="V158" s="138"/>
      <c r="W158" s="138"/>
    </row>
    <row r="159" spans="1:23" hidden="1" outlineLevel="1" x14ac:dyDescent="0.2">
      <c r="A159" s="138"/>
      <c r="B159" s="138"/>
      <c r="C159" s="738" t="s">
        <v>634</v>
      </c>
      <c r="D159" s="739"/>
      <c r="E159" s="26"/>
      <c r="F159" s="134"/>
      <c r="G159" s="134"/>
      <c r="H159" s="135"/>
      <c r="I159" s="135"/>
      <c r="J159" s="135"/>
      <c r="K159" s="134"/>
      <c r="P159" s="494"/>
      <c r="Q159" s="138"/>
      <c r="R159" s="138"/>
      <c r="S159" s="138"/>
      <c r="T159" s="138"/>
      <c r="U159" s="138"/>
      <c r="V159" s="138"/>
      <c r="W159" s="138"/>
    </row>
    <row r="160" spans="1:23" hidden="1" outlineLevel="1" x14ac:dyDescent="0.2">
      <c r="A160" s="138"/>
      <c r="B160" s="138"/>
      <c r="C160" s="738" t="s">
        <v>635</v>
      </c>
      <c r="D160" s="739"/>
      <c r="E160" s="26"/>
      <c r="F160" s="135"/>
      <c r="G160" s="135"/>
      <c r="H160" s="135"/>
      <c r="I160" s="135"/>
      <c r="J160" s="135"/>
      <c r="K160" s="134"/>
      <c r="P160" s="94"/>
      <c r="Q160" s="138"/>
      <c r="R160" s="138"/>
      <c r="S160" s="138"/>
      <c r="T160" s="138"/>
      <c r="U160" s="138"/>
      <c r="V160" s="138"/>
      <c r="W160" s="138"/>
    </row>
    <row r="161" spans="1:23" hidden="1" outlineLevel="1" x14ac:dyDescent="0.2">
      <c r="A161" s="138"/>
      <c r="B161" s="138"/>
      <c r="C161" s="738" t="s">
        <v>636</v>
      </c>
      <c r="D161" s="739"/>
      <c r="E161" s="26"/>
      <c r="F161" s="135"/>
      <c r="G161" s="135"/>
      <c r="H161" s="135"/>
      <c r="I161" s="135"/>
      <c r="J161" s="135"/>
      <c r="K161" s="135"/>
      <c r="P161" s="94"/>
      <c r="Q161" s="138"/>
      <c r="R161" s="138"/>
      <c r="S161" s="138"/>
      <c r="T161" s="138"/>
      <c r="U161" s="138"/>
      <c r="V161" s="138"/>
      <c r="W161" s="138"/>
    </row>
    <row r="162" spans="1:23" hidden="1" outlineLevel="1" x14ac:dyDescent="0.2">
      <c r="A162" s="138"/>
      <c r="B162" s="138"/>
      <c r="C162" s="738" t="s">
        <v>977</v>
      </c>
      <c r="D162" s="739"/>
      <c r="E162" s="44" t="str">
        <f>IF(AND(E160&lt;&gt;"",E161&lt;&gt;""),E160 &amp; " " &amp; E161,IF(E161&lt;&gt;"",E161,""))</f>
        <v/>
      </c>
      <c r="F162" s="135"/>
      <c r="G162" s="135"/>
      <c r="H162" s="135"/>
      <c r="I162" s="135"/>
      <c r="J162" s="135"/>
      <c r="K162" s="135"/>
      <c r="L162" s="135"/>
      <c r="M162" s="135"/>
      <c r="N162" s="134"/>
      <c r="O162" s="94"/>
      <c r="P162" s="94"/>
      <c r="Q162" s="138"/>
      <c r="R162" s="138"/>
      <c r="S162" s="138"/>
      <c r="T162" s="138"/>
      <c r="U162" s="138"/>
      <c r="V162" s="138"/>
      <c r="W162" s="138"/>
    </row>
    <row r="163" spans="1:23" hidden="1" outlineLevel="1" x14ac:dyDescent="0.2">
      <c r="A163" s="138"/>
      <c r="B163" s="138"/>
      <c r="C163" s="738" t="s">
        <v>637</v>
      </c>
      <c r="D163" s="739"/>
      <c r="E163" s="26"/>
      <c r="F163" s="135"/>
      <c r="G163" s="135"/>
      <c r="H163" s="135"/>
      <c r="I163" s="135"/>
      <c r="J163" s="135"/>
      <c r="K163" s="135"/>
      <c r="L163" s="135"/>
      <c r="M163" s="135"/>
      <c r="N163" s="134"/>
      <c r="O163" s="94"/>
      <c r="P163" s="94"/>
      <c r="Q163" s="138"/>
      <c r="R163" s="138"/>
      <c r="S163" s="138"/>
      <c r="T163" s="138"/>
      <c r="U163" s="138"/>
      <c r="V163" s="138"/>
      <c r="W163" s="138"/>
    </row>
    <row r="164" spans="1:23" hidden="1" outlineLevel="1" x14ac:dyDescent="0.2">
      <c r="A164" s="138"/>
      <c r="B164" s="138"/>
      <c r="C164" s="738" t="s">
        <v>638</v>
      </c>
      <c r="D164" s="739"/>
      <c r="E164" s="26"/>
      <c r="F164" s="135"/>
      <c r="G164" s="135"/>
      <c r="H164" s="135"/>
      <c r="I164" s="135"/>
      <c r="J164" s="135"/>
      <c r="K164" s="135"/>
      <c r="L164" s="135"/>
      <c r="M164" s="135"/>
      <c r="N164" s="134"/>
      <c r="O164" s="94"/>
      <c r="P164" s="94"/>
      <c r="Q164" s="138"/>
      <c r="R164" s="138"/>
      <c r="S164" s="138"/>
      <c r="T164" s="138"/>
      <c r="U164" s="138"/>
      <c r="V164" s="138"/>
      <c r="W164" s="138"/>
    </row>
    <row r="165" spans="1:23" hidden="1" outlineLevel="1" x14ac:dyDescent="0.2">
      <c r="A165" s="138"/>
      <c r="B165" s="138"/>
      <c r="C165" s="738" t="s">
        <v>639</v>
      </c>
      <c r="D165" s="739"/>
      <c r="E165" s="26"/>
      <c r="F165" s="135"/>
      <c r="G165" s="135"/>
      <c r="H165" s="135"/>
      <c r="I165" s="135"/>
      <c r="J165" s="135"/>
      <c r="K165" s="135"/>
      <c r="L165" s="135"/>
      <c r="M165" s="135"/>
      <c r="N165" s="134"/>
      <c r="O165" s="94"/>
      <c r="P165" s="94"/>
      <c r="Q165" s="138"/>
      <c r="R165" s="138"/>
      <c r="S165" s="138"/>
      <c r="T165" s="138"/>
      <c r="U165" s="138"/>
      <c r="V165" s="138"/>
      <c r="W165" s="138"/>
    </row>
    <row r="166" spans="1:23" hidden="1" outlineLevel="1" x14ac:dyDescent="0.2">
      <c r="A166" s="138"/>
      <c r="B166" s="138"/>
      <c r="C166" s="738" t="s">
        <v>640</v>
      </c>
      <c r="D166" s="739"/>
      <c r="E166" s="26"/>
      <c r="F166" s="135"/>
      <c r="G166" s="135"/>
      <c r="H166" s="135"/>
      <c r="I166" s="135"/>
      <c r="J166" s="135"/>
      <c r="K166" s="135"/>
      <c r="L166" s="135"/>
      <c r="M166" s="135"/>
      <c r="N166" s="134"/>
      <c r="O166" s="94"/>
      <c r="P166" s="94"/>
      <c r="Q166" s="138"/>
      <c r="R166" s="138"/>
      <c r="S166" s="138"/>
      <c r="T166" s="138"/>
      <c r="U166" s="138"/>
      <c r="V166" s="138"/>
      <c r="W166" s="138"/>
    </row>
    <row r="167" spans="1:23" hidden="1" outlineLevel="1" x14ac:dyDescent="0.2">
      <c r="A167" s="138"/>
      <c r="B167" s="138"/>
      <c r="C167" s="137"/>
      <c r="D167" s="137"/>
      <c r="E167" s="136"/>
      <c r="F167" s="135"/>
      <c r="G167" s="135"/>
      <c r="H167" s="135"/>
      <c r="I167" s="135"/>
      <c r="J167" s="135"/>
      <c r="K167" s="135"/>
      <c r="L167" s="135"/>
      <c r="M167" s="135"/>
      <c r="N167" s="134"/>
      <c r="O167" s="94"/>
      <c r="P167" s="94"/>
      <c r="Q167" s="138"/>
      <c r="R167" s="138"/>
      <c r="S167" s="138"/>
      <c r="T167" s="138"/>
      <c r="U167" s="138"/>
      <c r="V167" s="138"/>
      <c r="W167" s="138"/>
    </row>
    <row r="168" spans="1:23" hidden="1" outlineLevel="1" x14ac:dyDescent="0.2">
      <c r="A168" s="138"/>
      <c r="B168" s="138"/>
      <c r="C168" s="134"/>
      <c r="D168" s="134"/>
      <c r="E168" s="134"/>
      <c r="F168" s="128"/>
      <c r="G168" s="128"/>
      <c r="H168" s="134"/>
      <c r="I168" s="134"/>
      <c r="J168" s="135"/>
      <c r="K168" s="134"/>
      <c r="L168" s="134"/>
      <c r="M168" s="134"/>
      <c r="N168" s="134"/>
      <c r="O168" s="94"/>
      <c r="P168" s="94"/>
      <c r="Q168" s="138"/>
      <c r="R168" s="138"/>
      <c r="S168" s="138"/>
      <c r="T168" s="138"/>
      <c r="U168" s="138"/>
      <c r="V168" s="138"/>
      <c r="W168" s="138"/>
    </row>
    <row r="169" spans="1:23" ht="15.75" collapsed="1" x14ac:dyDescent="0.2">
      <c r="A169" s="138"/>
      <c r="B169" s="330">
        <v>8</v>
      </c>
      <c r="C169" s="743" t="str">
        <f xml:space="preserve"> IF(B169&lt;=$I$61,"Restriction " &amp; B169 &amp; " of " &amp; $I$61,MsgNotUsed)</f>
        <v>** NOT USED **</v>
      </c>
      <c r="D169" s="744"/>
      <c r="E169" s="745"/>
      <c r="F169" s="128"/>
      <c r="G169" s="128"/>
      <c r="H169" s="134"/>
      <c r="I169" s="134"/>
      <c r="J169" s="135"/>
      <c r="K169" s="134"/>
      <c r="L169" s="135"/>
      <c r="M169" s="135"/>
      <c r="N169" s="134"/>
      <c r="O169" s="94"/>
      <c r="P169" s="94"/>
      <c r="Q169" s="138"/>
      <c r="R169" s="138"/>
      <c r="S169" s="138"/>
      <c r="T169" s="138"/>
      <c r="U169" s="138"/>
      <c r="V169" s="138"/>
      <c r="W169" s="138"/>
    </row>
    <row r="170" spans="1:23" hidden="1" outlineLevel="1" x14ac:dyDescent="0.2">
      <c r="A170" s="138"/>
      <c r="B170" s="138"/>
      <c r="C170" s="372" t="s">
        <v>631</v>
      </c>
      <c r="D170" s="378"/>
      <c r="E170" s="43" t="str">
        <f>IF(D170&lt;&gt;"",VLOOKUP(D170,ProgrammeCode,2,FALSE),"")</f>
        <v/>
      </c>
      <c r="F170" s="103">
        <f>IF(D170&lt;&gt;"",VLOOKUP(D170,ProgrammeCode,3),0)</f>
        <v>0</v>
      </c>
      <c r="G170" s="111"/>
      <c r="H170" s="127" t="s">
        <v>632</v>
      </c>
      <c r="I170" s="378"/>
      <c r="J170" s="135" t="str">
        <f>IF(I170="New","N","")</f>
        <v/>
      </c>
      <c r="K170" s="134"/>
      <c r="L170" s="546" t="s">
        <v>778</v>
      </c>
      <c r="P170" s="94"/>
      <c r="Q170" s="138"/>
      <c r="R170" s="138"/>
      <c r="S170" s="138"/>
      <c r="T170" s="138"/>
      <c r="U170" s="138"/>
      <c r="V170" s="138"/>
      <c r="W170" s="138"/>
    </row>
    <row r="171" spans="1:23" hidden="1" outlineLevel="1" x14ac:dyDescent="0.2">
      <c r="A171" s="138"/>
      <c r="B171" s="138"/>
      <c r="C171" s="134"/>
      <c r="D171" s="134"/>
      <c r="E171" s="134"/>
      <c r="F171" s="134"/>
      <c r="G171" s="134"/>
      <c r="H171" s="131" t="s">
        <v>759</v>
      </c>
      <c r="I171" s="27"/>
      <c r="J171" s="135"/>
      <c r="K171" s="134"/>
      <c r="L171" s="724"/>
      <c r="M171" s="575"/>
      <c r="N171" s="725">
        <f>IF(L171&lt;&gt;"",VLOOKUP(L171,AuthorityCode,2,FALSE),0)</f>
        <v>0</v>
      </c>
      <c r="P171" s="94"/>
      <c r="Q171" s="138"/>
      <c r="R171" s="138"/>
      <c r="S171" s="138"/>
      <c r="T171" s="138"/>
      <c r="U171" s="138"/>
      <c r="V171" s="138"/>
      <c r="W171" s="138"/>
    </row>
    <row r="172" spans="1:23" hidden="1" outlineLevel="1" x14ac:dyDescent="0.2">
      <c r="A172" s="138"/>
      <c r="B172" s="138"/>
      <c r="C172" s="373" t="s">
        <v>57</v>
      </c>
      <c r="D172" s="313"/>
      <c r="E172" s="24"/>
      <c r="F172" s="103" t="str">
        <f>IF(E172&lt;&gt;"",VLOOKUP(E172,TPShortCode,3,FALSE),"")</f>
        <v/>
      </c>
      <c r="G172" s="136"/>
      <c r="H172" s="131" t="str">
        <f>VLOOKUP(F170,MaxQ,2,TRUE)</f>
        <v>Max quantity (units)</v>
      </c>
      <c r="I172" s="27"/>
      <c r="J172" s="135"/>
      <c r="K172" s="134"/>
      <c r="L172" s="724"/>
      <c r="M172" s="575"/>
      <c r="N172" s="575"/>
      <c r="P172" s="94"/>
      <c r="Q172" s="138"/>
      <c r="R172" s="138"/>
      <c r="S172" s="138"/>
      <c r="T172" s="138"/>
      <c r="U172" s="138"/>
      <c r="V172" s="138"/>
      <c r="W172" s="138"/>
    </row>
    <row r="173" spans="1:23" hidden="1" outlineLevel="1" x14ac:dyDescent="0.2">
      <c r="A173" s="138"/>
      <c r="B173" s="138"/>
      <c r="C173" s="134"/>
      <c r="D173" s="134"/>
      <c r="E173" s="26"/>
      <c r="F173" s="134"/>
      <c r="G173" s="134"/>
      <c r="H173" s="131" t="s">
        <v>633</v>
      </c>
      <c r="I173" s="27"/>
      <c r="J173" s="135"/>
      <c r="K173" s="134"/>
      <c r="P173" s="94"/>
      <c r="Q173" s="138"/>
      <c r="R173" s="138"/>
      <c r="S173" s="138"/>
      <c r="T173" s="138"/>
      <c r="U173" s="138"/>
      <c r="V173" s="138"/>
      <c r="W173" s="138"/>
    </row>
    <row r="174" spans="1:23" hidden="1" outlineLevel="1" x14ac:dyDescent="0.2">
      <c r="A174" s="138"/>
      <c r="B174" s="138"/>
      <c r="C174" s="738" t="s">
        <v>634</v>
      </c>
      <c r="D174" s="739"/>
      <c r="E174" s="26"/>
      <c r="F174" s="134"/>
      <c r="G174" s="134"/>
      <c r="H174" s="135"/>
      <c r="I174" s="135"/>
      <c r="J174" s="135"/>
      <c r="K174" s="134"/>
      <c r="P174" s="494"/>
      <c r="Q174" s="138"/>
      <c r="R174" s="138"/>
      <c r="S174" s="138"/>
      <c r="T174" s="138"/>
      <c r="U174" s="138"/>
      <c r="V174" s="138"/>
      <c r="W174" s="138"/>
    </row>
    <row r="175" spans="1:23" hidden="1" outlineLevel="1" x14ac:dyDescent="0.2">
      <c r="A175" s="138"/>
      <c r="B175" s="138"/>
      <c r="C175" s="738" t="s">
        <v>635</v>
      </c>
      <c r="D175" s="739"/>
      <c r="E175" s="26"/>
      <c r="F175" s="135"/>
      <c r="G175" s="135"/>
      <c r="H175" s="135"/>
      <c r="I175" s="135"/>
      <c r="J175" s="135"/>
      <c r="K175" s="134"/>
      <c r="P175" s="94"/>
      <c r="Q175" s="138"/>
      <c r="R175" s="138"/>
      <c r="S175" s="138"/>
      <c r="T175" s="138"/>
      <c r="U175" s="138"/>
      <c r="V175" s="138"/>
      <c r="W175" s="138"/>
    </row>
    <row r="176" spans="1:23" hidden="1" outlineLevel="1" x14ac:dyDescent="0.2">
      <c r="A176" s="138"/>
      <c r="B176" s="138"/>
      <c r="C176" s="738" t="s">
        <v>636</v>
      </c>
      <c r="D176" s="739"/>
      <c r="E176" s="26"/>
      <c r="F176" s="135"/>
      <c r="G176" s="135"/>
      <c r="H176" s="135"/>
      <c r="I176" s="135"/>
      <c r="J176" s="135"/>
      <c r="K176" s="135"/>
      <c r="P176" s="94"/>
      <c r="Q176" s="138"/>
      <c r="R176" s="138"/>
      <c r="S176" s="138"/>
      <c r="T176" s="138"/>
      <c r="U176" s="138"/>
      <c r="V176" s="138"/>
      <c r="W176" s="138"/>
    </row>
    <row r="177" spans="1:23" hidden="1" outlineLevel="1" x14ac:dyDescent="0.2">
      <c r="A177" s="138"/>
      <c r="B177" s="138"/>
      <c r="C177" s="738" t="s">
        <v>977</v>
      </c>
      <c r="D177" s="739"/>
      <c r="E177" s="44" t="str">
        <f>IF(AND(E175&lt;&gt;"",E176&lt;&gt;""),E175 &amp; " " &amp; E176,IF(E176&lt;&gt;"",E176,""))</f>
        <v/>
      </c>
      <c r="F177" s="135"/>
      <c r="G177" s="135"/>
      <c r="H177" s="135"/>
      <c r="I177" s="135"/>
      <c r="J177" s="135"/>
      <c r="K177" s="135"/>
      <c r="L177" s="135"/>
      <c r="M177" s="135"/>
      <c r="N177" s="134"/>
      <c r="O177" s="94"/>
      <c r="P177" s="94"/>
      <c r="Q177" s="138"/>
      <c r="R177" s="138"/>
      <c r="S177" s="138"/>
      <c r="T177" s="138"/>
      <c r="U177" s="138"/>
      <c r="V177" s="138"/>
      <c r="W177" s="138"/>
    </row>
    <row r="178" spans="1:23" hidden="1" outlineLevel="1" x14ac:dyDescent="0.2">
      <c r="A178" s="138"/>
      <c r="B178" s="138"/>
      <c r="C178" s="738" t="s">
        <v>637</v>
      </c>
      <c r="D178" s="739"/>
      <c r="E178" s="26"/>
      <c r="F178" s="135"/>
      <c r="G178" s="135"/>
      <c r="H178" s="135"/>
      <c r="I178" s="135"/>
      <c r="J178" s="135"/>
      <c r="K178" s="135"/>
      <c r="L178" s="135"/>
      <c r="M178" s="135"/>
      <c r="N178" s="134"/>
      <c r="O178" s="94"/>
      <c r="P178" s="94"/>
      <c r="Q178" s="138"/>
      <c r="R178" s="138"/>
      <c r="S178" s="138"/>
      <c r="T178" s="138"/>
      <c r="U178" s="138"/>
      <c r="V178" s="138"/>
      <c r="W178" s="138"/>
    </row>
    <row r="179" spans="1:23" hidden="1" outlineLevel="1" x14ac:dyDescent="0.2">
      <c r="A179" s="138"/>
      <c r="B179" s="138"/>
      <c r="C179" s="738" t="s">
        <v>638</v>
      </c>
      <c r="D179" s="739"/>
      <c r="E179" s="26"/>
      <c r="F179" s="135"/>
      <c r="G179" s="135"/>
      <c r="H179" s="135"/>
      <c r="I179" s="135"/>
      <c r="J179" s="135"/>
      <c r="K179" s="135"/>
      <c r="L179" s="135"/>
      <c r="M179" s="135"/>
      <c r="N179" s="134"/>
      <c r="O179" s="94"/>
      <c r="P179" s="94"/>
      <c r="Q179" s="138"/>
      <c r="R179" s="138"/>
      <c r="S179" s="138"/>
      <c r="T179" s="138"/>
      <c r="U179" s="138"/>
      <c r="V179" s="138"/>
      <c r="W179" s="138"/>
    </row>
    <row r="180" spans="1:23" hidden="1" outlineLevel="1" x14ac:dyDescent="0.2">
      <c r="A180" s="138"/>
      <c r="B180" s="138"/>
      <c r="C180" s="738" t="s">
        <v>639</v>
      </c>
      <c r="D180" s="739"/>
      <c r="E180" s="26"/>
      <c r="F180" s="135"/>
      <c r="G180" s="135"/>
      <c r="H180" s="135"/>
      <c r="I180" s="135"/>
      <c r="J180" s="135"/>
      <c r="K180" s="135"/>
      <c r="L180" s="135"/>
      <c r="M180" s="135"/>
      <c r="N180" s="134"/>
      <c r="O180" s="94"/>
      <c r="P180" s="94"/>
      <c r="Q180" s="138"/>
      <c r="R180" s="138"/>
      <c r="S180" s="138"/>
      <c r="T180" s="138"/>
      <c r="U180" s="138"/>
      <c r="V180" s="138"/>
      <c r="W180" s="138"/>
    </row>
    <row r="181" spans="1:23" hidden="1" outlineLevel="1" x14ac:dyDescent="0.2">
      <c r="A181" s="138"/>
      <c r="B181" s="138"/>
      <c r="C181" s="738" t="s">
        <v>640</v>
      </c>
      <c r="D181" s="739"/>
      <c r="E181" s="26"/>
      <c r="F181" s="135"/>
      <c r="G181" s="135"/>
      <c r="H181" s="135"/>
      <c r="I181" s="135"/>
      <c r="J181" s="135"/>
      <c r="K181" s="135"/>
      <c r="L181" s="135"/>
      <c r="M181" s="135"/>
      <c r="N181" s="134"/>
      <c r="O181" s="94"/>
      <c r="P181" s="94"/>
      <c r="Q181" s="138"/>
      <c r="R181" s="138"/>
      <c r="S181" s="138"/>
      <c r="T181" s="138"/>
      <c r="U181" s="138"/>
      <c r="V181" s="138"/>
      <c r="W181" s="138"/>
    </row>
    <row r="182" spans="1:23" hidden="1" outlineLevel="1" x14ac:dyDescent="0.2">
      <c r="A182" s="138"/>
      <c r="B182" s="138"/>
      <c r="C182" s="138"/>
      <c r="D182" s="138"/>
      <c r="E182" s="138"/>
      <c r="F182" s="135"/>
      <c r="G182" s="135"/>
      <c r="H182" s="135"/>
      <c r="I182" s="135"/>
      <c r="J182" s="135"/>
      <c r="K182" s="135"/>
      <c r="L182" s="135"/>
      <c r="M182" s="135"/>
      <c r="N182" s="134"/>
      <c r="O182" s="94"/>
      <c r="P182" s="94"/>
      <c r="Q182" s="138"/>
      <c r="R182" s="138"/>
      <c r="S182" s="138"/>
      <c r="T182" s="138"/>
      <c r="U182" s="138"/>
      <c r="V182" s="138"/>
      <c r="W182" s="138"/>
    </row>
    <row r="183" spans="1:23" hidden="1" outlineLevel="1" x14ac:dyDescent="0.2">
      <c r="A183" s="138"/>
      <c r="B183" s="138"/>
      <c r="C183" s="134"/>
      <c r="D183" s="134"/>
      <c r="E183" s="134"/>
      <c r="F183" s="128"/>
      <c r="G183" s="128"/>
      <c r="H183" s="134"/>
      <c r="I183" s="134"/>
      <c r="J183" s="135"/>
      <c r="K183" s="134"/>
      <c r="L183" s="134"/>
      <c r="M183" s="134"/>
      <c r="N183" s="134"/>
      <c r="O183" s="94"/>
      <c r="P183" s="94"/>
      <c r="Q183" s="138"/>
      <c r="R183" s="138"/>
      <c r="S183" s="138"/>
      <c r="T183" s="138"/>
      <c r="U183" s="138"/>
      <c r="V183" s="138"/>
      <c r="W183" s="138"/>
    </row>
    <row r="184" spans="1:23" ht="15.75" collapsed="1" x14ac:dyDescent="0.2">
      <c r="A184" s="138"/>
      <c r="B184" s="330">
        <v>9</v>
      </c>
      <c r="C184" s="743" t="str">
        <f xml:space="preserve"> IF(B184&lt;=$I$61,"Restriction " &amp; B184 &amp; " of " &amp; $I$61,MsgNotUsed)</f>
        <v>** NOT USED **</v>
      </c>
      <c r="D184" s="744"/>
      <c r="E184" s="745"/>
      <c r="F184" s="128"/>
      <c r="G184" s="128"/>
      <c r="H184" s="134"/>
      <c r="I184" s="134"/>
      <c r="J184" s="135"/>
      <c r="K184" s="134"/>
      <c r="L184" s="135"/>
      <c r="M184" s="135"/>
      <c r="N184" s="134"/>
      <c r="O184" s="94"/>
      <c r="P184" s="94"/>
      <c r="Q184" s="138"/>
      <c r="R184" s="138"/>
      <c r="S184" s="138"/>
      <c r="T184" s="138"/>
      <c r="U184" s="138"/>
      <c r="V184" s="138"/>
      <c r="W184" s="138"/>
    </row>
    <row r="185" spans="1:23" hidden="1" outlineLevel="1" x14ac:dyDescent="0.2">
      <c r="A185" s="138"/>
      <c r="B185" s="138"/>
      <c r="C185" s="372" t="s">
        <v>631</v>
      </c>
      <c r="D185" s="378"/>
      <c r="E185" s="43" t="str">
        <f>IF(D185&lt;&gt;"",VLOOKUP(D185,ProgrammeCode,2,FALSE),"")</f>
        <v/>
      </c>
      <c r="F185" s="103">
        <f>IF(D185&lt;&gt;"",VLOOKUP(D185,ProgrammeCode,3),0)</f>
        <v>0</v>
      </c>
      <c r="G185" s="111"/>
      <c r="H185" s="127" t="s">
        <v>632</v>
      </c>
      <c r="I185" s="378"/>
      <c r="J185" s="135" t="str">
        <f>IF(I185="New","N","")</f>
        <v/>
      </c>
      <c r="K185" s="134"/>
      <c r="L185" s="546" t="s">
        <v>778</v>
      </c>
      <c r="P185" s="94"/>
      <c r="Q185" s="138"/>
      <c r="R185" s="138"/>
      <c r="S185" s="138"/>
      <c r="T185" s="138"/>
      <c r="U185" s="138"/>
      <c r="V185" s="138"/>
      <c r="W185" s="138"/>
    </row>
    <row r="186" spans="1:23" hidden="1" outlineLevel="1" x14ac:dyDescent="0.2">
      <c r="A186" s="138"/>
      <c r="B186" s="138"/>
      <c r="C186" s="134"/>
      <c r="D186" s="134"/>
      <c r="E186" s="134"/>
      <c r="F186" s="134"/>
      <c r="G186" s="134"/>
      <c r="H186" s="131" t="s">
        <v>759</v>
      </c>
      <c r="I186" s="27"/>
      <c r="J186" s="135"/>
      <c r="K186" s="134"/>
      <c r="L186" s="724"/>
      <c r="M186" s="575"/>
      <c r="N186" s="725">
        <f>IF(L186&lt;&gt;"",VLOOKUP(L186,AuthorityCode,2,FALSE),0)</f>
        <v>0</v>
      </c>
      <c r="P186" s="94"/>
      <c r="Q186" s="138"/>
      <c r="R186" s="138"/>
      <c r="S186" s="138"/>
      <c r="T186" s="138"/>
      <c r="U186" s="138"/>
      <c r="V186" s="138"/>
      <c r="W186" s="138"/>
    </row>
    <row r="187" spans="1:23" hidden="1" outlineLevel="1" x14ac:dyDescent="0.2">
      <c r="A187" s="138"/>
      <c r="B187" s="138"/>
      <c r="C187" s="373" t="s">
        <v>57</v>
      </c>
      <c r="D187" s="313"/>
      <c r="E187" s="24"/>
      <c r="F187" s="103" t="str">
        <f>IF(E187&lt;&gt;"",VLOOKUP(E187,TPShortCode,3,FALSE),"")</f>
        <v/>
      </c>
      <c r="G187" s="136"/>
      <c r="H187" s="131" t="str">
        <f>VLOOKUP(F185,MaxQ,2,TRUE)</f>
        <v>Max quantity (units)</v>
      </c>
      <c r="I187" s="27"/>
      <c r="J187" s="135"/>
      <c r="K187" s="134"/>
      <c r="L187" s="724"/>
      <c r="M187" s="575"/>
      <c r="N187" s="575"/>
      <c r="P187" s="94"/>
      <c r="Q187" s="138"/>
      <c r="R187" s="138"/>
      <c r="S187" s="138"/>
      <c r="T187" s="138"/>
      <c r="U187" s="138"/>
      <c r="V187" s="138"/>
      <c r="W187" s="138"/>
    </row>
    <row r="188" spans="1:23" hidden="1" outlineLevel="1" x14ac:dyDescent="0.2">
      <c r="A188" s="138"/>
      <c r="B188" s="138"/>
      <c r="C188" s="134"/>
      <c r="D188" s="134"/>
      <c r="E188" s="26"/>
      <c r="F188" s="134"/>
      <c r="G188" s="134"/>
      <c r="H188" s="131" t="s">
        <v>633</v>
      </c>
      <c r="I188" s="27"/>
      <c r="J188" s="135"/>
      <c r="K188" s="134"/>
      <c r="P188" s="94"/>
      <c r="Q188" s="138"/>
      <c r="R188" s="138"/>
      <c r="S188" s="138"/>
      <c r="T188" s="138"/>
      <c r="U188" s="138"/>
      <c r="V188" s="138"/>
      <c r="W188" s="138"/>
    </row>
    <row r="189" spans="1:23" hidden="1" outlineLevel="1" x14ac:dyDescent="0.2">
      <c r="A189" s="138"/>
      <c r="B189" s="138"/>
      <c r="C189" s="738" t="s">
        <v>634</v>
      </c>
      <c r="D189" s="739"/>
      <c r="E189" s="26"/>
      <c r="F189" s="134"/>
      <c r="G189" s="134"/>
      <c r="H189" s="135"/>
      <c r="I189" s="135"/>
      <c r="J189" s="135"/>
      <c r="K189" s="134"/>
      <c r="P189" s="494"/>
      <c r="Q189" s="138"/>
      <c r="R189" s="138"/>
      <c r="S189" s="138"/>
      <c r="T189" s="138"/>
      <c r="U189" s="138"/>
      <c r="V189" s="138"/>
      <c r="W189" s="138"/>
    </row>
    <row r="190" spans="1:23" hidden="1" outlineLevel="1" x14ac:dyDescent="0.2">
      <c r="A190" s="138"/>
      <c r="B190" s="138"/>
      <c r="C190" s="738" t="s">
        <v>635</v>
      </c>
      <c r="D190" s="739"/>
      <c r="E190" s="26"/>
      <c r="F190" s="135"/>
      <c r="G190" s="135"/>
      <c r="H190" s="135"/>
      <c r="I190" s="135"/>
      <c r="J190" s="135"/>
      <c r="K190" s="134"/>
      <c r="P190" s="94"/>
      <c r="Q190" s="138"/>
      <c r="R190" s="138"/>
      <c r="S190" s="138"/>
      <c r="T190" s="138"/>
      <c r="U190" s="138"/>
      <c r="V190" s="138"/>
      <c r="W190" s="138"/>
    </row>
    <row r="191" spans="1:23" hidden="1" outlineLevel="1" x14ac:dyDescent="0.2">
      <c r="A191" s="138"/>
      <c r="B191" s="138"/>
      <c r="C191" s="738" t="s">
        <v>636</v>
      </c>
      <c r="D191" s="739"/>
      <c r="E191" s="26"/>
      <c r="F191" s="135"/>
      <c r="G191" s="135"/>
      <c r="H191" s="135"/>
      <c r="I191" s="135"/>
      <c r="J191" s="135"/>
      <c r="K191" s="135"/>
      <c r="P191" s="94"/>
      <c r="Q191" s="138"/>
      <c r="R191" s="138"/>
      <c r="S191" s="138"/>
      <c r="T191" s="138"/>
      <c r="U191" s="138"/>
      <c r="V191" s="138"/>
      <c r="W191" s="138"/>
    </row>
    <row r="192" spans="1:23" hidden="1" outlineLevel="1" x14ac:dyDescent="0.2">
      <c r="A192" s="138"/>
      <c r="B192" s="138"/>
      <c r="C192" s="738" t="s">
        <v>977</v>
      </c>
      <c r="D192" s="739"/>
      <c r="E192" s="44" t="str">
        <f>IF(AND(E190&lt;&gt;"",E191&lt;&gt;""),E190 &amp; " " &amp; E191,IF(E191&lt;&gt;"",E191,""))</f>
        <v/>
      </c>
      <c r="F192" s="135"/>
      <c r="G192" s="135"/>
      <c r="H192" s="135"/>
      <c r="I192" s="135"/>
      <c r="J192" s="135"/>
      <c r="K192" s="135"/>
      <c r="L192" s="135"/>
      <c r="M192" s="135"/>
      <c r="N192" s="134"/>
      <c r="O192" s="94"/>
      <c r="P192" s="94"/>
      <c r="Q192" s="138"/>
      <c r="R192" s="138"/>
      <c r="S192" s="138"/>
      <c r="T192" s="138"/>
      <c r="U192" s="138"/>
      <c r="V192" s="138"/>
      <c r="W192" s="138"/>
    </row>
    <row r="193" spans="1:23" hidden="1" outlineLevel="1" x14ac:dyDescent="0.2">
      <c r="A193" s="138"/>
      <c r="B193" s="138"/>
      <c r="C193" s="738" t="s">
        <v>637</v>
      </c>
      <c r="D193" s="739"/>
      <c r="E193" s="26"/>
      <c r="F193" s="135"/>
      <c r="G193" s="135"/>
      <c r="H193" s="135"/>
      <c r="I193" s="135"/>
      <c r="J193" s="135"/>
      <c r="K193" s="135"/>
      <c r="L193" s="135"/>
      <c r="M193" s="135"/>
      <c r="N193" s="134"/>
      <c r="O193" s="94"/>
      <c r="P193" s="94"/>
      <c r="Q193" s="138"/>
      <c r="R193" s="138"/>
      <c r="S193" s="138"/>
      <c r="T193" s="138"/>
      <c r="U193" s="138"/>
      <c r="V193" s="138"/>
      <c r="W193" s="138"/>
    </row>
    <row r="194" spans="1:23" hidden="1" outlineLevel="1" x14ac:dyDescent="0.2">
      <c r="A194" s="138"/>
      <c r="B194" s="138"/>
      <c r="C194" s="738" t="s">
        <v>638</v>
      </c>
      <c r="D194" s="739"/>
      <c r="E194" s="26"/>
      <c r="F194" s="135"/>
      <c r="G194" s="135"/>
      <c r="H194" s="135"/>
      <c r="I194" s="135"/>
      <c r="J194" s="135"/>
      <c r="K194" s="135"/>
      <c r="L194" s="135"/>
      <c r="M194" s="135"/>
      <c r="N194" s="134"/>
      <c r="O194" s="94"/>
      <c r="P194" s="94"/>
      <c r="Q194" s="138"/>
      <c r="R194" s="138"/>
      <c r="S194" s="138"/>
      <c r="T194" s="138"/>
      <c r="U194" s="138"/>
      <c r="V194" s="138"/>
      <c r="W194" s="138"/>
    </row>
    <row r="195" spans="1:23" hidden="1" outlineLevel="1" x14ac:dyDescent="0.2">
      <c r="A195" s="138"/>
      <c r="B195" s="138"/>
      <c r="C195" s="738" t="s">
        <v>639</v>
      </c>
      <c r="D195" s="739"/>
      <c r="E195" s="26"/>
      <c r="F195" s="135"/>
      <c r="G195" s="135"/>
      <c r="H195" s="135"/>
      <c r="I195" s="135"/>
      <c r="J195" s="135"/>
      <c r="K195" s="135"/>
      <c r="L195" s="135"/>
      <c r="M195" s="135"/>
      <c r="N195" s="134"/>
      <c r="O195" s="94"/>
      <c r="P195" s="94"/>
      <c r="Q195" s="138"/>
      <c r="R195" s="138"/>
      <c r="S195" s="138"/>
      <c r="T195" s="138"/>
      <c r="U195" s="138"/>
      <c r="V195" s="138"/>
      <c r="W195" s="138"/>
    </row>
    <row r="196" spans="1:23" hidden="1" outlineLevel="1" x14ac:dyDescent="0.2">
      <c r="A196" s="138"/>
      <c r="B196" s="138"/>
      <c r="C196" s="738" t="s">
        <v>640</v>
      </c>
      <c r="D196" s="739"/>
      <c r="E196" s="26"/>
      <c r="F196" s="135"/>
      <c r="G196" s="135"/>
      <c r="H196" s="135"/>
      <c r="I196" s="135"/>
      <c r="J196" s="135"/>
      <c r="K196" s="135"/>
      <c r="L196" s="135"/>
      <c r="M196" s="135"/>
      <c r="N196" s="134"/>
      <c r="O196" s="94"/>
      <c r="P196" s="94"/>
      <c r="Q196" s="138"/>
      <c r="R196" s="138"/>
      <c r="S196" s="138"/>
      <c r="T196" s="138"/>
      <c r="U196" s="138"/>
      <c r="V196" s="138"/>
      <c r="W196" s="138"/>
    </row>
    <row r="197" spans="1:23" hidden="1" outlineLevel="1" x14ac:dyDescent="0.2">
      <c r="A197" s="138"/>
      <c r="B197" s="138"/>
      <c r="C197" s="138"/>
      <c r="D197" s="138"/>
      <c r="E197" s="138"/>
      <c r="F197" s="135"/>
      <c r="G197" s="135"/>
      <c r="H197" s="135"/>
      <c r="I197" s="135"/>
      <c r="J197" s="135"/>
      <c r="K197" s="135"/>
      <c r="L197" s="135"/>
      <c r="M197" s="135"/>
      <c r="N197" s="134"/>
      <c r="O197" s="94"/>
      <c r="P197" s="94"/>
      <c r="Q197" s="138"/>
      <c r="R197" s="138"/>
      <c r="S197" s="138"/>
      <c r="T197" s="138"/>
      <c r="U197" s="138"/>
      <c r="V197" s="138"/>
      <c r="W197" s="138"/>
    </row>
    <row r="198" spans="1:23" hidden="1" outlineLevel="1" x14ac:dyDescent="0.2">
      <c r="A198" s="138"/>
      <c r="B198" s="138"/>
      <c r="C198" s="134"/>
      <c r="D198" s="134"/>
      <c r="E198" s="134"/>
      <c r="F198" s="128"/>
      <c r="G198" s="128"/>
      <c r="H198" s="134"/>
      <c r="I198" s="134"/>
      <c r="J198" s="135"/>
      <c r="K198" s="134"/>
      <c r="L198" s="134"/>
      <c r="M198" s="134"/>
      <c r="N198" s="134"/>
      <c r="O198" s="94"/>
      <c r="P198" s="94"/>
      <c r="Q198" s="138"/>
      <c r="R198" s="138"/>
      <c r="S198" s="138"/>
      <c r="T198" s="138"/>
      <c r="U198" s="138"/>
      <c r="V198" s="138"/>
      <c r="W198" s="138"/>
    </row>
    <row r="199" spans="1:23" ht="15.75" collapsed="1" x14ac:dyDescent="0.2">
      <c r="A199" s="138"/>
      <c r="B199" s="330">
        <v>10</v>
      </c>
      <c r="C199" s="743" t="str">
        <f xml:space="preserve"> IF(B199&lt;=$I$61,"Restriction " &amp; B199 &amp; " of " &amp; $I$61,MsgNotUsed)</f>
        <v>** NOT USED **</v>
      </c>
      <c r="D199" s="744"/>
      <c r="E199" s="745"/>
      <c r="F199" s="128"/>
      <c r="G199" s="128"/>
      <c r="H199" s="134"/>
      <c r="I199" s="134"/>
      <c r="J199" s="135"/>
      <c r="K199" s="134"/>
      <c r="L199" s="135"/>
      <c r="M199" s="135"/>
      <c r="N199" s="134"/>
      <c r="O199" s="94"/>
      <c r="P199" s="94"/>
      <c r="Q199" s="138"/>
      <c r="R199" s="138"/>
      <c r="S199" s="138"/>
      <c r="T199" s="138"/>
      <c r="U199" s="138"/>
      <c r="V199" s="138"/>
      <c r="W199" s="138"/>
    </row>
    <row r="200" spans="1:23" hidden="1" outlineLevel="1" x14ac:dyDescent="0.2">
      <c r="A200" s="138"/>
      <c r="B200" s="138"/>
      <c r="C200" s="372" t="s">
        <v>631</v>
      </c>
      <c r="D200" s="378"/>
      <c r="E200" s="43" t="str">
        <f>IF(D200&lt;&gt;"",VLOOKUP(D200,ProgrammeCode,2,FALSE),"")</f>
        <v/>
      </c>
      <c r="F200" s="103">
        <f>IF(D200&lt;&gt;"",VLOOKUP(D200,ProgrammeCode,3),0)</f>
        <v>0</v>
      </c>
      <c r="G200" s="111"/>
      <c r="H200" s="127" t="s">
        <v>632</v>
      </c>
      <c r="I200" s="378"/>
      <c r="J200" s="135" t="str">
        <f>IF(I200="New","N","")</f>
        <v/>
      </c>
      <c r="K200" s="134"/>
      <c r="L200" s="546" t="s">
        <v>778</v>
      </c>
      <c r="P200" s="94"/>
      <c r="Q200" s="138"/>
      <c r="R200" s="138"/>
      <c r="S200" s="138"/>
      <c r="T200" s="138"/>
      <c r="U200" s="138"/>
      <c r="V200" s="138"/>
      <c r="W200" s="138"/>
    </row>
    <row r="201" spans="1:23" hidden="1" outlineLevel="1" x14ac:dyDescent="0.2">
      <c r="A201" s="138"/>
      <c r="B201" s="138"/>
      <c r="C201" s="134"/>
      <c r="D201" s="134"/>
      <c r="E201" s="134"/>
      <c r="F201" s="134"/>
      <c r="G201" s="134"/>
      <c r="H201" s="131" t="s">
        <v>759</v>
      </c>
      <c r="I201" s="27"/>
      <c r="J201" s="135"/>
      <c r="K201" s="134"/>
      <c r="L201" s="724"/>
      <c r="M201" s="575"/>
      <c r="N201" s="725">
        <f>IF(L201&lt;&gt;"",VLOOKUP(L201,AuthorityCode,2,FALSE),0)</f>
        <v>0</v>
      </c>
      <c r="P201" s="94"/>
      <c r="Q201" s="138"/>
      <c r="R201" s="138"/>
      <c r="S201" s="138"/>
      <c r="T201" s="138"/>
      <c r="U201" s="138"/>
      <c r="V201" s="138"/>
      <c r="W201" s="138"/>
    </row>
    <row r="202" spans="1:23" hidden="1" outlineLevel="1" x14ac:dyDescent="0.2">
      <c r="A202" s="138"/>
      <c r="B202" s="138"/>
      <c r="C202" s="373" t="s">
        <v>57</v>
      </c>
      <c r="D202" s="313"/>
      <c r="E202" s="24"/>
      <c r="F202" s="103" t="str">
        <f>IF(E202&lt;&gt;"",VLOOKUP(E202,TPShortCode,3,FALSE),"")</f>
        <v/>
      </c>
      <c r="G202" s="136"/>
      <c r="H202" s="131" t="str">
        <f>VLOOKUP(F200,MaxQ,2,TRUE)</f>
        <v>Max quantity (units)</v>
      </c>
      <c r="I202" s="27"/>
      <c r="J202" s="135"/>
      <c r="K202" s="134"/>
      <c r="L202" s="724"/>
      <c r="M202" s="575"/>
      <c r="N202" s="575"/>
      <c r="P202" s="94"/>
      <c r="Q202" s="138"/>
      <c r="R202" s="138"/>
      <c r="S202" s="138"/>
      <c r="T202" s="138"/>
      <c r="U202" s="138"/>
      <c r="V202" s="138"/>
      <c r="W202" s="138"/>
    </row>
    <row r="203" spans="1:23" hidden="1" outlineLevel="1" x14ac:dyDescent="0.2">
      <c r="A203" s="138"/>
      <c r="B203" s="138"/>
      <c r="C203" s="134"/>
      <c r="D203" s="134"/>
      <c r="E203" s="26"/>
      <c r="F203" s="134"/>
      <c r="G203" s="134"/>
      <c r="H203" s="131" t="s">
        <v>633</v>
      </c>
      <c r="I203" s="27"/>
      <c r="J203" s="135"/>
      <c r="K203" s="134"/>
      <c r="P203" s="94"/>
      <c r="Q203" s="138"/>
      <c r="R203" s="138"/>
      <c r="S203" s="138"/>
      <c r="T203" s="138"/>
      <c r="U203" s="138"/>
      <c r="V203" s="138"/>
      <c r="W203" s="138"/>
    </row>
    <row r="204" spans="1:23" hidden="1" outlineLevel="1" x14ac:dyDescent="0.2">
      <c r="A204" s="138"/>
      <c r="B204" s="138"/>
      <c r="C204" s="738" t="s">
        <v>634</v>
      </c>
      <c r="D204" s="739"/>
      <c r="E204" s="26"/>
      <c r="F204" s="134"/>
      <c r="G204" s="134"/>
      <c r="H204" s="135"/>
      <c r="I204" s="135"/>
      <c r="J204" s="135"/>
      <c r="K204" s="134"/>
      <c r="P204" s="494"/>
      <c r="Q204" s="138"/>
      <c r="R204" s="138"/>
      <c r="S204" s="138"/>
      <c r="T204" s="138"/>
      <c r="U204" s="138"/>
      <c r="V204" s="138"/>
      <c r="W204" s="138"/>
    </row>
    <row r="205" spans="1:23" hidden="1" outlineLevel="1" x14ac:dyDescent="0.2">
      <c r="A205" s="138"/>
      <c r="B205" s="138"/>
      <c r="C205" s="738" t="s">
        <v>635</v>
      </c>
      <c r="D205" s="739"/>
      <c r="E205" s="26"/>
      <c r="F205" s="135"/>
      <c r="G205" s="135"/>
      <c r="H205" s="135"/>
      <c r="I205" s="135"/>
      <c r="J205" s="135"/>
      <c r="K205" s="134"/>
      <c r="P205" s="94"/>
      <c r="Q205" s="138"/>
      <c r="R205" s="138"/>
      <c r="S205" s="138"/>
      <c r="T205" s="138"/>
      <c r="U205" s="138"/>
      <c r="V205" s="138"/>
      <c r="W205" s="138"/>
    </row>
    <row r="206" spans="1:23" hidden="1" outlineLevel="1" x14ac:dyDescent="0.2">
      <c r="A206" s="138"/>
      <c r="B206" s="138"/>
      <c r="C206" s="738" t="s">
        <v>636</v>
      </c>
      <c r="D206" s="739"/>
      <c r="E206" s="26"/>
      <c r="F206" s="135"/>
      <c r="G206" s="135"/>
      <c r="H206" s="135"/>
      <c r="I206" s="135"/>
      <c r="J206" s="135"/>
      <c r="K206" s="135"/>
      <c r="P206" s="94"/>
      <c r="Q206" s="138"/>
      <c r="R206" s="138"/>
      <c r="S206" s="138"/>
      <c r="T206" s="138"/>
      <c r="U206" s="138"/>
      <c r="V206" s="138"/>
      <c r="W206" s="138"/>
    </row>
    <row r="207" spans="1:23" hidden="1" outlineLevel="1" x14ac:dyDescent="0.2">
      <c r="A207" s="138"/>
      <c r="B207" s="138"/>
      <c r="C207" s="738" t="s">
        <v>977</v>
      </c>
      <c r="D207" s="739"/>
      <c r="E207" s="44" t="str">
        <f>IF(AND(E205&lt;&gt;"",E206&lt;&gt;""),E205 &amp; " " &amp; E206,IF(E206&lt;&gt;"",E206,""))</f>
        <v/>
      </c>
      <c r="F207" s="135"/>
      <c r="G207" s="135"/>
      <c r="H207" s="135"/>
      <c r="I207" s="135"/>
      <c r="J207" s="135"/>
      <c r="K207" s="135"/>
      <c r="L207" s="135"/>
      <c r="M207" s="135"/>
      <c r="N207" s="134"/>
      <c r="O207" s="94"/>
      <c r="P207" s="94"/>
      <c r="Q207" s="138"/>
      <c r="R207" s="138"/>
      <c r="S207" s="138"/>
      <c r="T207" s="138"/>
      <c r="U207" s="138"/>
      <c r="V207" s="138"/>
      <c r="W207" s="138"/>
    </row>
    <row r="208" spans="1:23" hidden="1" outlineLevel="1" x14ac:dyDescent="0.2">
      <c r="A208" s="138"/>
      <c r="B208" s="138"/>
      <c r="C208" s="738" t="s">
        <v>637</v>
      </c>
      <c r="D208" s="739"/>
      <c r="E208" s="26"/>
      <c r="F208" s="135"/>
      <c r="G208" s="135"/>
      <c r="H208" s="135"/>
      <c r="I208" s="135"/>
      <c r="J208" s="135"/>
      <c r="K208" s="135"/>
      <c r="L208" s="135"/>
      <c r="M208" s="135"/>
      <c r="N208" s="134"/>
      <c r="O208" s="94"/>
      <c r="P208" s="94"/>
      <c r="Q208" s="138"/>
      <c r="R208" s="138"/>
      <c r="S208" s="138"/>
      <c r="T208" s="138"/>
      <c r="U208" s="138"/>
      <c r="V208" s="138"/>
      <c r="W208" s="138"/>
    </row>
    <row r="209" spans="1:23" hidden="1" outlineLevel="1" x14ac:dyDescent="0.2">
      <c r="A209" s="138"/>
      <c r="B209" s="138"/>
      <c r="C209" s="738" t="s">
        <v>638</v>
      </c>
      <c r="D209" s="739"/>
      <c r="E209" s="26"/>
      <c r="F209" s="135"/>
      <c r="G209" s="135"/>
      <c r="H209" s="135"/>
      <c r="I209" s="135"/>
      <c r="J209" s="135"/>
      <c r="K209" s="135"/>
      <c r="L209" s="135"/>
      <c r="M209" s="135"/>
      <c r="N209" s="134"/>
      <c r="O209" s="94"/>
      <c r="P209" s="94"/>
      <c r="Q209" s="138"/>
      <c r="R209" s="138"/>
      <c r="S209" s="138"/>
      <c r="T209" s="138"/>
      <c r="U209" s="138"/>
      <c r="V209" s="138"/>
      <c r="W209" s="138"/>
    </row>
    <row r="210" spans="1:23" hidden="1" outlineLevel="1" x14ac:dyDescent="0.2">
      <c r="A210" s="138"/>
      <c r="B210" s="138"/>
      <c r="C210" s="738" t="s">
        <v>639</v>
      </c>
      <c r="D210" s="739"/>
      <c r="E210" s="26"/>
      <c r="F210" s="135"/>
      <c r="G210" s="135"/>
      <c r="H210" s="135"/>
      <c r="I210" s="135"/>
      <c r="J210" s="135"/>
      <c r="K210" s="135"/>
      <c r="L210" s="135"/>
      <c r="M210" s="135"/>
      <c r="N210" s="134"/>
      <c r="O210" s="94"/>
      <c r="P210" s="94"/>
      <c r="Q210" s="138"/>
      <c r="R210" s="138"/>
      <c r="S210" s="138"/>
      <c r="T210" s="138"/>
      <c r="U210" s="138"/>
      <c r="V210" s="138"/>
      <c r="W210" s="138"/>
    </row>
    <row r="211" spans="1:23" hidden="1" outlineLevel="1" x14ac:dyDescent="0.2">
      <c r="A211" s="138"/>
      <c r="B211" s="138"/>
      <c r="C211" s="738" t="s">
        <v>640</v>
      </c>
      <c r="D211" s="739"/>
      <c r="E211" s="26"/>
      <c r="F211" s="135"/>
      <c r="G211" s="135"/>
      <c r="H211" s="135"/>
      <c r="I211" s="135"/>
      <c r="J211" s="135"/>
      <c r="K211" s="135"/>
      <c r="L211" s="135"/>
      <c r="M211" s="135"/>
      <c r="N211" s="134"/>
      <c r="O211" s="94"/>
      <c r="P211" s="94"/>
      <c r="Q211" s="138"/>
      <c r="R211" s="138"/>
      <c r="S211" s="138"/>
      <c r="T211" s="138"/>
      <c r="U211" s="138"/>
      <c r="V211" s="138"/>
      <c r="W211" s="138"/>
    </row>
    <row r="212" spans="1:23" hidden="1" outlineLevel="1" x14ac:dyDescent="0.2">
      <c r="A212" s="138"/>
      <c r="B212" s="138"/>
      <c r="C212" s="138"/>
      <c r="D212" s="138"/>
      <c r="E212" s="138"/>
      <c r="F212" s="135"/>
      <c r="G212" s="135"/>
      <c r="H212" s="135"/>
      <c r="I212" s="135"/>
      <c r="J212" s="135"/>
      <c r="K212" s="135"/>
      <c r="L212" s="135"/>
      <c r="M212" s="135"/>
      <c r="N212" s="134"/>
      <c r="O212" s="94"/>
      <c r="P212" s="94"/>
      <c r="Q212" s="138"/>
      <c r="R212" s="138"/>
      <c r="S212" s="138"/>
      <c r="T212" s="138"/>
      <c r="U212" s="138"/>
      <c r="V212" s="138"/>
      <c r="W212" s="138"/>
    </row>
    <row r="213" spans="1:23" hidden="1" outlineLevel="1" x14ac:dyDescent="0.2">
      <c r="A213" s="138"/>
      <c r="B213" s="138"/>
      <c r="C213" s="134"/>
      <c r="D213" s="134"/>
      <c r="E213" s="134"/>
      <c r="F213" s="128"/>
      <c r="G213" s="128"/>
      <c r="H213" s="134"/>
      <c r="I213" s="134"/>
      <c r="J213" s="135"/>
      <c r="K213" s="134"/>
      <c r="L213" s="134"/>
      <c r="M213" s="134"/>
      <c r="N213" s="134"/>
      <c r="O213" s="94"/>
      <c r="P213" s="94"/>
      <c r="Q213" s="138"/>
      <c r="R213" s="138"/>
      <c r="S213" s="138"/>
      <c r="T213" s="138"/>
      <c r="U213" s="138"/>
      <c r="V213" s="138"/>
      <c r="W213" s="138"/>
    </row>
    <row r="214" spans="1:23" ht="15.75" collapsed="1" x14ac:dyDescent="0.2">
      <c r="A214" s="138"/>
      <c r="B214" s="330">
        <v>11</v>
      </c>
      <c r="C214" s="743" t="str">
        <f xml:space="preserve"> IF(B214&lt;=$I$61,"Restriction " &amp; B214 &amp; " of " &amp; $I$61,MsgNotUsed)</f>
        <v>** NOT USED **</v>
      </c>
      <c r="D214" s="744"/>
      <c r="E214" s="745"/>
      <c r="F214" s="128"/>
      <c r="G214" s="128"/>
      <c r="H214" s="134"/>
      <c r="I214" s="134"/>
      <c r="J214" s="135"/>
      <c r="K214" s="134"/>
      <c r="L214" s="135"/>
      <c r="M214" s="135"/>
      <c r="N214" s="134"/>
      <c r="O214" s="94"/>
      <c r="P214" s="94"/>
      <c r="Q214" s="138"/>
      <c r="R214" s="138"/>
      <c r="S214" s="138"/>
      <c r="T214" s="138"/>
      <c r="U214" s="138"/>
      <c r="V214" s="138"/>
      <c r="W214" s="138"/>
    </row>
    <row r="215" spans="1:23" hidden="1" outlineLevel="1" x14ac:dyDescent="0.2">
      <c r="A215" s="138"/>
      <c r="B215" s="138"/>
      <c r="C215" s="372" t="s">
        <v>631</v>
      </c>
      <c r="D215" s="378"/>
      <c r="E215" s="43" t="str">
        <f>IF(D215&lt;&gt;"",VLOOKUP(D215,ProgrammeCode,2,FALSE),"")</f>
        <v/>
      </c>
      <c r="F215" s="103">
        <f>IF(D215&lt;&gt;"",VLOOKUP(D215,ProgrammeCode,3),0)</f>
        <v>0</v>
      </c>
      <c r="G215" s="111"/>
      <c r="H215" s="127" t="s">
        <v>632</v>
      </c>
      <c r="I215" s="378"/>
      <c r="J215" s="135" t="str">
        <f>IF(I215="New","N","")</f>
        <v/>
      </c>
      <c r="K215" s="134"/>
      <c r="L215" s="546" t="s">
        <v>778</v>
      </c>
      <c r="P215" s="94"/>
      <c r="Q215" s="138"/>
      <c r="R215" s="138"/>
      <c r="S215" s="138"/>
      <c r="T215" s="138"/>
      <c r="U215" s="138"/>
      <c r="V215" s="138"/>
      <c r="W215" s="138"/>
    </row>
    <row r="216" spans="1:23" hidden="1" outlineLevel="1" x14ac:dyDescent="0.2">
      <c r="A216" s="138"/>
      <c r="B216" s="138"/>
      <c r="C216" s="134"/>
      <c r="D216" s="134"/>
      <c r="E216" s="134"/>
      <c r="F216" s="134"/>
      <c r="G216" s="134"/>
      <c r="H216" s="131" t="s">
        <v>759</v>
      </c>
      <c r="I216" s="27"/>
      <c r="J216" s="135"/>
      <c r="K216" s="134"/>
      <c r="L216" s="724"/>
      <c r="M216" s="575"/>
      <c r="N216" s="725">
        <f>IF(L216&lt;&gt;"",VLOOKUP(L216,AuthorityCode,2,FALSE),0)</f>
        <v>0</v>
      </c>
      <c r="P216" s="94"/>
      <c r="Q216" s="138"/>
      <c r="R216" s="138"/>
      <c r="S216" s="138"/>
      <c r="T216" s="138"/>
      <c r="U216" s="138"/>
      <c r="V216" s="138"/>
      <c r="W216" s="138"/>
    </row>
    <row r="217" spans="1:23" hidden="1" outlineLevel="1" x14ac:dyDescent="0.2">
      <c r="A217" s="138"/>
      <c r="B217" s="138"/>
      <c r="C217" s="373" t="s">
        <v>57</v>
      </c>
      <c r="D217" s="313"/>
      <c r="E217" s="24"/>
      <c r="F217" s="103" t="str">
        <f>IF(E217&lt;&gt;"",VLOOKUP(E217,TPShortCode,3,FALSE),"")</f>
        <v/>
      </c>
      <c r="G217" s="136"/>
      <c r="H217" s="131" t="str">
        <f>VLOOKUP(F215,MaxQ,2,TRUE)</f>
        <v>Max quantity (units)</v>
      </c>
      <c r="I217" s="27"/>
      <c r="J217" s="135"/>
      <c r="K217" s="134"/>
      <c r="L217" s="724"/>
      <c r="M217" s="575"/>
      <c r="N217" s="575"/>
      <c r="P217" s="94"/>
      <c r="Q217" s="138"/>
      <c r="R217" s="138"/>
      <c r="S217" s="138"/>
      <c r="T217" s="138"/>
      <c r="U217" s="138"/>
      <c r="V217" s="138"/>
      <c r="W217" s="138"/>
    </row>
    <row r="218" spans="1:23" hidden="1" outlineLevel="1" x14ac:dyDescent="0.2">
      <c r="A218" s="138"/>
      <c r="B218" s="138"/>
      <c r="C218" s="134"/>
      <c r="D218" s="134"/>
      <c r="E218" s="26"/>
      <c r="F218" s="134"/>
      <c r="G218" s="134"/>
      <c r="H218" s="131" t="s">
        <v>633</v>
      </c>
      <c r="I218" s="27"/>
      <c r="J218" s="135"/>
      <c r="K218" s="134"/>
      <c r="P218" s="94"/>
      <c r="Q218" s="138"/>
      <c r="R218" s="138"/>
      <c r="S218" s="138"/>
      <c r="T218" s="138"/>
      <c r="U218" s="138"/>
      <c r="V218" s="138"/>
      <c r="W218" s="138"/>
    </row>
    <row r="219" spans="1:23" hidden="1" outlineLevel="1" x14ac:dyDescent="0.2">
      <c r="A219" s="138"/>
      <c r="B219" s="138"/>
      <c r="C219" s="738" t="s">
        <v>634</v>
      </c>
      <c r="D219" s="739"/>
      <c r="E219" s="26"/>
      <c r="F219" s="134"/>
      <c r="G219" s="134"/>
      <c r="H219" s="135"/>
      <c r="I219" s="135"/>
      <c r="J219" s="135"/>
      <c r="K219" s="134"/>
      <c r="P219" s="494"/>
      <c r="Q219" s="138"/>
      <c r="R219" s="138"/>
      <c r="S219" s="138"/>
      <c r="T219" s="138"/>
      <c r="U219" s="138"/>
      <c r="V219" s="138"/>
      <c r="W219" s="138"/>
    </row>
    <row r="220" spans="1:23" hidden="1" outlineLevel="1" x14ac:dyDescent="0.2">
      <c r="A220" s="138"/>
      <c r="B220" s="138"/>
      <c r="C220" s="738" t="s">
        <v>635</v>
      </c>
      <c r="D220" s="739"/>
      <c r="E220" s="26"/>
      <c r="F220" s="135"/>
      <c r="G220" s="135"/>
      <c r="H220" s="135"/>
      <c r="I220" s="135"/>
      <c r="J220" s="135"/>
      <c r="K220" s="134"/>
      <c r="P220" s="94"/>
      <c r="Q220" s="138"/>
      <c r="R220" s="138"/>
      <c r="S220" s="138"/>
      <c r="T220" s="138"/>
      <c r="U220" s="138"/>
      <c r="V220" s="138"/>
      <c r="W220" s="138"/>
    </row>
    <row r="221" spans="1:23" hidden="1" outlineLevel="1" x14ac:dyDescent="0.2">
      <c r="A221" s="138"/>
      <c r="B221" s="138"/>
      <c r="C221" s="738" t="s">
        <v>636</v>
      </c>
      <c r="D221" s="739"/>
      <c r="E221" s="26"/>
      <c r="F221" s="135"/>
      <c r="G221" s="135"/>
      <c r="H221" s="135"/>
      <c r="I221" s="135"/>
      <c r="J221" s="135"/>
      <c r="K221" s="135"/>
      <c r="P221" s="94"/>
      <c r="Q221" s="138"/>
      <c r="R221" s="138"/>
      <c r="S221" s="138"/>
      <c r="T221" s="138"/>
      <c r="U221" s="138"/>
      <c r="V221" s="138"/>
      <c r="W221" s="138"/>
    </row>
    <row r="222" spans="1:23" hidden="1" outlineLevel="1" x14ac:dyDescent="0.2">
      <c r="A222" s="138"/>
      <c r="B222" s="138"/>
      <c r="C222" s="738" t="s">
        <v>977</v>
      </c>
      <c r="D222" s="739"/>
      <c r="E222" s="44" t="str">
        <f>IF(AND(E220&lt;&gt;"",E221&lt;&gt;""),E220 &amp; " " &amp; E221,IF(E221&lt;&gt;"",E221,""))</f>
        <v/>
      </c>
      <c r="F222" s="135"/>
      <c r="G222" s="135"/>
      <c r="H222" s="135"/>
      <c r="I222" s="135"/>
      <c r="J222" s="135"/>
      <c r="K222" s="135"/>
      <c r="L222" s="135"/>
      <c r="M222" s="135"/>
      <c r="N222" s="134"/>
      <c r="O222" s="94"/>
      <c r="P222" s="94"/>
      <c r="Q222" s="138"/>
      <c r="R222" s="138"/>
      <c r="S222" s="138"/>
      <c r="T222" s="138"/>
      <c r="U222" s="138"/>
      <c r="V222" s="138"/>
      <c r="W222" s="138"/>
    </row>
    <row r="223" spans="1:23" hidden="1" outlineLevel="1" x14ac:dyDescent="0.2">
      <c r="A223" s="138"/>
      <c r="B223" s="138"/>
      <c r="C223" s="738" t="s">
        <v>637</v>
      </c>
      <c r="D223" s="739"/>
      <c r="E223" s="26"/>
      <c r="F223" s="135"/>
      <c r="G223" s="135"/>
      <c r="H223" s="135"/>
      <c r="I223" s="135"/>
      <c r="J223" s="135"/>
      <c r="K223" s="135"/>
      <c r="L223" s="135"/>
      <c r="M223" s="135"/>
      <c r="N223" s="134"/>
      <c r="O223" s="94"/>
      <c r="P223" s="94"/>
      <c r="Q223" s="138"/>
      <c r="R223" s="138"/>
      <c r="S223" s="138"/>
      <c r="T223" s="138"/>
      <c r="U223" s="138"/>
      <c r="V223" s="138"/>
      <c r="W223" s="138"/>
    </row>
    <row r="224" spans="1:23" hidden="1" outlineLevel="1" x14ac:dyDescent="0.2">
      <c r="A224" s="138"/>
      <c r="B224" s="138"/>
      <c r="C224" s="738" t="s">
        <v>638</v>
      </c>
      <c r="D224" s="739"/>
      <c r="E224" s="26"/>
      <c r="F224" s="135"/>
      <c r="G224" s="135"/>
      <c r="H224" s="135"/>
      <c r="I224" s="135"/>
      <c r="J224" s="135"/>
      <c r="K224" s="135"/>
      <c r="L224" s="135"/>
      <c r="M224" s="135"/>
      <c r="N224" s="134"/>
      <c r="O224" s="94"/>
      <c r="P224" s="94"/>
      <c r="Q224" s="138"/>
      <c r="R224" s="138"/>
      <c r="S224" s="138"/>
      <c r="T224" s="138"/>
      <c r="U224" s="138"/>
      <c r="V224" s="138"/>
      <c r="W224" s="138"/>
    </row>
    <row r="225" spans="1:24" hidden="1" outlineLevel="1" x14ac:dyDescent="0.2">
      <c r="A225" s="138"/>
      <c r="B225" s="138"/>
      <c r="C225" s="738" t="s">
        <v>639</v>
      </c>
      <c r="D225" s="739"/>
      <c r="E225" s="26"/>
      <c r="F225" s="135"/>
      <c r="G225" s="135"/>
      <c r="H225" s="135"/>
      <c r="I225" s="135"/>
      <c r="J225" s="135"/>
      <c r="K225" s="135"/>
      <c r="L225" s="135"/>
      <c r="M225" s="135"/>
      <c r="N225" s="134"/>
      <c r="O225" s="94"/>
      <c r="P225" s="94"/>
      <c r="Q225" s="138"/>
      <c r="R225" s="138"/>
      <c r="S225" s="138"/>
      <c r="T225" s="138"/>
      <c r="U225" s="138"/>
      <c r="V225" s="138"/>
      <c r="W225" s="138"/>
    </row>
    <row r="226" spans="1:24" hidden="1" outlineLevel="1" x14ac:dyDescent="0.2">
      <c r="A226" s="138"/>
      <c r="B226" s="138"/>
      <c r="C226" s="738" t="s">
        <v>640</v>
      </c>
      <c r="D226" s="739"/>
      <c r="E226" s="26"/>
      <c r="F226" s="135"/>
      <c r="G226" s="135"/>
      <c r="H226" s="135"/>
      <c r="I226" s="135"/>
      <c r="J226" s="135"/>
      <c r="K226" s="135"/>
      <c r="L226" s="135"/>
      <c r="M226" s="135"/>
      <c r="N226" s="134"/>
      <c r="O226" s="94"/>
      <c r="P226" s="94"/>
      <c r="Q226" s="138"/>
      <c r="R226" s="138"/>
      <c r="S226" s="138"/>
      <c r="T226" s="138"/>
      <c r="U226" s="138"/>
      <c r="V226" s="138"/>
      <c r="W226" s="138"/>
    </row>
    <row r="227" spans="1:24" hidden="1" outlineLevel="1" x14ac:dyDescent="0.2">
      <c r="A227" s="138"/>
      <c r="B227" s="138"/>
      <c r="C227" s="138"/>
      <c r="D227" s="138"/>
      <c r="E227" s="138"/>
      <c r="F227" s="135"/>
      <c r="G227" s="135"/>
      <c r="H227" s="135"/>
      <c r="I227" s="135"/>
      <c r="J227" s="135"/>
      <c r="K227" s="135"/>
      <c r="L227" s="135"/>
      <c r="M227" s="135"/>
      <c r="N227" s="134"/>
      <c r="O227" s="94"/>
      <c r="P227" s="94"/>
      <c r="Q227" s="138"/>
      <c r="R227" s="138"/>
      <c r="S227" s="138"/>
      <c r="T227" s="138"/>
      <c r="U227" s="138"/>
      <c r="V227" s="138"/>
      <c r="W227" s="138"/>
    </row>
    <row r="228" spans="1:24" hidden="1" outlineLevel="1" x14ac:dyDescent="0.2">
      <c r="A228" s="138"/>
      <c r="B228" s="138"/>
      <c r="C228" s="134"/>
      <c r="D228" s="134"/>
      <c r="E228" s="134"/>
      <c r="F228" s="128"/>
      <c r="G228" s="128"/>
      <c r="H228" s="134"/>
      <c r="I228" s="134"/>
      <c r="J228" s="135"/>
      <c r="K228" s="134"/>
      <c r="L228" s="134"/>
      <c r="M228" s="134"/>
      <c r="N228" s="134"/>
      <c r="O228" s="94"/>
      <c r="P228" s="94"/>
      <c r="Q228" s="138"/>
      <c r="R228" s="138"/>
      <c r="S228" s="138"/>
      <c r="T228" s="138"/>
      <c r="U228" s="138"/>
      <c r="V228" s="138"/>
      <c r="W228" s="138"/>
    </row>
    <row r="229" spans="1:24" ht="15.75" collapsed="1" x14ac:dyDescent="0.2">
      <c r="A229" s="138"/>
      <c r="B229" s="330">
        <v>12</v>
      </c>
      <c r="C229" s="743" t="str">
        <f xml:space="preserve"> IF(B229&lt;=$I$61,"Restriction " &amp; B229 &amp; " of " &amp; $I$61,MsgNotUsed)</f>
        <v>** NOT USED **</v>
      </c>
      <c r="D229" s="744"/>
      <c r="E229" s="745"/>
      <c r="F229" s="128"/>
      <c r="G229" s="128"/>
      <c r="H229" s="493"/>
      <c r="I229" s="493"/>
      <c r="J229" s="494"/>
      <c r="K229" s="493"/>
      <c r="L229" s="494"/>
      <c r="M229" s="494"/>
      <c r="N229" s="493"/>
      <c r="O229" s="94"/>
      <c r="P229" s="94"/>
      <c r="Q229" s="138"/>
      <c r="R229" s="138"/>
      <c r="S229" s="138"/>
      <c r="T229" s="138"/>
      <c r="U229" s="138"/>
      <c r="V229" s="138"/>
      <c r="W229" s="138"/>
      <c r="X229" s="503"/>
    </row>
    <row r="230" spans="1:24" hidden="1" outlineLevel="1" x14ac:dyDescent="0.2">
      <c r="A230" s="138"/>
      <c r="B230" s="138"/>
      <c r="C230" s="547" t="s">
        <v>631</v>
      </c>
      <c r="D230" s="378"/>
      <c r="E230" s="43" t="str">
        <f>IF(D230&lt;&gt;"",VLOOKUP(D230,ProgrammeCode,2,FALSE),"")</f>
        <v/>
      </c>
      <c r="F230" s="106">
        <f>IF(D230&lt;&gt;"",VLOOKUP(D230,ProgrammeCode,3),0)</f>
        <v>0</v>
      </c>
      <c r="G230" s="111"/>
      <c r="H230" s="495" t="s">
        <v>632</v>
      </c>
      <c r="I230" s="378"/>
      <c r="J230" s="494" t="str">
        <f>IF(I230="New","N","")</f>
        <v/>
      </c>
      <c r="K230" s="493"/>
      <c r="L230" s="546" t="s">
        <v>778</v>
      </c>
      <c r="M230" s="503"/>
      <c r="N230" s="503"/>
      <c r="O230" s="503"/>
      <c r="P230" s="94"/>
      <c r="Q230" s="138"/>
      <c r="R230" s="138"/>
      <c r="S230" s="138"/>
      <c r="T230" s="138"/>
      <c r="U230" s="138"/>
      <c r="V230" s="138"/>
      <c r="W230" s="138"/>
      <c r="X230" s="503"/>
    </row>
    <row r="231" spans="1:24" hidden="1" outlineLevel="1" x14ac:dyDescent="0.2">
      <c r="A231" s="138"/>
      <c r="B231" s="138"/>
      <c r="C231" s="493"/>
      <c r="D231" s="493"/>
      <c r="E231" s="493"/>
      <c r="F231" s="493"/>
      <c r="G231" s="493"/>
      <c r="H231" s="131" t="s">
        <v>759</v>
      </c>
      <c r="I231" s="27"/>
      <c r="J231" s="494"/>
      <c r="K231" s="493"/>
      <c r="L231" s="724"/>
      <c r="M231" s="575"/>
      <c r="N231" s="725">
        <f>IF(L231&lt;&gt;"",VLOOKUP(L231,AuthorityCode,2,FALSE),0)</f>
        <v>0</v>
      </c>
      <c r="O231" s="503"/>
      <c r="P231" s="94"/>
      <c r="Q231" s="138"/>
      <c r="R231" s="138"/>
      <c r="S231" s="138"/>
      <c r="T231" s="138"/>
      <c r="U231" s="138"/>
      <c r="V231" s="138"/>
      <c r="W231" s="138"/>
      <c r="X231" s="503"/>
    </row>
    <row r="232" spans="1:24" hidden="1" outlineLevel="1" x14ac:dyDescent="0.2">
      <c r="A232" s="138"/>
      <c r="B232" s="138"/>
      <c r="C232" s="548" t="s">
        <v>57</v>
      </c>
      <c r="D232" s="313"/>
      <c r="E232" s="24"/>
      <c r="F232" s="106" t="str">
        <f>IF(E232&lt;&gt;"",VLOOKUP(E232,TPShortCode,3,FALSE),"")</f>
        <v/>
      </c>
      <c r="G232" s="136"/>
      <c r="H232" s="131" t="str">
        <f>VLOOKUP(F230,MaxQ,2,TRUE)</f>
        <v>Max quantity (units)</v>
      </c>
      <c r="I232" s="27"/>
      <c r="J232" s="494"/>
      <c r="K232" s="493"/>
      <c r="L232" s="724"/>
      <c r="M232" s="575"/>
      <c r="N232" s="575"/>
      <c r="O232" s="503"/>
      <c r="P232" s="94"/>
      <c r="Q232" s="138"/>
      <c r="R232" s="138"/>
      <c r="S232" s="138"/>
      <c r="T232" s="138"/>
      <c r="U232" s="138"/>
      <c r="V232" s="138"/>
      <c r="W232" s="138"/>
      <c r="X232" s="503"/>
    </row>
    <row r="233" spans="1:24" hidden="1" outlineLevel="1" x14ac:dyDescent="0.2">
      <c r="A233" s="138"/>
      <c r="B233" s="138"/>
      <c r="C233" s="493"/>
      <c r="D233" s="493"/>
      <c r="E233" s="26"/>
      <c r="F233" s="493"/>
      <c r="G233" s="493"/>
      <c r="H233" s="131" t="s">
        <v>633</v>
      </c>
      <c r="I233" s="27"/>
      <c r="J233" s="494"/>
      <c r="K233" s="493"/>
      <c r="L233" s="503"/>
      <c r="M233" s="503"/>
      <c r="N233" s="503"/>
      <c r="O233" s="503"/>
      <c r="P233" s="94"/>
      <c r="Q233" s="138"/>
      <c r="R233" s="138"/>
      <c r="S233" s="138"/>
      <c r="T233" s="138"/>
      <c r="U233" s="138"/>
      <c r="V233" s="138"/>
      <c r="W233" s="138"/>
      <c r="X233" s="503"/>
    </row>
    <row r="234" spans="1:24" hidden="1" outlineLevel="1" x14ac:dyDescent="0.2">
      <c r="A234" s="138"/>
      <c r="B234" s="138"/>
      <c r="C234" s="738" t="s">
        <v>634</v>
      </c>
      <c r="D234" s="739"/>
      <c r="E234" s="26"/>
      <c r="F234" s="493"/>
      <c r="G234" s="493"/>
      <c r="H234" s="494"/>
      <c r="I234" s="494"/>
      <c r="J234" s="494"/>
      <c r="K234" s="493"/>
      <c r="L234" s="503"/>
      <c r="M234" s="503"/>
      <c r="N234" s="503"/>
      <c r="O234" s="503"/>
      <c r="P234" s="494"/>
      <c r="Q234" s="138"/>
      <c r="R234" s="138"/>
      <c r="S234" s="138"/>
      <c r="T234" s="138"/>
      <c r="U234" s="138"/>
      <c r="V234" s="138"/>
      <c r="W234" s="138"/>
      <c r="X234" s="503"/>
    </row>
    <row r="235" spans="1:24" hidden="1" outlineLevel="1" x14ac:dyDescent="0.2">
      <c r="A235" s="138"/>
      <c r="B235" s="138"/>
      <c r="C235" s="738" t="s">
        <v>635</v>
      </c>
      <c r="D235" s="739"/>
      <c r="E235" s="26"/>
      <c r="F235" s="494"/>
      <c r="G235" s="494"/>
      <c r="H235" s="494"/>
      <c r="I235" s="494"/>
      <c r="J235" s="494"/>
      <c r="K235" s="493"/>
      <c r="L235" s="503"/>
      <c r="M235" s="503"/>
      <c r="N235" s="503"/>
      <c r="O235" s="503"/>
      <c r="P235" s="94"/>
      <c r="Q235" s="138"/>
      <c r="R235" s="138"/>
      <c r="S235" s="138"/>
      <c r="T235" s="138"/>
      <c r="U235" s="138"/>
      <c r="V235" s="138"/>
      <c r="W235" s="138"/>
      <c r="X235" s="503"/>
    </row>
    <row r="236" spans="1:24" hidden="1" outlineLevel="1" x14ac:dyDescent="0.2">
      <c r="A236" s="138"/>
      <c r="B236" s="138"/>
      <c r="C236" s="738" t="s">
        <v>636</v>
      </c>
      <c r="D236" s="739"/>
      <c r="E236" s="26"/>
      <c r="F236" s="494"/>
      <c r="G236" s="494"/>
      <c r="H236" s="494"/>
      <c r="I236" s="494"/>
      <c r="J236" s="494"/>
      <c r="K236" s="494"/>
      <c r="L236" s="503"/>
      <c r="M236" s="503"/>
      <c r="N236" s="503"/>
      <c r="O236" s="503"/>
      <c r="P236" s="94"/>
      <c r="Q236" s="138"/>
      <c r="R236" s="138"/>
      <c r="S236" s="138"/>
      <c r="T236" s="138"/>
      <c r="U236" s="138"/>
      <c r="V236" s="138"/>
      <c r="W236" s="138"/>
      <c r="X236" s="503"/>
    </row>
    <row r="237" spans="1:24" hidden="1" outlineLevel="1" x14ac:dyDescent="0.2">
      <c r="A237" s="138"/>
      <c r="B237" s="138"/>
      <c r="C237" s="738" t="s">
        <v>977</v>
      </c>
      <c r="D237" s="739"/>
      <c r="E237" s="44" t="str">
        <f>IF(AND(E235&lt;&gt;"",E236&lt;&gt;""),E235 &amp; " " &amp; E236,IF(E236&lt;&gt;"",E236,""))</f>
        <v/>
      </c>
      <c r="F237" s="494"/>
      <c r="G237" s="494"/>
      <c r="H237" s="494"/>
      <c r="I237" s="494"/>
      <c r="J237" s="494"/>
      <c r="K237" s="494"/>
      <c r="L237" s="494"/>
      <c r="M237" s="494"/>
      <c r="N237" s="493"/>
      <c r="O237" s="94"/>
      <c r="P237" s="94"/>
      <c r="Q237" s="138"/>
      <c r="R237" s="138"/>
      <c r="S237" s="138"/>
      <c r="T237" s="138"/>
      <c r="U237" s="138"/>
      <c r="V237" s="138"/>
      <c r="W237" s="138"/>
      <c r="X237" s="503"/>
    </row>
    <row r="238" spans="1:24" hidden="1" outlineLevel="1" x14ac:dyDescent="0.2">
      <c r="A238" s="138"/>
      <c r="B238" s="138"/>
      <c r="C238" s="738" t="s">
        <v>637</v>
      </c>
      <c r="D238" s="739"/>
      <c r="E238" s="26"/>
      <c r="F238" s="494"/>
      <c r="G238" s="494"/>
      <c r="H238" s="494"/>
      <c r="I238" s="494"/>
      <c r="J238" s="494"/>
      <c r="K238" s="494"/>
      <c r="L238" s="494"/>
      <c r="M238" s="494"/>
      <c r="N238" s="493"/>
      <c r="O238" s="94"/>
      <c r="P238" s="94"/>
      <c r="Q238" s="138"/>
      <c r="R238" s="138"/>
      <c r="S238" s="138"/>
      <c r="T238" s="138"/>
      <c r="U238" s="138"/>
      <c r="V238" s="138"/>
      <c r="W238" s="138"/>
      <c r="X238" s="503"/>
    </row>
    <row r="239" spans="1:24" hidden="1" outlineLevel="1" x14ac:dyDescent="0.2">
      <c r="A239" s="138"/>
      <c r="B239" s="138"/>
      <c r="C239" s="738" t="s">
        <v>638</v>
      </c>
      <c r="D239" s="739"/>
      <c r="E239" s="26"/>
      <c r="F239" s="494"/>
      <c r="G239" s="494"/>
      <c r="H239" s="494"/>
      <c r="I239" s="494"/>
      <c r="J239" s="494"/>
      <c r="K239" s="494"/>
      <c r="L239" s="494"/>
      <c r="M239" s="494"/>
      <c r="N239" s="493"/>
      <c r="O239" s="94"/>
      <c r="P239" s="94"/>
      <c r="Q239" s="138"/>
      <c r="R239" s="138"/>
      <c r="S239" s="138"/>
      <c r="T239" s="138"/>
      <c r="U239" s="138"/>
      <c r="V239" s="138"/>
      <c r="W239" s="138"/>
      <c r="X239" s="503"/>
    </row>
    <row r="240" spans="1:24" hidden="1" outlineLevel="1" x14ac:dyDescent="0.2">
      <c r="A240" s="138"/>
      <c r="B240" s="138"/>
      <c r="C240" s="738" t="s">
        <v>639</v>
      </c>
      <c r="D240" s="739"/>
      <c r="E240" s="26"/>
      <c r="F240" s="494"/>
      <c r="G240" s="494"/>
      <c r="H240" s="494"/>
      <c r="I240" s="494"/>
      <c r="J240" s="494"/>
      <c r="K240" s="494"/>
      <c r="L240" s="494"/>
      <c r="M240" s="494"/>
      <c r="N240" s="493"/>
      <c r="O240" s="94"/>
      <c r="P240" s="94"/>
      <c r="Q240" s="138"/>
      <c r="R240" s="138"/>
      <c r="S240" s="138"/>
      <c r="T240" s="138"/>
      <c r="U240" s="138"/>
      <c r="V240" s="138"/>
      <c r="W240" s="138"/>
      <c r="X240" s="503"/>
    </row>
    <row r="241" spans="1:24" hidden="1" outlineLevel="1" x14ac:dyDescent="0.2">
      <c r="A241" s="138"/>
      <c r="B241" s="138"/>
      <c r="C241" s="738" t="s">
        <v>640</v>
      </c>
      <c r="D241" s="739"/>
      <c r="E241" s="26"/>
      <c r="F241" s="494"/>
      <c r="G241" s="494"/>
      <c r="H241" s="494"/>
      <c r="I241" s="494"/>
      <c r="J241" s="494"/>
      <c r="K241" s="494"/>
      <c r="L241" s="494"/>
      <c r="M241" s="494"/>
      <c r="N241" s="493"/>
      <c r="O241" s="94"/>
      <c r="P241" s="94"/>
      <c r="Q241" s="138"/>
      <c r="R241" s="138"/>
      <c r="S241" s="138"/>
      <c r="T241" s="138"/>
      <c r="U241" s="138"/>
      <c r="V241" s="138"/>
      <c r="W241" s="138"/>
      <c r="X241" s="503"/>
    </row>
    <row r="242" spans="1:24" hidden="1" outlineLevel="1" x14ac:dyDescent="0.2">
      <c r="A242" s="138"/>
      <c r="B242" s="138"/>
      <c r="C242" s="138"/>
      <c r="D242" s="138"/>
      <c r="E242" s="138"/>
      <c r="F242" s="494"/>
      <c r="G242" s="494"/>
      <c r="H242" s="494"/>
      <c r="I242" s="494"/>
      <c r="J242" s="494"/>
      <c r="K242" s="494"/>
      <c r="L242" s="494"/>
      <c r="M242" s="494"/>
      <c r="N242" s="493"/>
      <c r="O242" s="94"/>
      <c r="P242" s="94"/>
      <c r="Q242" s="138"/>
      <c r="R242" s="138"/>
      <c r="S242" s="138"/>
      <c r="T242" s="138"/>
      <c r="U242" s="138"/>
      <c r="V242" s="138"/>
      <c r="W242" s="138"/>
      <c r="X242" s="503"/>
    </row>
    <row r="243" spans="1:24" hidden="1" outlineLevel="1" x14ac:dyDescent="0.2">
      <c r="A243" s="138"/>
      <c r="B243" s="138"/>
      <c r="C243" s="493"/>
      <c r="D243" s="493"/>
      <c r="E243" s="493"/>
      <c r="F243" s="128"/>
      <c r="G243" s="128"/>
      <c r="H243" s="493"/>
      <c r="I243" s="493"/>
      <c r="J243" s="494"/>
      <c r="K243" s="493"/>
      <c r="L243" s="493"/>
      <c r="M243" s="493"/>
      <c r="N243" s="493"/>
      <c r="O243" s="94"/>
      <c r="P243" s="94"/>
      <c r="Q243" s="138"/>
      <c r="R243" s="138"/>
      <c r="S243" s="138"/>
      <c r="T243" s="138"/>
      <c r="U243" s="138"/>
      <c r="V243" s="138"/>
      <c r="W243" s="138"/>
      <c r="X243" s="503"/>
    </row>
    <row r="244" spans="1:24" ht="15.75" collapsed="1" x14ac:dyDescent="0.2">
      <c r="A244" s="138"/>
      <c r="B244" s="330">
        <v>13</v>
      </c>
      <c r="C244" s="743" t="str">
        <f xml:space="preserve"> IF(B244&lt;=$I$61,"Restriction " &amp; B244 &amp; " of " &amp; $I$61,MsgNotUsed)</f>
        <v>** NOT USED **</v>
      </c>
      <c r="D244" s="744"/>
      <c r="E244" s="745"/>
      <c r="F244" s="128"/>
      <c r="G244" s="128"/>
      <c r="H244" s="493"/>
      <c r="I244" s="493"/>
      <c r="J244" s="494"/>
      <c r="K244" s="493"/>
      <c r="L244" s="494"/>
      <c r="M244" s="494"/>
      <c r="N244" s="493"/>
      <c r="O244" s="94"/>
      <c r="P244" s="94"/>
      <c r="Q244" s="138"/>
      <c r="R244" s="138"/>
      <c r="S244" s="138"/>
      <c r="T244" s="138"/>
      <c r="U244" s="138"/>
      <c r="V244" s="138"/>
      <c r="W244" s="138"/>
      <c r="X244" s="503"/>
    </row>
    <row r="245" spans="1:24" hidden="1" outlineLevel="1" x14ac:dyDescent="0.2">
      <c r="A245" s="138"/>
      <c r="B245" s="138"/>
      <c r="C245" s="547" t="s">
        <v>631</v>
      </c>
      <c r="D245" s="378"/>
      <c r="E245" s="43" t="str">
        <f>IF(D245&lt;&gt;"",VLOOKUP(D245,ProgrammeCode,2,FALSE),"")</f>
        <v/>
      </c>
      <c r="F245" s="106">
        <f>IF(D245&lt;&gt;"",VLOOKUP(D245,ProgrammeCode,3),0)</f>
        <v>0</v>
      </c>
      <c r="G245" s="111"/>
      <c r="H245" s="495" t="s">
        <v>632</v>
      </c>
      <c r="I245" s="378"/>
      <c r="J245" s="494" t="str">
        <f>IF(I245="New","N","")</f>
        <v/>
      </c>
      <c r="K245" s="493"/>
      <c r="L245" s="546" t="s">
        <v>778</v>
      </c>
      <c r="M245" s="503"/>
      <c r="N245" s="503"/>
      <c r="O245" s="503"/>
      <c r="P245" s="503"/>
      <c r="Q245" s="138"/>
      <c r="R245" s="138"/>
      <c r="S245" s="138"/>
      <c r="T245" s="138"/>
      <c r="U245" s="138"/>
      <c r="V245" s="138"/>
      <c r="W245" s="138"/>
      <c r="X245" s="503"/>
    </row>
    <row r="246" spans="1:24" hidden="1" outlineLevel="1" x14ac:dyDescent="0.2">
      <c r="A246" s="138"/>
      <c r="B246" s="138"/>
      <c r="C246" s="493"/>
      <c r="D246" s="493"/>
      <c r="E246" s="493"/>
      <c r="F246" s="493"/>
      <c r="G246" s="493"/>
      <c r="H246" s="131" t="s">
        <v>759</v>
      </c>
      <c r="I246" s="27"/>
      <c r="J246" s="494"/>
      <c r="K246" s="493"/>
      <c r="L246" s="724"/>
      <c r="M246" s="575"/>
      <c r="N246" s="725">
        <f>IF(L246&lt;&gt;"",VLOOKUP(L246,AuthorityCode,2,FALSE),0)</f>
        <v>0</v>
      </c>
      <c r="O246" s="503"/>
      <c r="P246" s="503"/>
      <c r="Q246" s="138"/>
      <c r="R246" s="138"/>
      <c r="S246" s="138"/>
      <c r="T246" s="138"/>
      <c r="U246" s="138"/>
      <c r="V246" s="138"/>
      <c r="W246" s="138"/>
      <c r="X246" s="503"/>
    </row>
    <row r="247" spans="1:24" hidden="1" outlineLevel="1" x14ac:dyDescent="0.2">
      <c r="A247" s="138"/>
      <c r="B247" s="138"/>
      <c r="C247" s="548" t="s">
        <v>57</v>
      </c>
      <c r="D247" s="313"/>
      <c r="E247" s="24"/>
      <c r="F247" s="106" t="str">
        <f>IF(E247&lt;&gt;"",VLOOKUP(E247,TPShortCode,3,FALSE),"")</f>
        <v/>
      </c>
      <c r="G247" s="136"/>
      <c r="H247" s="131" t="str">
        <f>VLOOKUP(F245,MaxQ,2,TRUE)</f>
        <v>Max quantity (units)</v>
      </c>
      <c r="I247" s="27"/>
      <c r="J247" s="494"/>
      <c r="K247" s="493"/>
      <c r="L247" s="724"/>
      <c r="M247" s="575"/>
      <c r="N247" s="575"/>
      <c r="O247" s="503"/>
      <c r="P247" s="503"/>
      <c r="Q247" s="138"/>
      <c r="R247" s="138"/>
      <c r="S247" s="138"/>
      <c r="T247" s="138"/>
      <c r="U247" s="138"/>
      <c r="V247" s="138"/>
      <c r="W247" s="138"/>
      <c r="X247" s="503"/>
    </row>
    <row r="248" spans="1:24" hidden="1" outlineLevel="1" x14ac:dyDescent="0.2">
      <c r="A248" s="138"/>
      <c r="B248" s="138"/>
      <c r="C248" s="493"/>
      <c r="D248" s="493"/>
      <c r="E248" s="26"/>
      <c r="F248" s="493"/>
      <c r="G248" s="493"/>
      <c r="H248" s="131" t="s">
        <v>633</v>
      </c>
      <c r="I248" s="27"/>
      <c r="J248" s="494"/>
      <c r="K248" s="493"/>
      <c r="L248" s="503"/>
      <c r="M248" s="503"/>
      <c r="N248" s="503"/>
      <c r="O248" s="503"/>
      <c r="P248" s="503"/>
      <c r="Q248" s="138"/>
      <c r="R248" s="138"/>
      <c r="S248" s="138"/>
      <c r="T248" s="138"/>
      <c r="U248" s="138"/>
      <c r="V248" s="138"/>
      <c r="W248" s="138"/>
      <c r="X248" s="503"/>
    </row>
    <row r="249" spans="1:24" hidden="1" outlineLevel="1" x14ac:dyDescent="0.2">
      <c r="A249" s="138"/>
      <c r="B249" s="138"/>
      <c r="C249" s="738" t="s">
        <v>634</v>
      </c>
      <c r="D249" s="739"/>
      <c r="E249" s="26"/>
      <c r="F249" s="493"/>
      <c r="G249" s="493"/>
      <c r="H249" s="494"/>
      <c r="I249" s="494"/>
      <c r="J249" s="494"/>
      <c r="K249" s="493"/>
      <c r="L249" s="503"/>
      <c r="M249" s="503"/>
      <c r="N249" s="503"/>
      <c r="O249" s="503"/>
      <c r="P249" s="503"/>
      <c r="Q249" s="138"/>
      <c r="R249" s="138"/>
      <c r="S249" s="138"/>
      <c r="T249" s="138"/>
      <c r="U249" s="138"/>
      <c r="V249" s="138"/>
      <c r="W249" s="138"/>
      <c r="X249" s="503"/>
    </row>
    <row r="250" spans="1:24" hidden="1" outlineLevel="1" x14ac:dyDescent="0.2">
      <c r="A250" s="138"/>
      <c r="B250" s="138"/>
      <c r="C250" s="738" t="s">
        <v>635</v>
      </c>
      <c r="D250" s="739"/>
      <c r="E250" s="26"/>
      <c r="F250" s="494"/>
      <c r="G250" s="494"/>
      <c r="H250" s="494"/>
      <c r="I250" s="494"/>
      <c r="J250" s="494"/>
      <c r="K250" s="493"/>
      <c r="L250" s="503"/>
      <c r="M250" s="503"/>
      <c r="N250" s="503"/>
      <c r="O250" s="503"/>
      <c r="P250" s="503"/>
      <c r="Q250" s="138"/>
      <c r="R250" s="138"/>
      <c r="S250" s="138"/>
      <c r="T250" s="138"/>
      <c r="U250" s="138"/>
      <c r="V250" s="138"/>
      <c r="W250" s="138"/>
      <c r="X250" s="503"/>
    </row>
    <row r="251" spans="1:24" hidden="1" outlineLevel="1" x14ac:dyDescent="0.2">
      <c r="A251" s="138"/>
      <c r="B251" s="138"/>
      <c r="C251" s="738" t="s">
        <v>636</v>
      </c>
      <c r="D251" s="739"/>
      <c r="E251" s="26"/>
      <c r="F251" s="494"/>
      <c r="G251" s="494"/>
      <c r="H251" s="494"/>
      <c r="I251" s="494"/>
      <c r="J251" s="494"/>
      <c r="K251" s="494"/>
      <c r="L251" s="503"/>
      <c r="M251" s="503"/>
      <c r="N251" s="503"/>
      <c r="O251" s="503"/>
      <c r="P251" s="503"/>
      <c r="Q251" s="138"/>
      <c r="R251" s="138"/>
      <c r="S251" s="138"/>
      <c r="T251" s="138"/>
      <c r="U251" s="138"/>
      <c r="V251" s="138"/>
      <c r="W251" s="138"/>
      <c r="X251" s="503"/>
    </row>
    <row r="252" spans="1:24" hidden="1" outlineLevel="1" x14ac:dyDescent="0.2">
      <c r="A252" s="138"/>
      <c r="B252" s="138"/>
      <c r="C252" s="738" t="s">
        <v>977</v>
      </c>
      <c r="D252" s="739"/>
      <c r="E252" s="44" t="str">
        <f>IF(AND(E250&lt;&gt;"",E251&lt;&gt;""),E250 &amp; " " &amp; E251,IF(E251&lt;&gt;"",E251,""))</f>
        <v/>
      </c>
      <c r="F252" s="494"/>
      <c r="G252" s="494"/>
      <c r="H252" s="494"/>
      <c r="I252" s="494"/>
      <c r="J252" s="494"/>
      <c r="K252" s="494"/>
      <c r="L252" s="494"/>
      <c r="M252" s="494"/>
      <c r="N252" s="493"/>
      <c r="O252" s="94"/>
      <c r="P252" s="94"/>
      <c r="Q252" s="138"/>
      <c r="R252" s="138"/>
      <c r="S252" s="138"/>
      <c r="T252" s="138"/>
      <c r="U252" s="138"/>
      <c r="V252" s="138"/>
      <c r="W252" s="138"/>
      <c r="X252" s="503"/>
    </row>
    <row r="253" spans="1:24" hidden="1" outlineLevel="1" x14ac:dyDescent="0.2">
      <c r="A253" s="138"/>
      <c r="B253" s="138"/>
      <c r="C253" s="738" t="s">
        <v>637</v>
      </c>
      <c r="D253" s="739"/>
      <c r="E253" s="26"/>
      <c r="F253" s="494"/>
      <c r="G253" s="494"/>
      <c r="H253" s="140"/>
      <c r="I253" s="140"/>
      <c r="J253" s="494"/>
      <c r="K253" s="494"/>
      <c r="L253" s="494"/>
      <c r="M253" s="494"/>
      <c r="N253" s="493"/>
      <c r="O253" s="94"/>
      <c r="P253" s="94"/>
      <c r="Q253" s="138"/>
      <c r="R253" s="138"/>
      <c r="S253" s="138"/>
      <c r="T253" s="138"/>
      <c r="U253" s="138"/>
      <c r="V253" s="138"/>
      <c r="W253" s="138"/>
      <c r="X253" s="503"/>
    </row>
    <row r="254" spans="1:24" hidden="1" outlineLevel="1" x14ac:dyDescent="0.2">
      <c r="A254" s="138"/>
      <c r="B254" s="138"/>
      <c r="C254" s="738" t="s">
        <v>638</v>
      </c>
      <c r="D254" s="739"/>
      <c r="E254" s="26"/>
      <c r="F254" s="494"/>
      <c r="G254" s="494"/>
      <c r="H254" s="140"/>
      <c r="I254" s="140"/>
      <c r="J254" s="494"/>
      <c r="K254" s="494"/>
      <c r="L254" s="494"/>
      <c r="M254" s="494"/>
      <c r="N254" s="493"/>
      <c r="O254" s="94"/>
      <c r="P254" s="94"/>
      <c r="Q254" s="138"/>
      <c r="R254" s="138"/>
      <c r="S254" s="138"/>
      <c r="T254" s="138"/>
      <c r="U254" s="138"/>
      <c r="V254" s="138"/>
      <c r="W254" s="138"/>
      <c r="X254" s="503"/>
    </row>
    <row r="255" spans="1:24" hidden="1" outlineLevel="1" x14ac:dyDescent="0.2">
      <c r="A255" s="138"/>
      <c r="B255" s="138"/>
      <c r="C255" s="738" t="s">
        <v>639</v>
      </c>
      <c r="D255" s="739"/>
      <c r="E255" s="26"/>
      <c r="F255" s="494"/>
      <c r="G255" s="494"/>
      <c r="H255" s="494"/>
      <c r="I255" s="494"/>
      <c r="J255" s="494"/>
      <c r="K255" s="494"/>
      <c r="L255" s="494"/>
      <c r="M255" s="494"/>
      <c r="N255" s="493"/>
      <c r="O255" s="94"/>
      <c r="P255" s="94"/>
      <c r="Q255" s="138"/>
      <c r="R255" s="138"/>
      <c r="S255" s="138"/>
      <c r="T255" s="138"/>
      <c r="U255" s="138"/>
      <c r="V255" s="138"/>
      <c r="W255" s="138"/>
      <c r="X255" s="503"/>
    </row>
    <row r="256" spans="1:24" hidden="1" outlineLevel="1" x14ac:dyDescent="0.2">
      <c r="A256" s="138"/>
      <c r="B256" s="138"/>
      <c r="C256" s="738" t="s">
        <v>640</v>
      </c>
      <c r="D256" s="739"/>
      <c r="E256" s="26"/>
      <c r="F256" s="494"/>
      <c r="G256" s="494"/>
      <c r="H256" s="494"/>
      <c r="I256" s="494"/>
      <c r="J256" s="494"/>
      <c r="K256" s="494"/>
      <c r="L256" s="494"/>
      <c r="M256" s="494"/>
      <c r="N256" s="493"/>
      <c r="O256" s="94"/>
      <c r="P256" s="94"/>
      <c r="Q256" s="138"/>
      <c r="R256" s="138"/>
      <c r="S256" s="138"/>
      <c r="T256" s="138"/>
      <c r="U256" s="138"/>
      <c r="V256" s="138"/>
      <c r="W256" s="138"/>
      <c r="X256" s="503"/>
    </row>
    <row r="257" spans="1:24" hidden="1" outlineLevel="1" x14ac:dyDescent="0.2">
      <c r="A257" s="138"/>
      <c r="B257" s="138"/>
      <c r="C257" s="138"/>
      <c r="D257" s="138"/>
      <c r="E257" s="138"/>
      <c r="F257" s="494"/>
      <c r="G257" s="494"/>
      <c r="H257" s="494"/>
      <c r="I257" s="494"/>
      <c r="J257" s="494"/>
      <c r="K257" s="494"/>
      <c r="L257" s="494"/>
      <c r="M257" s="494"/>
      <c r="N257" s="493"/>
      <c r="O257" s="94"/>
      <c r="P257" s="94"/>
      <c r="Q257" s="138"/>
      <c r="R257" s="138"/>
      <c r="S257" s="138"/>
      <c r="T257" s="138"/>
      <c r="U257" s="138"/>
      <c r="V257" s="138"/>
      <c r="W257" s="138"/>
      <c r="X257" s="503"/>
    </row>
    <row r="258" spans="1:24" hidden="1" outlineLevel="1" x14ac:dyDescent="0.2">
      <c r="A258" s="138"/>
      <c r="B258" s="138"/>
      <c r="C258" s="494"/>
      <c r="D258" s="494"/>
      <c r="E258" s="494"/>
      <c r="F258" s="128"/>
      <c r="G258" s="128"/>
      <c r="H258" s="493"/>
      <c r="I258" s="493"/>
      <c r="J258" s="494"/>
      <c r="K258" s="493"/>
      <c r="L258" s="493"/>
      <c r="M258" s="493"/>
      <c r="N258" s="493"/>
      <c r="O258" s="94"/>
      <c r="P258" s="94"/>
      <c r="Q258" s="138"/>
      <c r="R258" s="138"/>
      <c r="S258" s="138"/>
      <c r="T258" s="138"/>
      <c r="U258" s="138"/>
      <c r="V258" s="138"/>
      <c r="W258" s="138"/>
      <c r="X258" s="503"/>
    </row>
    <row r="259" spans="1:24" ht="15.75" collapsed="1" x14ac:dyDescent="0.2">
      <c r="A259" s="138"/>
      <c r="B259" s="330">
        <v>14</v>
      </c>
      <c r="C259" s="743" t="str">
        <f xml:space="preserve"> IF(B259&lt;=$I$61,"Restriction " &amp; B259 &amp; " of " &amp; $I$61,MsgNotUsed)</f>
        <v>** NOT USED **</v>
      </c>
      <c r="D259" s="744"/>
      <c r="E259" s="745"/>
      <c r="F259" s="128"/>
      <c r="G259" s="128"/>
      <c r="H259" s="493"/>
      <c r="I259" s="493"/>
      <c r="J259" s="494"/>
      <c r="K259" s="493"/>
      <c r="L259" s="494"/>
      <c r="M259" s="494"/>
      <c r="N259" s="493"/>
      <c r="O259" s="94"/>
      <c r="P259" s="94"/>
      <c r="Q259" s="138"/>
      <c r="R259" s="138"/>
      <c r="S259" s="138"/>
      <c r="T259" s="138"/>
      <c r="U259" s="138"/>
      <c r="V259" s="138"/>
      <c r="W259" s="138"/>
      <c r="X259" s="503"/>
    </row>
    <row r="260" spans="1:24" hidden="1" outlineLevel="1" x14ac:dyDescent="0.2">
      <c r="A260" s="138"/>
      <c r="B260" s="138"/>
      <c r="C260" s="547" t="s">
        <v>631</v>
      </c>
      <c r="D260" s="378"/>
      <c r="E260" s="43" t="str">
        <f>IF(D260&lt;&gt;"",VLOOKUP(D260,ProgrammeCode,2,FALSE),"")</f>
        <v/>
      </c>
      <c r="F260" s="106">
        <f>IF(D260&lt;&gt;"",VLOOKUP(D260,ProgrammeCode,3),0)</f>
        <v>0</v>
      </c>
      <c r="G260" s="111"/>
      <c r="H260" s="495" t="s">
        <v>632</v>
      </c>
      <c r="I260" s="378"/>
      <c r="J260" s="494" t="str">
        <f>IF(I260="New","N","")</f>
        <v/>
      </c>
      <c r="K260" s="493"/>
      <c r="L260" s="546" t="s">
        <v>778</v>
      </c>
      <c r="M260" s="503"/>
      <c r="N260" s="503"/>
      <c r="O260" s="503"/>
      <c r="P260" s="94"/>
      <c r="Q260" s="138"/>
      <c r="R260" s="138"/>
      <c r="S260" s="138"/>
      <c r="T260" s="138"/>
      <c r="U260" s="138"/>
      <c r="V260" s="138"/>
      <c r="W260" s="138"/>
      <c r="X260" s="503"/>
    </row>
    <row r="261" spans="1:24" hidden="1" outlineLevel="1" x14ac:dyDescent="0.2">
      <c r="A261" s="138"/>
      <c r="B261" s="138"/>
      <c r="C261" s="493"/>
      <c r="D261" s="493"/>
      <c r="E261" s="493"/>
      <c r="F261" s="493"/>
      <c r="G261" s="493"/>
      <c r="H261" s="131" t="s">
        <v>759</v>
      </c>
      <c r="I261" s="27"/>
      <c r="J261" s="494"/>
      <c r="K261" s="493"/>
      <c r="L261" s="724"/>
      <c r="M261" s="575"/>
      <c r="N261" s="725">
        <f>IF(L261&lt;&gt;"",VLOOKUP(L261,AuthorityCode,2,FALSE),0)</f>
        <v>0</v>
      </c>
      <c r="O261" s="503"/>
      <c r="P261" s="94"/>
      <c r="Q261" s="138"/>
      <c r="R261" s="138"/>
      <c r="S261" s="138"/>
      <c r="T261" s="138"/>
      <c r="U261" s="138"/>
      <c r="V261" s="138"/>
      <c r="W261" s="138"/>
      <c r="X261" s="503"/>
    </row>
    <row r="262" spans="1:24" hidden="1" outlineLevel="1" x14ac:dyDescent="0.2">
      <c r="A262" s="138"/>
      <c r="B262" s="138"/>
      <c r="C262" s="548" t="s">
        <v>57</v>
      </c>
      <c r="D262" s="313"/>
      <c r="E262" s="24"/>
      <c r="F262" s="106" t="str">
        <f>IF(E262&lt;&gt;"",VLOOKUP(E262,TPShortCode,3,FALSE),"")</f>
        <v/>
      </c>
      <c r="G262" s="136"/>
      <c r="H262" s="131" t="str">
        <f>VLOOKUP(F260,MaxQ,2,TRUE)</f>
        <v>Max quantity (units)</v>
      </c>
      <c r="I262" s="27"/>
      <c r="J262" s="494"/>
      <c r="K262" s="493"/>
      <c r="L262" s="724"/>
      <c r="M262" s="575"/>
      <c r="N262" s="575"/>
      <c r="O262" s="503"/>
      <c r="P262" s="94"/>
      <c r="Q262" s="138"/>
      <c r="R262" s="138"/>
      <c r="S262" s="138"/>
      <c r="T262" s="138"/>
      <c r="U262" s="138"/>
      <c r="V262" s="138"/>
      <c r="W262" s="138"/>
      <c r="X262" s="503"/>
    </row>
    <row r="263" spans="1:24" hidden="1" outlineLevel="1" x14ac:dyDescent="0.2">
      <c r="A263" s="138"/>
      <c r="B263" s="138"/>
      <c r="C263" s="493"/>
      <c r="D263" s="493"/>
      <c r="E263" s="26"/>
      <c r="F263" s="493"/>
      <c r="G263" s="493"/>
      <c r="H263" s="131" t="s">
        <v>633</v>
      </c>
      <c r="I263" s="27"/>
      <c r="J263" s="494"/>
      <c r="K263" s="493"/>
      <c r="L263" s="503"/>
      <c r="M263" s="503"/>
      <c r="N263" s="503"/>
      <c r="O263" s="503"/>
      <c r="P263" s="94"/>
      <c r="Q263" s="138"/>
      <c r="R263" s="138"/>
      <c r="S263" s="138"/>
      <c r="T263" s="138"/>
      <c r="U263" s="138"/>
      <c r="V263" s="138"/>
      <c r="W263" s="138"/>
      <c r="X263" s="503"/>
    </row>
    <row r="264" spans="1:24" hidden="1" outlineLevel="1" x14ac:dyDescent="0.2">
      <c r="A264" s="138"/>
      <c r="B264" s="138"/>
      <c r="C264" s="738" t="s">
        <v>634</v>
      </c>
      <c r="D264" s="739"/>
      <c r="E264" s="26"/>
      <c r="F264" s="493"/>
      <c r="G264" s="493"/>
      <c r="H264" s="494"/>
      <c r="I264" s="494"/>
      <c r="J264" s="494"/>
      <c r="K264" s="493"/>
      <c r="L264" s="503"/>
      <c r="M264" s="503"/>
      <c r="N264" s="503"/>
      <c r="O264" s="503"/>
      <c r="P264" s="494"/>
      <c r="Q264" s="138"/>
      <c r="R264" s="138"/>
      <c r="S264" s="138"/>
      <c r="T264" s="138"/>
      <c r="U264" s="138"/>
      <c r="V264" s="138"/>
      <c r="W264" s="138"/>
      <c r="X264" s="503"/>
    </row>
    <row r="265" spans="1:24" hidden="1" outlineLevel="1" x14ac:dyDescent="0.2">
      <c r="A265" s="138"/>
      <c r="B265" s="138"/>
      <c r="C265" s="738" t="s">
        <v>635</v>
      </c>
      <c r="D265" s="739"/>
      <c r="E265" s="26"/>
      <c r="F265" s="494"/>
      <c r="G265" s="494"/>
      <c r="H265" s="494"/>
      <c r="I265" s="494"/>
      <c r="J265" s="494"/>
      <c r="K265" s="493"/>
      <c r="L265" s="503"/>
      <c r="M265" s="503"/>
      <c r="N265" s="503"/>
      <c r="O265" s="503"/>
      <c r="P265" s="94"/>
      <c r="Q265" s="138"/>
      <c r="R265" s="138"/>
      <c r="S265" s="138"/>
      <c r="T265" s="138"/>
      <c r="U265" s="138"/>
      <c r="V265" s="138"/>
      <c r="W265" s="138"/>
      <c r="X265" s="503"/>
    </row>
    <row r="266" spans="1:24" hidden="1" outlineLevel="1" x14ac:dyDescent="0.2">
      <c r="A266" s="138"/>
      <c r="B266" s="138"/>
      <c r="C266" s="738" t="s">
        <v>636</v>
      </c>
      <c r="D266" s="739"/>
      <c r="E266" s="26"/>
      <c r="F266" s="494"/>
      <c r="G266" s="494"/>
      <c r="H266" s="494"/>
      <c r="I266" s="494"/>
      <c r="J266" s="494"/>
      <c r="K266" s="494"/>
      <c r="L266" s="503"/>
      <c r="M266" s="503"/>
      <c r="N266" s="503"/>
      <c r="O266" s="503"/>
      <c r="P266" s="94"/>
      <c r="Q266" s="138"/>
      <c r="R266" s="138"/>
      <c r="S266" s="138"/>
      <c r="T266" s="138"/>
      <c r="U266" s="138"/>
      <c r="V266" s="138"/>
      <c r="W266" s="138"/>
      <c r="X266" s="503"/>
    </row>
    <row r="267" spans="1:24" hidden="1" outlineLevel="1" x14ac:dyDescent="0.2">
      <c r="A267" s="138"/>
      <c r="B267" s="138"/>
      <c r="C267" s="738" t="s">
        <v>977</v>
      </c>
      <c r="D267" s="739"/>
      <c r="E267" s="44" t="str">
        <f>IF(AND(E265&lt;&gt;"",E266&lt;&gt;""),E265 &amp; " " &amp; E266,IF(E266&lt;&gt;"",E266,""))</f>
        <v/>
      </c>
      <c r="F267" s="494"/>
      <c r="G267" s="494"/>
      <c r="H267" s="494"/>
      <c r="I267" s="494"/>
      <c r="J267" s="494"/>
      <c r="K267" s="494"/>
      <c r="L267" s="494"/>
      <c r="M267" s="494"/>
      <c r="N267" s="493"/>
      <c r="O267" s="94"/>
      <c r="P267" s="94"/>
      <c r="Q267" s="138"/>
      <c r="R267" s="138"/>
      <c r="S267" s="138"/>
      <c r="T267" s="138"/>
      <c r="U267" s="138"/>
      <c r="V267" s="138"/>
      <c r="W267" s="138"/>
      <c r="X267" s="503"/>
    </row>
    <row r="268" spans="1:24" hidden="1" outlineLevel="1" x14ac:dyDescent="0.2">
      <c r="A268" s="138"/>
      <c r="B268" s="138"/>
      <c r="C268" s="738" t="s">
        <v>637</v>
      </c>
      <c r="D268" s="739"/>
      <c r="E268" s="26"/>
      <c r="F268" s="494"/>
      <c r="G268" s="494"/>
      <c r="H268" s="494"/>
      <c r="I268" s="494"/>
      <c r="J268" s="494"/>
      <c r="K268" s="494"/>
      <c r="L268" s="494"/>
      <c r="M268" s="494"/>
      <c r="N268" s="493"/>
      <c r="O268" s="94"/>
      <c r="P268" s="94"/>
      <c r="Q268" s="138"/>
      <c r="R268" s="138"/>
      <c r="S268" s="138"/>
      <c r="T268" s="138"/>
      <c r="U268" s="138"/>
      <c r="V268" s="138"/>
      <c r="W268" s="138"/>
      <c r="X268" s="503"/>
    </row>
    <row r="269" spans="1:24" hidden="1" outlineLevel="1" x14ac:dyDescent="0.2">
      <c r="A269" s="138"/>
      <c r="B269" s="138"/>
      <c r="C269" s="738" t="s">
        <v>638</v>
      </c>
      <c r="D269" s="739"/>
      <c r="E269" s="26"/>
      <c r="F269" s="494"/>
      <c r="G269" s="494"/>
      <c r="H269" s="494"/>
      <c r="I269" s="494"/>
      <c r="J269" s="494"/>
      <c r="K269" s="494"/>
      <c r="L269" s="494"/>
      <c r="M269" s="494"/>
      <c r="N269" s="493"/>
      <c r="O269" s="94"/>
      <c r="P269" s="94"/>
      <c r="Q269" s="138"/>
      <c r="R269" s="138"/>
      <c r="S269" s="138"/>
      <c r="T269" s="138"/>
      <c r="U269" s="138"/>
      <c r="V269" s="138"/>
      <c r="W269" s="138"/>
      <c r="X269" s="503"/>
    </row>
    <row r="270" spans="1:24" hidden="1" outlineLevel="1" x14ac:dyDescent="0.2">
      <c r="A270" s="138"/>
      <c r="B270" s="138"/>
      <c r="C270" s="738" t="s">
        <v>639</v>
      </c>
      <c r="D270" s="739"/>
      <c r="E270" s="26"/>
      <c r="F270" s="494"/>
      <c r="G270" s="494"/>
      <c r="H270" s="494"/>
      <c r="I270" s="494"/>
      <c r="J270" s="494"/>
      <c r="K270" s="494"/>
      <c r="L270" s="494"/>
      <c r="M270" s="494"/>
      <c r="N270" s="493"/>
      <c r="O270" s="94"/>
      <c r="P270" s="94"/>
      <c r="Q270" s="138"/>
      <c r="R270" s="138"/>
      <c r="S270" s="138"/>
      <c r="T270" s="138"/>
      <c r="U270" s="138"/>
      <c r="V270" s="138"/>
      <c r="W270" s="138"/>
      <c r="X270" s="503"/>
    </row>
    <row r="271" spans="1:24" hidden="1" outlineLevel="1" x14ac:dyDescent="0.2">
      <c r="A271" s="138"/>
      <c r="B271" s="138"/>
      <c r="C271" s="738" t="s">
        <v>640</v>
      </c>
      <c r="D271" s="739"/>
      <c r="E271" s="26"/>
      <c r="F271" s="494"/>
      <c r="G271" s="494"/>
      <c r="H271" s="494"/>
      <c r="I271" s="494"/>
      <c r="J271" s="494"/>
      <c r="K271" s="494"/>
      <c r="L271" s="494"/>
      <c r="M271" s="494"/>
      <c r="N271" s="493"/>
      <c r="O271" s="94"/>
      <c r="P271" s="94"/>
      <c r="Q271" s="138"/>
      <c r="R271" s="138"/>
      <c r="S271" s="138"/>
      <c r="T271" s="138"/>
      <c r="U271" s="138"/>
      <c r="V271" s="138"/>
      <c r="W271" s="138"/>
      <c r="X271" s="503"/>
    </row>
    <row r="272" spans="1:24" hidden="1" outlineLevel="1" x14ac:dyDescent="0.2">
      <c r="A272" s="138"/>
      <c r="B272" s="138"/>
      <c r="C272" s="137"/>
      <c r="D272" s="137"/>
      <c r="E272" s="136"/>
      <c r="F272" s="494"/>
      <c r="G272" s="494"/>
      <c r="H272" s="494"/>
      <c r="I272" s="494"/>
      <c r="J272" s="494"/>
      <c r="K272" s="494"/>
      <c r="L272" s="494"/>
      <c r="M272" s="494"/>
      <c r="N272" s="493"/>
      <c r="O272" s="94"/>
      <c r="P272" s="94"/>
      <c r="Q272" s="138"/>
      <c r="R272" s="138"/>
      <c r="S272" s="138"/>
      <c r="T272" s="138"/>
      <c r="U272" s="138"/>
      <c r="V272" s="138"/>
      <c r="W272" s="138"/>
      <c r="X272" s="503"/>
    </row>
    <row r="273" spans="1:24" hidden="1" outlineLevel="1" x14ac:dyDescent="0.2">
      <c r="A273" s="138"/>
      <c r="B273" s="138"/>
      <c r="C273" s="493"/>
      <c r="D273" s="493"/>
      <c r="E273" s="493"/>
      <c r="F273" s="128"/>
      <c r="G273" s="128"/>
      <c r="H273" s="493"/>
      <c r="I273" s="493"/>
      <c r="J273" s="494"/>
      <c r="K273" s="493"/>
      <c r="L273" s="493"/>
      <c r="M273" s="493"/>
      <c r="N273" s="493"/>
      <c r="O273" s="94"/>
      <c r="P273" s="94"/>
      <c r="Q273" s="138"/>
      <c r="R273" s="138"/>
      <c r="S273" s="138"/>
      <c r="T273" s="138"/>
      <c r="U273" s="138"/>
      <c r="V273" s="138"/>
      <c r="W273" s="138"/>
      <c r="X273" s="503"/>
    </row>
    <row r="274" spans="1:24" ht="15.75" collapsed="1" x14ac:dyDescent="0.2">
      <c r="A274" s="138"/>
      <c r="B274" s="330">
        <v>15</v>
      </c>
      <c r="C274" s="743" t="str">
        <f xml:space="preserve"> IF(B274&lt;=$I$61,"Restriction " &amp; B274 &amp; " of " &amp; $I$61,MsgNotUsed)</f>
        <v>** NOT USED **</v>
      </c>
      <c r="D274" s="744"/>
      <c r="E274" s="745"/>
      <c r="F274" s="128"/>
      <c r="G274" s="128"/>
      <c r="H274" s="493"/>
      <c r="I274" s="493"/>
      <c r="J274" s="494"/>
      <c r="K274" s="493"/>
      <c r="L274" s="494"/>
      <c r="M274" s="494"/>
      <c r="N274" s="493"/>
      <c r="O274" s="94"/>
      <c r="P274" s="94"/>
      <c r="Q274" s="138"/>
      <c r="R274" s="138"/>
      <c r="S274" s="138"/>
      <c r="T274" s="138"/>
      <c r="U274" s="138"/>
      <c r="V274" s="138"/>
      <c r="W274" s="138"/>
      <c r="X274" s="503"/>
    </row>
    <row r="275" spans="1:24" hidden="1" outlineLevel="1" x14ac:dyDescent="0.2">
      <c r="A275" s="138"/>
      <c r="B275" s="138"/>
      <c r="C275" s="547" t="s">
        <v>631</v>
      </c>
      <c r="D275" s="378"/>
      <c r="E275" s="43" t="str">
        <f>IF(D275&lt;&gt;"",VLOOKUP(D275,ProgrammeCode,2,FALSE),"")</f>
        <v/>
      </c>
      <c r="F275" s="106">
        <f>IF(D275&lt;&gt;"",VLOOKUP(D275,ProgrammeCode,3),0)</f>
        <v>0</v>
      </c>
      <c r="G275" s="111"/>
      <c r="H275" s="495" t="s">
        <v>632</v>
      </c>
      <c r="I275" s="378"/>
      <c r="J275" s="494" t="str">
        <f>IF(I275="New","N","")</f>
        <v/>
      </c>
      <c r="K275" s="493"/>
      <c r="L275" s="546" t="s">
        <v>778</v>
      </c>
      <c r="M275" s="503"/>
      <c r="N275" s="503"/>
      <c r="O275" s="503"/>
      <c r="P275" s="94"/>
      <c r="Q275" s="138"/>
      <c r="R275" s="138"/>
      <c r="S275" s="138"/>
      <c r="T275" s="138"/>
      <c r="U275" s="138"/>
      <c r="V275" s="138"/>
      <c r="W275" s="138"/>
      <c r="X275" s="503"/>
    </row>
    <row r="276" spans="1:24" hidden="1" outlineLevel="1" x14ac:dyDescent="0.2">
      <c r="A276" s="138"/>
      <c r="B276" s="138"/>
      <c r="C276" s="493"/>
      <c r="D276" s="493"/>
      <c r="E276" s="493"/>
      <c r="F276" s="493"/>
      <c r="G276" s="493"/>
      <c r="H276" s="131" t="s">
        <v>759</v>
      </c>
      <c r="I276" s="27"/>
      <c r="J276" s="494"/>
      <c r="K276" s="493"/>
      <c r="L276" s="724"/>
      <c r="M276" s="575"/>
      <c r="N276" s="725">
        <f>IF(L276&lt;&gt;"",VLOOKUP(L276,AuthorityCode,2,FALSE),0)</f>
        <v>0</v>
      </c>
      <c r="O276" s="503"/>
      <c r="P276" s="94"/>
      <c r="Q276" s="138"/>
      <c r="R276" s="138"/>
      <c r="S276" s="138"/>
      <c r="T276" s="138"/>
      <c r="U276" s="138"/>
      <c r="V276" s="138"/>
      <c r="W276" s="138"/>
      <c r="X276" s="503"/>
    </row>
    <row r="277" spans="1:24" hidden="1" outlineLevel="1" x14ac:dyDescent="0.2">
      <c r="A277" s="138"/>
      <c r="B277" s="138"/>
      <c r="C277" s="548" t="s">
        <v>57</v>
      </c>
      <c r="D277" s="313"/>
      <c r="E277" s="24"/>
      <c r="F277" s="106" t="str">
        <f>IF(E277&lt;&gt;"",VLOOKUP(E277,TPShortCode,3,FALSE),"")</f>
        <v/>
      </c>
      <c r="G277" s="136"/>
      <c r="H277" s="131" t="str">
        <f>VLOOKUP(F275,MaxQ,2,TRUE)</f>
        <v>Max quantity (units)</v>
      </c>
      <c r="I277" s="27"/>
      <c r="J277" s="494"/>
      <c r="K277" s="493"/>
      <c r="L277" s="724"/>
      <c r="M277" s="575"/>
      <c r="N277" s="575"/>
      <c r="O277" s="503"/>
      <c r="P277" s="94"/>
      <c r="Q277" s="138"/>
      <c r="R277" s="138"/>
      <c r="S277" s="138"/>
      <c r="T277" s="138"/>
      <c r="U277" s="138"/>
      <c r="V277" s="138"/>
      <c r="W277" s="138"/>
      <c r="X277" s="503"/>
    </row>
    <row r="278" spans="1:24" hidden="1" outlineLevel="1" x14ac:dyDescent="0.2">
      <c r="A278" s="138"/>
      <c r="B278" s="138"/>
      <c r="C278" s="493"/>
      <c r="D278" s="493"/>
      <c r="E278" s="26"/>
      <c r="F278" s="493"/>
      <c r="G278" s="493"/>
      <c r="H278" s="131" t="s">
        <v>633</v>
      </c>
      <c r="I278" s="27"/>
      <c r="J278" s="494"/>
      <c r="K278" s="493"/>
      <c r="L278" s="503"/>
      <c r="M278" s="503"/>
      <c r="N278" s="503"/>
      <c r="O278" s="503"/>
      <c r="P278" s="94"/>
      <c r="Q278" s="138"/>
      <c r="R278" s="138"/>
      <c r="S278" s="138"/>
      <c r="T278" s="138"/>
      <c r="U278" s="138"/>
      <c r="V278" s="138"/>
      <c r="W278" s="138"/>
      <c r="X278" s="503"/>
    </row>
    <row r="279" spans="1:24" hidden="1" outlineLevel="1" x14ac:dyDescent="0.2">
      <c r="A279" s="138"/>
      <c r="B279" s="138"/>
      <c r="C279" s="738" t="s">
        <v>634</v>
      </c>
      <c r="D279" s="739"/>
      <c r="E279" s="26"/>
      <c r="F279" s="493"/>
      <c r="G279" s="493"/>
      <c r="H279" s="494"/>
      <c r="I279" s="494"/>
      <c r="J279" s="494"/>
      <c r="K279" s="493"/>
      <c r="L279" s="503"/>
      <c r="M279" s="503"/>
      <c r="N279" s="503"/>
      <c r="O279" s="503"/>
      <c r="P279" s="494"/>
      <c r="Q279" s="138"/>
      <c r="R279" s="138"/>
      <c r="S279" s="138"/>
      <c r="T279" s="138"/>
      <c r="U279" s="138"/>
      <c r="V279" s="138"/>
      <c r="W279" s="138"/>
      <c r="X279" s="503"/>
    </row>
    <row r="280" spans="1:24" hidden="1" outlineLevel="1" x14ac:dyDescent="0.2">
      <c r="A280" s="138"/>
      <c r="B280" s="138"/>
      <c r="C280" s="738" t="s">
        <v>635</v>
      </c>
      <c r="D280" s="739"/>
      <c r="E280" s="26"/>
      <c r="F280" s="494"/>
      <c r="G280" s="494"/>
      <c r="H280" s="494"/>
      <c r="I280" s="494"/>
      <c r="J280" s="494"/>
      <c r="K280" s="493"/>
      <c r="L280" s="503"/>
      <c r="M280" s="503"/>
      <c r="N280" s="503"/>
      <c r="O280" s="503"/>
      <c r="P280" s="94"/>
      <c r="Q280" s="138"/>
      <c r="R280" s="138"/>
      <c r="S280" s="138"/>
      <c r="T280" s="138"/>
      <c r="U280" s="138"/>
      <c r="V280" s="138"/>
      <c r="W280" s="138"/>
      <c r="X280" s="503"/>
    </row>
    <row r="281" spans="1:24" hidden="1" outlineLevel="1" x14ac:dyDescent="0.2">
      <c r="A281" s="138"/>
      <c r="B281" s="138"/>
      <c r="C281" s="738" t="s">
        <v>636</v>
      </c>
      <c r="D281" s="739"/>
      <c r="E281" s="26"/>
      <c r="F281" s="494"/>
      <c r="G281" s="494"/>
      <c r="H281" s="494"/>
      <c r="I281" s="494"/>
      <c r="J281" s="494"/>
      <c r="K281" s="494"/>
      <c r="L281" s="503"/>
      <c r="M281" s="503"/>
      <c r="N281" s="503"/>
      <c r="O281" s="503"/>
      <c r="P281" s="94"/>
      <c r="Q281" s="138"/>
      <c r="R281" s="138"/>
      <c r="S281" s="138"/>
      <c r="T281" s="138"/>
      <c r="U281" s="138"/>
      <c r="V281" s="138"/>
      <c r="W281" s="138"/>
      <c r="X281" s="503"/>
    </row>
    <row r="282" spans="1:24" hidden="1" outlineLevel="1" x14ac:dyDescent="0.2">
      <c r="A282" s="138"/>
      <c r="B282" s="138"/>
      <c r="C282" s="738" t="s">
        <v>977</v>
      </c>
      <c r="D282" s="739"/>
      <c r="E282" s="44" t="str">
        <f>IF(AND(E280&lt;&gt;"",E281&lt;&gt;""),E280 &amp; " " &amp; E281,IF(E281&lt;&gt;"",E281,""))</f>
        <v/>
      </c>
      <c r="F282" s="494"/>
      <c r="G282" s="494"/>
      <c r="H282" s="494"/>
      <c r="I282" s="494"/>
      <c r="J282" s="494"/>
      <c r="K282" s="494"/>
      <c r="L282" s="494"/>
      <c r="M282" s="494"/>
      <c r="N282" s="493"/>
      <c r="O282" s="94"/>
      <c r="P282" s="94"/>
      <c r="Q282" s="138"/>
      <c r="R282" s="138"/>
      <c r="S282" s="138"/>
      <c r="T282" s="138"/>
      <c r="U282" s="138"/>
      <c r="V282" s="138"/>
      <c r="W282" s="138"/>
      <c r="X282" s="503"/>
    </row>
    <row r="283" spans="1:24" hidden="1" outlineLevel="1" x14ac:dyDescent="0.2">
      <c r="A283" s="138"/>
      <c r="B283" s="138"/>
      <c r="C283" s="738" t="s">
        <v>637</v>
      </c>
      <c r="D283" s="739"/>
      <c r="E283" s="26"/>
      <c r="F283" s="494"/>
      <c r="G283" s="494"/>
      <c r="H283" s="494"/>
      <c r="I283" s="494"/>
      <c r="J283" s="494"/>
      <c r="K283" s="494"/>
      <c r="L283" s="494"/>
      <c r="M283" s="494"/>
      <c r="N283" s="493"/>
      <c r="O283" s="94"/>
      <c r="P283" s="94"/>
      <c r="Q283" s="138"/>
      <c r="R283" s="138"/>
      <c r="S283" s="138"/>
      <c r="T283" s="138"/>
      <c r="U283" s="138"/>
      <c r="V283" s="138"/>
      <c r="W283" s="138"/>
      <c r="X283" s="503"/>
    </row>
    <row r="284" spans="1:24" hidden="1" outlineLevel="1" x14ac:dyDescent="0.2">
      <c r="A284" s="138"/>
      <c r="B284" s="138"/>
      <c r="C284" s="738" t="s">
        <v>638</v>
      </c>
      <c r="D284" s="739"/>
      <c r="E284" s="26"/>
      <c r="F284" s="494"/>
      <c r="G284" s="494"/>
      <c r="H284" s="494"/>
      <c r="I284" s="494"/>
      <c r="J284" s="494"/>
      <c r="K284" s="494"/>
      <c r="L284" s="494"/>
      <c r="M284" s="494"/>
      <c r="N284" s="493"/>
      <c r="O284" s="94"/>
      <c r="P284" s="94"/>
      <c r="Q284" s="138"/>
      <c r="R284" s="138"/>
      <c r="S284" s="138"/>
      <c r="T284" s="138"/>
      <c r="U284" s="138"/>
      <c r="V284" s="138"/>
      <c r="W284" s="138"/>
      <c r="X284" s="503"/>
    </row>
    <row r="285" spans="1:24" hidden="1" outlineLevel="1" x14ac:dyDescent="0.2">
      <c r="A285" s="138"/>
      <c r="B285" s="138"/>
      <c r="C285" s="738" t="s">
        <v>639</v>
      </c>
      <c r="D285" s="739"/>
      <c r="E285" s="26"/>
      <c r="F285" s="494"/>
      <c r="G285" s="494"/>
      <c r="H285" s="494"/>
      <c r="I285" s="494"/>
      <c r="J285" s="494"/>
      <c r="K285" s="494"/>
      <c r="L285" s="494"/>
      <c r="M285" s="494"/>
      <c r="N285" s="493"/>
      <c r="O285" s="94"/>
      <c r="P285" s="94"/>
      <c r="Q285" s="138"/>
      <c r="R285" s="138"/>
      <c r="S285" s="138"/>
      <c r="T285" s="138"/>
      <c r="U285" s="138"/>
      <c r="V285" s="138"/>
      <c r="W285" s="138"/>
      <c r="X285" s="503"/>
    </row>
    <row r="286" spans="1:24" hidden="1" outlineLevel="1" x14ac:dyDescent="0.2">
      <c r="A286" s="138"/>
      <c r="B286" s="138"/>
      <c r="C286" s="738" t="s">
        <v>640</v>
      </c>
      <c r="D286" s="739"/>
      <c r="E286" s="26"/>
      <c r="F286" s="494"/>
      <c r="G286" s="494"/>
      <c r="H286" s="494"/>
      <c r="I286" s="494"/>
      <c r="J286" s="494"/>
      <c r="K286" s="494"/>
      <c r="L286" s="494"/>
      <c r="M286" s="494"/>
      <c r="N286" s="493"/>
      <c r="O286" s="94"/>
      <c r="P286" s="94"/>
      <c r="Q286" s="138"/>
      <c r="R286" s="138"/>
      <c r="S286" s="138"/>
      <c r="T286" s="138"/>
      <c r="U286" s="138"/>
      <c r="V286" s="138"/>
      <c r="W286" s="138"/>
      <c r="X286" s="503"/>
    </row>
    <row r="287" spans="1:24" hidden="1" outlineLevel="1" x14ac:dyDescent="0.2">
      <c r="A287" s="138"/>
      <c r="B287" s="138"/>
      <c r="C287" s="138"/>
      <c r="D287" s="138"/>
      <c r="E287" s="138"/>
      <c r="F287" s="494"/>
      <c r="G287" s="494"/>
      <c r="H287" s="494"/>
      <c r="I287" s="494"/>
      <c r="J287" s="494"/>
      <c r="K287" s="494"/>
      <c r="L287" s="494"/>
      <c r="M287" s="494"/>
      <c r="N287" s="493"/>
      <c r="O287" s="94"/>
      <c r="P287" s="94"/>
      <c r="Q287" s="138"/>
      <c r="R287" s="138"/>
      <c r="S287" s="138"/>
      <c r="T287" s="138"/>
      <c r="U287" s="138"/>
      <c r="V287" s="138"/>
      <c r="W287" s="138"/>
      <c r="X287" s="503"/>
    </row>
    <row r="288" spans="1:24" hidden="1" outlineLevel="1" x14ac:dyDescent="0.2">
      <c r="A288" s="138"/>
      <c r="B288" s="138"/>
      <c r="C288" s="493"/>
      <c r="D288" s="493"/>
      <c r="E288" s="493"/>
      <c r="F288" s="128"/>
      <c r="G288" s="128"/>
      <c r="H288" s="493"/>
      <c r="I288" s="493"/>
      <c r="J288" s="494"/>
      <c r="K288" s="493"/>
      <c r="L288" s="493"/>
      <c r="M288" s="493"/>
      <c r="N288" s="493"/>
      <c r="O288" s="94"/>
      <c r="P288" s="94"/>
      <c r="Q288" s="138"/>
      <c r="R288" s="138"/>
      <c r="S288" s="138"/>
      <c r="T288" s="138"/>
      <c r="U288" s="138"/>
      <c r="V288" s="138"/>
      <c r="W288" s="138"/>
      <c r="X288" s="503"/>
    </row>
    <row r="289" spans="1:24" ht="15.75" collapsed="1" x14ac:dyDescent="0.2">
      <c r="A289" s="138"/>
      <c r="B289" s="330">
        <v>16</v>
      </c>
      <c r="C289" s="743" t="str">
        <f xml:space="preserve"> IF(B289&lt;=$I$61,"Restriction " &amp; B289 &amp; " of " &amp; $I$61,MsgNotUsed)</f>
        <v>** NOT USED **</v>
      </c>
      <c r="D289" s="744"/>
      <c r="E289" s="745"/>
      <c r="F289" s="128"/>
      <c r="G289" s="128"/>
      <c r="H289" s="493"/>
      <c r="I289" s="493"/>
      <c r="J289" s="494"/>
      <c r="K289" s="493"/>
      <c r="L289" s="494"/>
      <c r="M289" s="494"/>
      <c r="N289" s="493"/>
      <c r="O289" s="94"/>
      <c r="P289" s="94"/>
      <c r="Q289" s="138"/>
      <c r="R289" s="138"/>
      <c r="S289" s="138"/>
      <c r="T289" s="138"/>
      <c r="U289" s="138"/>
      <c r="V289" s="138"/>
      <c r="W289" s="138"/>
      <c r="X289" s="503"/>
    </row>
    <row r="290" spans="1:24" hidden="1" outlineLevel="1" x14ac:dyDescent="0.2">
      <c r="A290" s="138"/>
      <c r="B290" s="138"/>
      <c r="C290" s="547" t="s">
        <v>631</v>
      </c>
      <c r="D290" s="378"/>
      <c r="E290" s="43" t="str">
        <f>IF(D290&lt;&gt;"",VLOOKUP(D290,ProgrammeCode,2,FALSE),"")</f>
        <v/>
      </c>
      <c r="F290" s="106">
        <f>IF(D290&lt;&gt;"",VLOOKUP(D290,ProgrammeCode,3),0)</f>
        <v>0</v>
      </c>
      <c r="G290" s="111"/>
      <c r="H290" s="495" t="s">
        <v>632</v>
      </c>
      <c r="I290" s="378"/>
      <c r="J290" s="494" t="str">
        <f>IF(I290="New","N","")</f>
        <v/>
      </c>
      <c r="K290" s="493"/>
      <c r="L290" s="546" t="s">
        <v>778</v>
      </c>
      <c r="M290" s="503"/>
      <c r="N290" s="503"/>
      <c r="O290" s="503"/>
      <c r="P290" s="94"/>
      <c r="Q290" s="138"/>
      <c r="R290" s="138"/>
      <c r="S290" s="138"/>
      <c r="T290" s="138"/>
      <c r="U290" s="138"/>
      <c r="V290" s="138"/>
      <c r="W290" s="138"/>
      <c r="X290" s="503"/>
    </row>
    <row r="291" spans="1:24" hidden="1" outlineLevel="1" x14ac:dyDescent="0.2">
      <c r="A291" s="138"/>
      <c r="B291" s="138"/>
      <c r="C291" s="493"/>
      <c r="D291" s="493"/>
      <c r="E291" s="493"/>
      <c r="F291" s="493"/>
      <c r="G291" s="493"/>
      <c r="H291" s="131" t="s">
        <v>759</v>
      </c>
      <c r="I291" s="27"/>
      <c r="J291" s="494"/>
      <c r="K291" s="493"/>
      <c r="L291" s="724"/>
      <c r="M291" s="575"/>
      <c r="N291" s="725">
        <f>IF(L291&lt;&gt;"",VLOOKUP(L291,AuthorityCode,2,FALSE),0)</f>
        <v>0</v>
      </c>
      <c r="O291" s="503"/>
      <c r="P291" s="94"/>
      <c r="Q291" s="138"/>
      <c r="R291" s="138"/>
      <c r="S291" s="138"/>
      <c r="T291" s="138"/>
      <c r="U291" s="138"/>
      <c r="V291" s="138"/>
      <c r="W291" s="138"/>
      <c r="X291" s="503"/>
    </row>
    <row r="292" spans="1:24" hidden="1" outlineLevel="1" x14ac:dyDescent="0.2">
      <c r="A292" s="138"/>
      <c r="B292" s="138"/>
      <c r="C292" s="548" t="s">
        <v>57</v>
      </c>
      <c r="D292" s="313"/>
      <c r="E292" s="24"/>
      <c r="F292" s="106" t="str">
        <f>IF(E292&lt;&gt;"",VLOOKUP(E292,TPShortCode,3,FALSE),"")</f>
        <v/>
      </c>
      <c r="G292" s="136"/>
      <c r="H292" s="131" t="str">
        <f>VLOOKUP(F290,MaxQ,2,TRUE)</f>
        <v>Max quantity (units)</v>
      </c>
      <c r="I292" s="27"/>
      <c r="J292" s="494"/>
      <c r="K292" s="493"/>
      <c r="L292" s="724"/>
      <c r="M292" s="575"/>
      <c r="N292" s="575"/>
      <c r="O292" s="503"/>
      <c r="P292" s="94"/>
      <c r="Q292" s="138"/>
      <c r="R292" s="138"/>
      <c r="S292" s="138"/>
      <c r="T292" s="138"/>
      <c r="U292" s="138"/>
      <c r="V292" s="138"/>
      <c r="W292" s="138"/>
      <c r="X292" s="503"/>
    </row>
    <row r="293" spans="1:24" hidden="1" outlineLevel="1" x14ac:dyDescent="0.2">
      <c r="A293" s="138"/>
      <c r="B293" s="138"/>
      <c r="C293" s="493"/>
      <c r="D293" s="493"/>
      <c r="E293" s="26"/>
      <c r="F293" s="493"/>
      <c r="G293" s="493"/>
      <c r="H293" s="131" t="s">
        <v>633</v>
      </c>
      <c r="I293" s="27"/>
      <c r="J293" s="494"/>
      <c r="K293" s="493"/>
      <c r="L293" s="503"/>
      <c r="M293" s="503"/>
      <c r="N293" s="503"/>
      <c r="O293" s="503"/>
      <c r="P293" s="94"/>
      <c r="Q293" s="138"/>
      <c r="R293" s="138"/>
      <c r="S293" s="138"/>
      <c r="T293" s="138"/>
      <c r="U293" s="138"/>
      <c r="V293" s="138"/>
      <c r="W293" s="138"/>
      <c r="X293" s="503"/>
    </row>
    <row r="294" spans="1:24" hidden="1" outlineLevel="1" x14ac:dyDescent="0.2">
      <c r="A294" s="138"/>
      <c r="B294" s="138"/>
      <c r="C294" s="738" t="s">
        <v>634</v>
      </c>
      <c r="D294" s="739"/>
      <c r="E294" s="26"/>
      <c r="F294" s="493"/>
      <c r="G294" s="493"/>
      <c r="H294" s="494"/>
      <c r="I294" s="494"/>
      <c r="J294" s="494"/>
      <c r="K294" s="493"/>
      <c r="L294" s="503"/>
      <c r="M294" s="503"/>
      <c r="N294" s="503"/>
      <c r="O294" s="503"/>
      <c r="P294" s="494"/>
      <c r="Q294" s="138"/>
      <c r="R294" s="138"/>
      <c r="S294" s="138"/>
      <c r="T294" s="138"/>
      <c r="U294" s="138"/>
      <c r="V294" s="138"/>
      <c r="W294" s="138"/>
      <c r="X294" s="503"/>
    </row>
    <row r="295" spans="1:24" hidden="1" outlineLevel="1" x14ac:dyDescent="0.2">
      <c r="A295" s="138"/>
      <c r="B295" s="138"/>
      <c r="C295" s="738" t="s">
        <v>635</v>
      </c>
      <c r="D295" s="739"/>
      <c r="E295" s="26"/>
      <c r="F295" s="494"/>
      <c r="G295" s="494"/>
      <c r="H295" s="494"/>
      <c r="I295" s="494"/>
      <c r="J295" s="494"/>
      <c r="K295" s="493"/>
      <c r="L295" s="503"/>
      <c r="M295" s="503"/>
      <c r="N295" s="503"/>
      <c r="O295" s="503"/>
      <c r="P295" s="94"/>
      <c r="Q295" s="138"/>
      <c r="R295" s="138"/>
      <c r="S295" s="138"/>
      <c r="T295" s="138"/>
      <c r="U295" s="138"/>
      <c r="V295" s="138"/>
      <c r="W295" s="138"/>
      <c r="X295" s="503"/>
    </row>
    <row r="296" spans="1:24" hidden="1" outlineLevel="1" x14ac:dyDescent="0.2">
      <c r="A296" s="138"/>
      <c r="B296" s="138"/>
      <c r="C296" s="738" t="s">
        <v>636</v>
      </c>
      <c r="D296" s="739"/>
      <c r="E296" s="26"/>
      <c r="F296" s="494"/>
      <c r="G296" s="494"/>
      <c r="H296" s="494"/>
      <c r="I296" s="494"/>
      <c r="J296" s="494"/>
      <c r="K296" s="494"/>
      <c r="L296" s="503"/>
      <c r="M296" s="503"/>
      <c r="N296" s="503"/>
      <c r="O296" s="503"/>
      <c r="P296" s="94"/>
      <c r="Q296" s="138"/>
      <c r="R296" s="138"/>
      <c r="S296" s="138"/>
      <c r="T296" s="138"/>
      <c r="U296" s="138"/>
      <c r="V296" s="138"/>
      <c r="W296" s="138"/>
      <c r="X296" s="503"/>
    </row>
    <row r="297" spans="1:24" hidden="1" outlineLevel="1" x14ac:dyDescent="0.2">
      <c r="A297" s="138"/>
      <c r="B297" s="138"/>
      <c r="C297" s="738" t="s">
        <v>977</v>
      </c>
      <c r="D297" s="739"/>
      <c r="E297" s="44" t="str">
        <f>IF(AND(E295&lt;&gt;"",E296&lt;&gt;""),E295 &amp; " " &amp; E296,IF(E296&lt;&gt;"",E296,""))</f>
        <v/>
      </c>
      <c r="F297" s="494"/>
      <c r="G297" s="494"/>
      <c r="H297" s="494"/>
      <c r="I297" s="494"/>
      <c r="J297" s="494"/>
      <c r="K297" s="494"/>
      <c r="L297" s="494"/>
      <c r="M297" s="494"/>
      <c r="N297" s="493"/>
      <c r="O297" s="94"/>
      <c r="P297" s="94"/>
      <c r="Q297" s="138"/>
      <c r="R297" s="138"/>
      <c r="S297" s="138"/>
      <c r="T297" s="138"/>
      <c r="U297" s="138"/>
      <c r="V297" s="138"/>
      <c r="W297" s="138"/>
      <c r="X297" s="503"/>
    </row>
    <row r="298" spans="1:24" hidden="1" outlineLevel="1" x14ac:dyDescent="0.2">
      <c r="A298" s="138"/>
      <c r="B298" s="138"/>
      <c r="C298" s="738" t="s">
        <v>637</v>
      </c>
      <c r="D298" s="739"/>
      <c r="E298" s="26"/>
      <c r="F298" s="494"/>
      <c r="G298" s="494"/>
      <c r="H298" s="494"/>
      <c r="I298" s="494"/>
      <c r="J298" s="494"/>
      <c r="K298" s="494"/>
      <c r="L298" s="494"/>
      <c r="M298" s="494"/>
      <c r="N298" s="493"/>
      <c r="O298" s="94"/>
      <c r="P298" s="94"/>
      <c r="Q298" s="138"/>
      <c r="R298" s="138"/>
      <c r="S298" s="138"/>
      <c r="T298" s="138"/>
      <c r="U298" s="138"/>
      <c r="V298" s="138"/>
      <c r="W298" s="138"/>
      <c r="X298" s="503"/>
    </row>
    <row r="299" spans="1:24" hidden="1" outlineLevel="1" x14ac:dyDescent="0.2">
      <c r="A299" s="138"/>
      <c r="B299" s="138"/>
      <c r="C299" s="738" t="s">
        <v>638</v>
      </c>
      <c r="D299" s="739"/>
      <c r="E299" s="26"/>
      <c r="F299" s="494"/>
      <c r="G299" s="494"/>
      <c r="H299" s="494"/>
      <c r="I299" s="494"/>
      <c r="J299" s="494"/>
      <c r="K299" s="494"/>
      <c r="L299" s="494"/>
      <c r="M299" s="494"/>
      <c r="N299" s="493"/>
      <c r="O299" s="94"/>
      <c r="P299" s="94"/>
      <c r="Q299" s="138"/>
      <c r="R299" s="138"/>
      <c r="S299" s="138"/>
      <c r="T299" s="138"/>
      <c r="U299" s="138"/>
      <c r="V299" s="138"/>
      <c r="W299" s="138"/>
      <c r="X299" s="503"/>
    </row>
    <row r="300" spans="1:24" hidden="1" outlineLevel="1" x14ac:dyDescent="0.2">
      <c r="A300" s="138"/>
      <c r="B300" s="138"/>
      <c r="C300" s="738" t="s">
        <v>639</v>
      </c>
      <c r="D300" s="739"/>
      <c r="E300" s="26"/>
      <c r="F300" s="494"/>
      <c r="G300" s="494"/>
      <c r="H300" s="494"/>
      <c r="I300" s="494"/>
      <c r="J300" s="494"/>
      <c r="K300" s="494"/>
      <c r="L300" s="494"/>
      <c r="M300" s="494"/>
      <c r="N300" s="493"/>
      <c r="O300" s="94"/>
      <c r="P300" s="94"/>
      <c r="Q300" s="138"/>
      <c r="R300" s="138"/>
      <c r="S300" s="138"/>
      <c r="T300" s="138"/>
      <c r="U300" s="138"/>
      <c r="V300" s="138"/>
      <c r="W300" s="138"/>
      <c r="X300" s="503"/>
    </row>
    <row r="301" spans="1:24" hidden="1" outlineLevel="1" x14ac:dyDescent="0.2">
      <c r="A301" s="138"/>
      <c r="B301" s="138"/>
      <c r="C301" s="738" t="s">
        <v>640</v>
      </c>
      <c r="D301" s="739"/>
      <c r="E301" s="26"/>
      <c r="F301" s="494"/>
      <c r="G301" s="494"/>
      <c r="H301" s="494"/>
      <c r="I301" s="494"/>
      <c r="J301" s="494"/>
      <c r="K301" s="494"/>
      <c r="L301" s="494"/>
      <c r="M301" s="494"/>
      <c r="N301" s="493"/>
      <c r="O301" s="94"/>
      <c r="P301" s="94"/>
      <c r="Q301" s="138"/>
      <c r="R301" s="138"/>
      <c r="S301" s="138"/>
      <c r="T301" s="138"/>
      <c r="U301" s="138"/>
      <c r="V301" s="138"/>
      <c r="W301" s="138"/>
      <c r="X301" s="503"/>
    </row>
    <row r="302" spans="1:24" hidden="1" outlineLevel="1" x14ac:dyDescent="0.2">
      <c r="A302" s="138"/>
      <c r="B302" s="138"/>
      <c r="C302" s="138"/>
      <c r="D302" s="138"/>
      <c r="E302" s="138"/>
      <c r="F302" s="494"/>
      <c r="G302" s="494"/>
      <c r="H302" s="494"/>
      <c r="I302" s="494"/>
      <c r="J302" s="494"/>
      <c r="K302" s="494"/>
      <c r="L302" s="494"/>
      <c r="M302" s="494"/>
      <c r="N302" s="493"/>
      <c r="O302" s="94"/>
      <c r="P302" s="94"/>
      <c r="Q302" s="138"/>
      <c r="R302" s="138"/>
      <c r="S302" s="138"/>
      <c r="T302" s="138"/>
      <c r="U302" s="138"/>
      <c r="V302" s="138"/>
      <c r="W302" s="138"/>
      <c r="X302" s="503"/>
    </row>
    <row r="303" spans="1:24" hidden="1" outlineLevel="1" x14ac:dyDescent="0.2">
      <c r="A303" s="138"/>
      <c r="B303" s="138"/>
      <c r="C303" s="493"/>
      <c r="D303" s="493"/>
      <c r="E303" s="493"/>
      <c r="F303" s="128"/>
      <c r="G303" s="128"/>
      <c r="H303" s="493"/>
      <c r="I303" s="493"/>
      <c r="J303" s="494"/>
      <c r="K303" s="493"/>
      <c r="L303" s="493"/>
      <c r="M303" s="493"/>
      <c r="N303" s="493"/>
      <c r="O303" s="94"/>
      <c r="P303" s="94"/>
      <c r="Q303" s="138"/>
      <c r="R303" s="138"/>
      <c r="S303" s="138"/>
      <c r="T303" s="138"/>
      <c r="U303" s="138"/>
      <c r="V303" s="138"/>
      <c r="W303" s="138"/>
      <c r="X303" s="503"/>
    </row>
    <row r="304" spans="1:24" ht="15.75" collapsed="1" x14ac:dyDescent="0.2">
      <c r="A304" s="138"/>
      <c r="B304" s="330">
        <v>17</v>
      </c>
      <c r="C304" s="743" t="str">
        <f xml:space="preserve"> IF(B304&lt;=$I$61,"Restriction " &amp; B304 &amp; " of " &amp; $I$61,MsgNotUsed)</f>
        <v>** NOT USED **</v>
      </c>
      <c r="D304" s="744"/>
      <c r="E304" s="745"/>
      <c r="F304" s="128"/>
      <c r="G304" s="128"/>
      <c r="H304" s="493"/>
      <c r="I304" s="493"/>
      <c r="J304" s="494"/>
      <c r="K304" s="493"/>
      <c r="L304" s="494"/>
      <c r="M304" s="494"/>
      <c r="N304" s="493"/>
      <c r="O304" s="94"/>
      <c r="P304" s="94"/>
      <c r="Q304" s="138"/>
      <c r="R304" s="138"/>
      <c r="S304" s="138"/>
      <c r="T304" s="138"/>
      <c r="U304" s="138"/>
      <c r="V304" s="138"/>
      <c r="W304" s="138"/>
      <c r="X304" s="503"/>
    </row>
    <row r="305" spans="1:24" hidden="1" outlineLevel="1" x14ac:dyDescent="0.2">
      <c r="A305" s="138"/>
      <c r="B305" s="138"/>
      <c r="C305" s="547" t="s">
        <v>631</v>
      </c>
      <c r="D305" s="378"/>
      <c r="E305" s="43" t="str">
        <f>IF(D305&lt;&gt;"",VLOOKUP(D305,ProgrammeCode,2,FALSE),"")</f>
        <v/>
      </c>
      <c r="F305" s="106">
        <f>IF(D305&lt;&gt;"",VLOOKUP(D305,ProgrammeCode,3),0)</f>
        <v>0</v>
      </c>
      <c r="G305" s="111"/>
      <c r="H305" s="495" t="s">
        <v>632</v>
      </c>
      <c r="I305" s="378"/>
      <c r="J305" s="494" t="str">
        <f>IF(I305="New","N","")</f>
        <v/>
      </c>
      <c r="K305" s="493"/>
      <c r="L305" s="546" t="s">
        <v>778</v>
      </c>
      <c r="M305" s="503"/>
      <c r="N305" s="503"/>
      <c r="O305" s="503"/>
      <c r="P305" s="94"/>
      <c r="Q305" s="138"/>
      <c r="R305" s="138"/>
      <c r="S305" s="138"/>
      <c r="T305" s="138"/>
      <c r="U305" s="138"/>
      <c r="V305" s="138"/>
      <c r="W305" s="138"/>
      <c r="X305" s="503"/>
    </row>
    <row r="306" spans="1:24" hidden="1" outlineLevel="1" x14ac:dyDescent="0.2">
      <c r="A306" s="138"/>
      <c r="B306" s="138"/>
      <c r="C306" s="493"/>
      <c r="D306" s="493"/>
      <c r="E306" s="493"/>
      <c r="F306" s="493"/>
      <c r="G306" s="493"/>
      <c r="H306" s="131" t="s">
        <v>759</v>
      </c>
      <c r="I306" s="27"/>
      <c r="J306" s="494"/>
      <c r="K306" s="493"/>
      <c r="L306" s="724"/>
      <c r="M306" s="575"/>
      <c r="N306" s="725">
        <f>IF(L306&lt;&gt;"",VLOOKUP(L306,AuthorityCode,2,FALSE),0)</f>
        <v>0</v>
      </c>
      <c r="O306" s="503"/>
      <c r="P306" s="94"/>
      <c r="Q306" s="138"/>
      <c r="R306" s="138"/>
      <c r="S306" s="138"/>
      <c r="T306" s="138"/>
      <c r="U306" s="138"/>
      <c r="V306" s="138"/>
      <c r="W306" s="138"/>
      <c r="X306" s="503"/>
    </row>
    <row r="307" spans="1:24" hidden="1" outlineLevel="1" x14ac:dyDescent="0.2">
      <c r="A307" s="138"/>
      <c r="B307" s="138"/>
      <c r="C307" s="548" t="s">
        <v>57</v>
      </c>
      <c r="D307" s="313"/>
      <c r="E307" s="24"/>
      <c r="F307" s="106" t="str">
        <f>IF(E307&lt;&gt;"",VLOOKUP(E307,TPShortCode,3,FALSE),"")</f>
        <v/>
      </c>
      <c r="G307" s="136"/>
      <c r="H307" s="131" t="str">
        <f>VLOOKUP(F305,MaxQ,2,TRUE)</f>
        <v>Max quantity (units)</v>
      </c>
      <c r="I307" s="27"/>
      <c r="J307" s="494"/>
      <c r="K307" s="493"/>
      <c r="L307" s="724"/>
      <c r="M307" s="575"/>
      <c r="N307" s="575"/>
      <c r="O307" s="503"/>
      <c r="P307" s="94"/>
      <c r="Q307" s="138"/>
      <c r="R307" s="138"/>
      <c r="S307" s="138"/>
      <c r="T307" s="138"/>
      <c r="U307" s="138"/>
      <c r="V307" s="138"/>
      <c r="W307" s="138"/>
      <c r="X307" s="503"/>
    </row>
    <row r="308" spans="1:24" hidden="1" outlineLevel="1" x14ac:dyDescent="0.2">
      <c r="A308" s="138"/>
      <c r="B308" s="138"/>
      <c r="C308" s="493"/>
      <c r="D308" s="493"/>
      <c r="E308" s="26"/>
      <c r="F308" s="493"/>
      <c r="G308" s="493"/>
      <c r="H308" s="131" t="s">
        <v>633</v>
      </c>
      <c r="I308" s="27"/>
      <c r="J308" s="494"/>
      <c r="K308" s="493"/>
      <c r="L308" s="503"/>
      <c r="M308" s="503"/>
      <c r="N308" s="503"/>
      <c r="O308" s="503"/>
      <c r="P308" s="94"/>
      <c r="Q308" s="138"/>
      <c r="R308" s="138"/>
      <c r="S308" s="138"/>
      <c r="T308" s="138"/>
      <c r="U308" s="138"/>
      <c r="V308" s="138"/>
      <c r="W308" s="138"/>
      <c r="X308" s="503"/>
    </row>
    <row r="309" spans="1:24" hidden="1" outlineLevel="1" x14ac:dyDescent="0.2">
      <c r="A309" s="138"/>
      <c r="B309" s="138"/>
      <c r="C309" s="738" t="s">
        <v>634</v>
      </c>
      <c r="D309" s="739"/>
      <c r="E309" s="26"/>
      <c r="F309" s="493"/>
      <c r="G309" s="493"/>
      <c r="H309" s="494"/>
      <c r="I309" s="494"/>
      <c r="J309" s="494"/>
      <c r="K309" s="493"/>
      <c r="L309" s="503"/>
      <c r="M309" s="503"/>
      <c r="N309" s="503"/>
      <c r="O309" s="503"/>
      <c r="P309" s="494"/>
      <c r="Q309" s="138"/>
      <c r="R309" s="138"/>
      <c r="S309" s="138"/>
      <c r="T309" s="138"/>
      <c r="U309" s="138"/>
      <c r="V309" s="138"/>
      <c r="W309" s="138"/>
      <c r="X309" s="503"/>
    </row>
    <row r="310" spans="1:24" hidden="1" outlineLevel="1" x14ac:dyDescent="0.2">
      <c r="A310" s="138"/>
      <c r="B310" s="138"/>
      <c r="C310" s="738" t="s">
        <v>635</v>
      </c>
      <c r="D310" s="739"/>
      <c r="E310" s="26"/>
      <c r="F310" s="494"/>
      <c r="G310" s="494"/>
      <c r="H310" s="494"/>
      <c r="I310" s="494"/>
      <c r="J310" s="494"/>
      <c r="K310" s="493"/>
      <c r="L310" s="503"/>
      <c r="M310" s="503"/>
      <c r="N310" s="503"/>
      <c r="O310" s="503"/>
      <c r="P310" s="94"/>
      <c r="Q310" s="138"/>
      <c r="R310" s="138"/>
      <c r="S310" s="138"/>
      <c r="T310" s="138"/>
      <c r="U310" s="138"/>
      <c r="V310" s="138"/>
      <c r="W310" s="138"/>
      <c r="X310" s="503"/>
    </row>
    <row r="311" spans="1:24" hidden="1" outlineLevel="1" x14ac:dyDescent="0.2">
      <c r="A311" s="138"/>
      <c r="B311" s="138"/>
      <c r="C311" s="738" t="s">
        <v>636</v>
      </c>
      <c r="D311" s="739"/>
      <c r="E311" s="26"/>
      <c r="F311" s="494"/>
      <c r="G311" s="494"/>
      <c r="H311" s="494"/>
      <c r="I311" s="494"/>
      <c r="J311" s="494"/>
      <c r="K311" s="494"/>
      <c r="L311" s="503"/>
      <c r="M311" s="503"/>
      <c r="N311" s="503"/>
      <c r="O311" s="503"/>
      <c r="P311" s="94"/>
      <c r="Q311" s="138"/>
      <c r="R311" s="138"/>
      <c r="S311" s="138"/>
      <c r="T311" s="138"/>
      <c r="U311" s="138"/>
      <c r="V311" s="138"/>
      <c r="W311" s="138"/>
      <c r="X311" s="503"/>
    </row>
    <row r="312" spans="1:24" hidden="1" outlineLevel="1" x14ac:dyDescent="0.2">
      <c r="A312" s="138"/>
      <c r="B312" s="138"/>
      <c r="C312" s="738" t="s">
        <v>977</v>
      </c>
      <c r="D312" s="739"/>
      <c r="E312" s="44" t="str">
        <f>IF(AND(E310&lt;&gt;"",E311&lt;&gt;""),E310 &amp; " " &amp; E311,IF(E311&lt;&gt;"",E311,""))</f>
        <v/>
      </c>
      <c r="F312" s="494"/>
      <c r="G312" s="494"/>
      <c r="H312" s="494"/>
      <c r="I312" s="494"/>
      <c r="J312" s="494"/>
      <c r="K312" s="494"/>
      <c r="L312" s="494"/>
      <c r="M312" s="494"/>
      <c r="N312" s="493"/>
      <c r="O312" s="94"/>
      <c r="P312" s="94"/>
      <c r="Q312" s="138"/>
      <c r="R312" s="138"/>
      <c r="S312" s="138"/>
      <c r="T312" s="138"/>
      <c r="U312" s="138"/>
      <c r="V312" s="138"/>
      <c r="W312" s="138"/>
      <c r="X312" s="503"/>
    </row>
    <row r="313" spans="1:24" hidden="1" outlineLevel="1" x14ac:dyDescent="0.2">
      <c r="A313" s="138"/>
      <c r="B313" s="138"/>
      <c r="C313" s="738" t="s">
        <v>637</v>
      </c>
      <c r="D313" s="739"/>
      <c r="E313" s="26"/>
      <c r="F313" s="494"/>
      <c r="G313" s="494"/>
      <c r="H313" s="494"/>
      <c r="I313" s="494"/>
      <c r="J313" s="494"/>
      <c r="K313" s="494"/>
      <c r="L313" s="494"/>
      <c r="M313" s="494"/>
      <c r="N313" s="493"/>
      <c r="O313" s="94"/>
      <c r="P313" s="94"/>
      <c r="Q313" s="138"/>
      <c r="R313" s="138"/>
      <c r="S313" s="138"/>
      <c r="T313" s="138"/>
      <c r="U313" s="138"/>
      <c r="V313" s="138"/>
      <c r="W313" s="138"/>
      <c r="X313" s="503"/>
    </row>
    <row r="314" spans="1:24" hidden="1" outlineLevel="1" x14ac:dyDescent="0.2">
      <c r="A314" s="138"/>
      <c r="B314" s="138"/>
      <c r="C314" s="738" t="s">
        <v>638</v>
      </c>
      <c r="D314" s="739"/>
      <c r="E314" s="26"/>
      <c r="F314" s="494"/>
      <c r="G314" s="494"/>
      <c r="H314" s="494"/>
      <c r="I314" s="494"/>
      <c r="J314" s="494"/>
      <c r="K314" s="494"/>
      <c r="L314" s="494"/>
      <c r="M314" s="494"/>
      <c r="N314" s="493"/>
      <c r="O314" s="94"/>
      <c r="P314" s="94"/>
      <c r="Q314" s="138"/>
      <c r="R314" s="138"/>
      <c r="S314" s="138"/>
      <c r="T314" s="138"/>
      <c r="U314" s="138"/>
      <c r="V314" s="138"/>
      <c r="W314" s="138"/>
      <c r="X314" s="503"/>
    </row>
    <row r="315" spans="1:24" hidden="1" outlineLevel="1" x14ac:dyDescent="0.2">
      <c r="A315" s="138"/>
      <c r="B315" s="138"/>
      <c r="C315" s="738" t="s">
        <v>639</v>
      </c>
      <c r="D315" s="739"/>
      <c r="E315" s="26"/>
      <c r="F315" s="494"/>
      <c r="G315" s="494"/>
      <c r="H315" s="494"/>
      <c r="I315" s="494"/>
      <c r="J315" s="494"/>
      <c r="K315" s="494"/>
      <c r="L315" s="494"/>
      <c r="M315" s="494"/>
      <c r="N315" s="493"/>
      <c r="O315" s="94"/>
      <c r="P315" s="94"/>
      <c r="Q315" s="138"/>
      <c r="R315" s="138"/>
      <c r="S315" s="138"/>
      <c r="T315" s="138"/>
      <c r="U315" s="138"/>
      <c r="V315" s="138"/>
      <c r="W315" s="138"/>
      <c r="X315" s="503"/>
    </row>
    <row r="316" spans="1:24" hidden="1" outlineLevel="1" x14ac:dyDescent="0.2">
      <c r="A316" s="138"/>
      <c r="B316" s="138"/>
      <c r="C316" s="738" t="s">
        <v>640</v>
      </c>
      <c r="D316" s="739"/>
      <c r="E316" s="26"/>
      <c r="F316" s="494"/>
      <c r="G316" s="494"/>
      <c r="H316" s="494"/>
      <c r="I316" s="494"/>
      <c r="J316" s="494"/>
      <c r="K316" s="494"/>
      <c r="L316" s="494"/>
      <c r="M316" s="494"/>
      <c r="N316" s="493"/>
      <c r="O316" s="94"/>
      <c r="P316" s="94"/>
      <c r="Q316" s="138"/>
      <c r="R316" s="138"/>
      <c r="S316" s="138"/>
      <c r="T316" s="138"/>
      <c r="U316" s="138"/>
      <c r="V316" s="138"/>
      <c r="W316" s="138"/>
      <c r="X316" s="503"/>
    </row>
    <row r="317" spans="1:24" hidden="1" outlineLevel="1" x14ac:dyDescent="0.2">
      <c r="A317" s="138"/>
      <c r="B317" s="138"/>
      <c r="C317" s="138"/>
      <c r="D317" s="138"/>
      <c r="E317" s="138"/>
      <c r="F317" s="494"/>
      <c r="G317" s="494"/>
      <c r="H317" s="494"/>
      <c r="I317" s="494"/>
      <c r="J317" s="494"/>
      <c r="K317" s="494"/>
      <c r="L317" s="494"/>
      <c r="M317" s="494"/>
      <c r="N317" s="493"/>
      <c r="O317" s="94"/>
      <c r="P317" s="94"/>
      <c r="Q317" s="138"/>
      <c r="R317" s="138"/>
      <c r="S317" s="138"/>
      <c r="T317" s="138"/>
      <c r="U317" s="138"/>
      <c r="V317" s="138"/>
      <c r="W317" s="138"/>
      <c r="X317" s="503"/>
    </row>
    <row r="318" spans="1:24" hidden="1" outlineLevel="1" x14ac:dyDescent="0.2">
      <c r="A318" s="138"/>
      <c r="B318" s="138"/>
      <c r="C318" s="493"/>
      <c r="D318" s="493"/>
      <c r="E318" s="493"/>
      <c r="F318" s="128"/>
      <c r="G318" s="128"/>
      <c r="H318" s="493"/>
      <c r="I318" s="493"/>
      <c r="J318" s="494"/>
      <c r="K318" s="493"/>
      <c r="L318" s="493"/>
      <c r="M318" s="493"/>
      <c r="N318" s="493"/>
      <c r="O318" s="94"/>
      <c r="P318" s="94"/>
      <c r="Q318" s="138"/>
      <c r="R318" s="138"/>
      <c r="S318" s="138"/>
      <c r="T318" s="138"/>
      <c r="U318" s="138"/>
      <c r="V318" s="138"/>
      <c r="W318" s="138"/>
      <c r="X318" s="503"/>
    </row>
    <row r="319" spans="1:24" ht="15.75" collapsed="1" x14ac:dyDescent="0.2">
      <c r="A319" s="138"/>
      <c r="B319" s="330">
        <v>18</v>
      </c>
      <c r="C319" s="743" t="str">
        <f xml:space="preserve"> IF(B319&lt;=$I$61,"Restriction " &amp; B319 &amp; " of " &amp; $I$61,MsgNotUsed)</f>
        <v>** NOT USED **</v>
      </c>
      <c r="D319" s="744"/>
      <c r="E319" s="745"/>
      <c r="F319" s="128"/>
      <c r="G319" s="128"/>
      <c r="H319" s="493"/>
      <c r="I319" s="493"/>
      <c r="J319" s="494"/>
      <c r="K319" s="493"/>
      <c r="L319" s="494"/>
      <c r="M319" s="494"/>
      <c r="N319" s="493"/>
      <c r="O319" s="94"/>
      <c r="P319" s="94"/>
      <c r="Q319" s="138"/>
      <c r="R319" s="138"/>
      <c r="S319" s="138"/>
      <c r="T319" s="138"/>
      <c r="U319" s="138"/>
      <c r="V319" s="138"/>
      <c r="W319" s="138"/>
      <c r="X319" s="503"/>
    </row>
    <row r="320" spans="1:24" hidden="1" outlineLevel="1" x14ac:dyDescent="0.2">
      <c r="A320" s="138"/>
      <c r="B320" s="138"/>
      <c r="C320" s="547" t="s">
        <v>631</v>
      </c>
      <c r="D320" s="378"/>
      <c r="E320" s="43" t="str">
        <f>IF(D320&lt;&gt;"",VLOOKUP(D320,ProgrammeCode,2,FALSE),"")</f>
        <v/>
      </c>
      <c r="F320" s="106">
        <f>IF(D320&lt;&gt;"",VLOOKUP(D320,ProgrammeCode,3),0)</f>
        <v>0</v>
      </c>
      <c r="G320" s="111"/>
      <c r="H320" s="495" t="s">
        <v>632</v>
      </c>
      <c r="I320" s="378"/>
      <c r="J320" s="494" t="str">
        <f>IF(I320="New","N","")</f>
        <v/>
      </c>
      <c r="K320" s="493"/>
      <c r="L320" s="546" t="s">
        <v>778</v>
      </c>
      <c r="M320" s="503"/>
      <c r="N320" s="503"/>
      <c r="O320" s="503"/>
      <c r="P320" s="94"/>
      <c r="Q320" s="138"/>
      <c r="R320" s="138"/>
      <c r="S320" s="138"/>
      <c r="T320" s="138"/>
      <c r="U320" s="138"/>
      <c r="V320" s="138"/>
      <c r="W320" s="138"/>
      <c r="X320" s="503"/>
    </row>
    <row r="321" spans="1:24" hidden="1" outlineLevel="1" x14ac:dyDescent="0.2">
      <c r="A321" s="138"/>
      <c r="B321" s="138"/>
      <c r="C321" s="493"/>
      <c r="D321" s="493"/>
      <c r="E321" s="493"/>
      <c r="F321" s="493"/>
      <c r="G321" s="493"/>
      <c r="H321" s="131" t="s">
        <v>759</v>
      </c>
      <c r="I321" s="27"/>
      <c r="J321" s="494"/>
      <c r="K321" s="493"/>
      <c r="L321" s="724"/>
      <c r="M321" s="575"/>
      <c r="N321" s="725">
        <f>IF(L321&lt;&gt;"",VLOOKUP(L321,AuthorityCode,2,FALSE),0)</f>
        <v>0</v>
      </c>
      <c r="O321" s="503"/>
      <c r="P321" s="94"/>
      <c r="Q321" s="138"/>
      <c r="R321" s="138"/>
      <c r="S321" s="138"/>
      <c r="T321" s="138"/>
      <c r="U321" s="138"/>
      <c r="V321" s="138"/>
      <c r="W321" s="138"/>
      <c r="X321" s="503"/>
    </row>
    <row r="322" spans="1:24" hidden="1" outlineLevel="1" x14ac:dyDescent="0.2">
      <c r="A322" s="138"/>
      <c r="B322" s="138"/>
      <c r="C322" s="548" t="s">
        <v>57</v>
      </c>
      <c r="D322" s="313"/>
      <c r="E322" s="24"/>
      <c r="F322" s="106" t="str">
        <f>IF(E322&lt;&gt;"",VLOOKUP(E322,TPShortCode,3,FALSE),"")</f>
        <v/>
      </c>
      <c r="G322" s="136"/>
      <c r="H322" s="131" t="str">
        <f>VLOOKUP(F320,MaxQ,2,TRUE)</f>
        <v>Max quantity (units)</v>
      </c>
      <c r="I322" s="27"/>
      <c r="J322" s="494"/>
      <c r="K322" s="493"/>
      <c r="L322" s="724"/>
      <c r="M322" s="575"/>
      <c r="N322" s="575"/>
      <c r="O322" s="503"/>
      <c r="P322" s="94"/>
      <c r="Q322" s="138"/>
      <c r="R322" s="138"/>
      <c r="S322" s="138"/>
      <c r="T322" s="138"/>
      <c r="U322" s="138"/>
      <c r="V322" s="138"/>
      <c r="W322" s="138"/>
      <c r="X322" s="503"/>
    </row>
    <row r="323" spans="1:24" hidden="1" outlineLevel="1" x14ac:dyDescent="0.2">
      <c r="A323" s="138"/>
      <c r="B323" s="138"/>
      <c r="C323" s="493"/>
      <c r="D323" s="493"/>
      <c r="E323" s="26"/>
      <c r="F323" s="493"/>
      <c r="G323" s="493"/>
      <c r="H323" s="131" t="s">
        <v>633</v>
      </c>
      <c r="I323" s="27"/>
      <c r="J323" s="494"/>
      <c r="K323" s="493"/>
      <c r="L323" s="503"/>
      <c r="M323" s="503"/>
      <c r="N323" s="503"/>
      <c r="O323" s="503"/>
      <c r="P323" s="94"/>
      <c r="Q323" s="138"/>
      <c r="R323" s="138"/>
      <c r="S323" s="138"/>
      <c r="T323" s="138"/>
      <c r="U323" s="138"/>
      <c r="V323" s="138"/>
      <c r="W323" s="138"/>
      <c r="X323" s="503"/>
    </row>
    <row r="324" spans="1:24" hidden="1" outlineLevel="1" x14ac:dyDescent="0.2">
      <c r="A324" s="138"/>
      <c r="B324" s="138"/>
      <c r="C324" s="738" t="s">
        <v>634</v>
      </c>
      <c r="D324" s="739"/>
      <c r="E324" s="26"/>
      <c r="F324" s="493"/>
      <c r="G324" s="493"/>
      <c r="H324" s="494"/>
      <c r="I324" s="494"/>
      <c r="J324" s="494"/>
      <c r="K324" s="493"/>
      <c r="L324" s="503"/>
      <c r="M324" s="503"/>
      <c r="N324" s="503"/>
      <c r="O324" s="503"/>
      <c r="P324" s="494"/>
      <c r="Q324" s="138"/>
      <c r="R324" s="138"/>
      <c r="S324" s="138"/>
      <c r="T324" s="138"/>
      <c r="U324" s="138"/>
      <c r="V324" s="138"/>
      <c r="W324" s="138"/>
      <c r="X324" s="503"/>
    </row>
    <row r="325" spans="1:24" hidden="1" outlineLevel="1" x14ac:dyDescent="0.2">
      <c r="A325" s="138"/>
      <c r="B325" s="138"/>
      <c r="C325" s="738" t="s">
        <v>635</v>
      </c>
      <c r="D325" s="739"/>
      <c r="E325" s="26"/>
      <c r="F325" s="494"/>
      <c r="G325" s="494"/>
      <c r="H325" s="494"/>
      <c r="I325" s="494"/>
      <c r="J325" s="494"/>
      <c r="K325" s="493"/>
      <c r="L325" s="503"/>
      <c r="M325" s="503"/>
      <c r="N325" s="503"/>
      <c r="O325" s="503"/>
      <c r="P325" s="94"/>
      <c r="Q325" s="138"/>
      <c r="R325" s="138"/>
      <c r="S325" s="138"/>
      <c r="T325" s="138"/>
      <c r="U325" s="138"/>
      <c r="V325" s="138"/>
      <c r="W325" s="138"/>
      <c r="X325" s="503"/>
    </row>
    <row r="326" spans="1:24" hidden="1" outlineLevel="1" x14ac:dyDescent="0.2">
      <c r="A326" s="138"/>
      <c r="B326" s="138"/>
      <c r="C326" s="738" t="s">
        <v>636</v>
      </c>
      <c r="D326" s="739"/>
      <c r="E326" s="26"/>
      <c r="F326" s="494"/>
      <c r="G326" s="494"/>
      <c r="H326" s="494"/>
      <c r="I326" s="494"/>
      <c r="J326" s="494"/>
      <c r="K326" s="494"/>
      <c r="L326" s="503"/>
      <c r="M326" s="503"/>
      <c r="N326" s="503"/>
      <c r="O326" s="503"/>
      <c r="P326" s="94"/>
      <c r="Q326" s="138"/>
      <c r="R326" s="138"/>
      <c r="S326" s="138"/>
      <c r="T326" s="138"/>
      <c r="U326" s="138"/>
      <c r="V326" s="138"/>
      <c r="W326" s="138"/>
      <c r="X326" s="503"/>
    </row>
    <row r="327" spans="1:24" hidden="1" outlineLevel="1" x14ac:dyDescent="0.2">
      <c r="A327" s="138"/>
      <c r="B327" s="138"/>
      <c r="C327" s="738" t="s">
        <v>977</v>
      </c>
      <c r="D327" s="739"/>
      <c r="E327" s="44" t="str">
        <f>IF(AND(E325&lt;&gt;"",E326&lt;&gt;""),E325 &amp; " " &amp; E326,IF(E326&lt;&gt;"",E326,""))</f>
        <v/>
      </c>
      <c r="F327" s="494"/>
      <c r="G327" s="494"/>
      <c r="H327" s="494"/>
      <c r="I327" s="494"/>
      <c r="J327" s="494"/>
      <c r="K327" s="494"/>
      <c r="L327" s="494"/>
      <c r="M327" s="494"/>
      <c r="N327" s="493"/>
      <c r="O327" s="94"/>
      <c r="P327" s="94"/>
      <c r="Q327" s="138"/>
      <c r="R327" s="138"/>
      <c r="S327" s="138"/>
      <c r="T327" s="138"/>
      <c r="U327" s="138"/>
      <c r="V327" s="138"/>
      <c r="W327" s="138"/>
      <c r="X327" s="503"/>
    </row>
    <row r="328" spans="1:24" hidden="1" outlineLevel="1" x14ac:dyDescent="0.2">
      <c r="A328" s="138"/>
      <c r="B328" s="138"/>
      <c r="C328" s="738" t="s">
        <v>637</v>
      </c>
      <c r="D328" s="739"/>
      <c r="E328" s="26"/>
      <c r="F328" s="494"/>
      <c r="G328" s="494"/>
      <c r="H328" s="494"/>
      <c r="I328" s="494"/>
      <c r="J328" s="494"/>
      <c r="K328" s="494"/>
      <c r="L328" s="494"/>
      <c r="M328" s="494"/>
      <c r="N328" s="493"/>
      <c r="O328" s="94"/>
      <c r="P328" s="94"/>
      <c r="Q328" s="138"/>
      <c r="R328" s="138"/>
      <c r="S328" s="138"/>
      <c r="T328" s="138"/>
      <c r="U328" s="138"/>
      <c r="V328" s="138"/>
      <c r="W328" s="138"/>
      <c r="X328" s="503"/>
    </row>
    <row r="329" spans="1:24" hidden="1" outlineLevel="1" x14ac:dyDescent="0.2">
      <c r="A329" s="138"/>
      <c r="B329" s="138"/>
      <c r="C329" s="738" t="s">
        <v>638</v>
      </c>
      <c r="D329" s="739"/>
      <c r="E329" s="26"/>
      <c r="F329" s="494"/>
      <c r="G329" s="494"/>
      <c r="H329" s="494"/>
      <c r="I329" s="494"/>
      <c r="J329" s="494"/>
      <c r="K329" s="494"/>
      <c r="L329" s="494"/>
      <c r="M329" s="494"/>
      <c r="N329" s="493"/>
      <c r="O329" s="94"/>
      <c r="P329" s="94"/>
      <c r="Q329" s="138"/>
      <c r="R329" s="138"/>
      <c r="S329" s="138"/>
      <c r="T329" s="138"/>
      <c r="U329" s="138"/>
      <c r="V329" s="138"/>
      <c r="W329" s="138"/>
      <c r="X329" s="503"/>
    </row>
    <row r="330" spans="1:24" hidden="1" outlineLevel="1" x14ac:dyDescent="0.2">
      <c r="A330" s="138"/>
      <c r="B330" s="138"/>
      <c r="C330" s="738" t="s">
        <v>639</v>
      </c>
      <c r="D330" s="739"/>
      <c r="E330" s="26"/>
      <c r="F330" s="494"/>
      <c r="G330" s="494"/>
      <c r="H330" s="494"/>
      <c r="I330" s="494"/>
      <c r="J330" s="494"/>
      <c r="K330" s="494"/>
      <c r="L330" s="494"/>
      <c r="M330" s="494"/>
      <c r="N330" s="493"/>
      <c r="O330" s="94"/>
      <c r="P330" s="94"/>
      <c r="Q330" s="138"/>
      <c r="R330" s="138"/>
      <c r="S330" s="138"/>
      <c r="T330" s="138"/>
      <c r="U330" s="138"/>
      <c r="V330" s="138"/>
      <c r="W330" s="138"/>
      <c r="X330" s="503"/>
    </row>
    <row r="331" spans="1:24" hidden="1" outlineLevel="1" x14ac:dyDescent="0.2">
      <c r="A331" s="138"/>
      <c r="B331" s="138"/>
      <c r="C331" s="738" t="s">
        <v>640</v>
      </c>
      <c r="D331" s="739"/>
      <c r="E331" s="26"/>
      <c r="F331" s="494"/>
      <c r="G331" s="494"/>
      <c r="H331" s="494"/>
      <c r="I331" s="494"/>
      <c r="J331" s="494"/>
      <c r="K331" s="494"/>
      <c r="L331" s="494"/>
      <c r="M331" s="494"/>
      <c r="N331" s="493"/>
      <c r="O331" s="94"/>
      <c r="P331" s="94"/>
      <c r="Q331" s="138"/>
      <c r="R331" s="138"/>
      <c r="S331" s="138"/>
      <c r="T331" s="138"/>
      <c r="U331" s="138"/>
      <c r="V331" s="138"/>
      <c r="W331" s="138"/>
      <c r="X331" s="503"/>
    </row>
    <row r="332" spans="1:24" hidden="1" outlineLevel="1" x14ac:dyDescent="0.2">
      <c r="A332" s="138"/>
      <c r="B332" s="138"/>
      <c r="C332" s="138"/>
      <c r="D332" s="138"/>
      <c r="E332" s="138"/>
      <c r="F332" s="494"/>
      <c r="G332" s="494"/>
      <c r="H332" s="494"/>
      <c r="I332" s="494"/>
      <c r="J332" s="494"/>
      <c r="K332" s="494"/>
      <c r="L332" s="494"/>
      <c r="M332" s="494"/>
      <c r="N332" s="493"/>
      <c r="O332" s="94"/>
      <c r="P332" s="94"/>
      <c r="Q332" s="138"/>
      <c r="R332" s="138"/>
      <c r="S332" s="138"/>
      <c r="T332" s="138"/>
      <c r="U332" s="138"/>
      <c r="V332" s="138"/>
      <c r="W332" s="138"/>
      <c r="X332" s="503"/>
    </row>
    <row r="333" spans="1:24" hidden="1" outlineLevel="1" x14ac:dyDescent="0.2">
      <c r="A333" s="138"/>
      <c r="B333" s="138"/>
      <c r="C333" s="493"/>
      <c r="D333" s="493"/>
      <c r="E333" s="493"/>
      <c r="F333" s="128"/>
      <c r="G333" s="128"/>
      <c r="H333" s="493"/>
      <c r="I333" s="493"/>
      <c r="J333" s="494"/>
      <c r="K333" s="493"/>
      <c r="L333" s="493"/>
      <c r="M333" s="493"/>
      <c r="N333" s="493"/>
      <c r="O333" s="94"/>
      <c r="P333" s="94"/>
      <c r="Q333" s="138"/>
      <c r="R333" s="138"/>
      <c r="S333" s="138"/>
      <c r="T333" s="138"/>
      <c r="U333" s="138"/>
      <c r="V333" s="138"/>
      <c r="W333" s="138"/>
      <c r="X333" s="503"/>
    </row>
    <row r="334" spans="1:24" ht="15.75" collapsed="1" x14ac:dyDescent="0.2">
      <c r="A334" s="138"/>
      <c r="B334" s="330">
        <v>19</v>
      </c>
      <c r="C334" s="743" t="str">
        <f xml:space="preserve"> IF(B334&lt;=$I$61,"Restriction " &amp; B334 &amp; " of " &amp; $I$61,MsgNotUsed)</f>
        <v>** NOT USED **</v>
      </c>
      <c r="D334" s="744"/>
      <c r="E334" s="745"/>
      <c r="F334" s="128"/>
      <c r="G334" s="128"/>
      <c r="H334" s="493"/>
      <c r="I334" s="493"/>
      <c r="J334" s="494"/>
      <c r="K334" s="493"/>
      <c r="L334" s="494"/>
      <c r="M334" s="494"/>
      <c r="N334" s="493"/>
      <c r="O334" s="94"/>
      <c r="P334" s="94"/>
      <c r="Q334" s="138"/>
      <c r="R334" s="138"/>
      <c r="S334" s="138"/>
      <c r="T334" s="138"/>
      <c r="U334" s="138"/>
      <c r="V334" s="138"/>
      <c r="W334" s="138"/>
      <c r="X334" s="503"/>
    </row>
    <row r="335" spans="1:24" hidden="1" outlineLevel="1" x14ac:dyDescent="0.2">
      <c r="A335" s="138"/>
      <c r="B335" s="138"/>
      <c r="C335" s="547" t="s">
        <v>631</v>
      </c>
      <c r="D335" s="378"/>
      <c r="E335" s="43" t="str">
        <f>IF(D335&lt;&gt;"",VLOOKUP(D335,ProgrammeCode,2,FALSE),"")</f>
        <v/>
      </c>
      <c r="F335" s="106">
        <f>IF(D335&lt;&gt;"",VLOOKUP(D335,ProgrammeCode,3),0)</f>
        <v>0</v>
      </c>
      <c r="G335" s="111"/>
      <c r="H335" s="495" t="s">
        <v>632</v>
      </c>
      <c r="I335" s="378"/>
      <c r="J335" s="494" t="str">
        <f>IF(I335="New","N","")</f>
        <v/>
      </c>
      <c r="K335" s="493"/>
      <c r="L335" s="546" t="s">
        <v>778</v>
      </c>
      <c r="M335" s="503"/>
      <c r="N335" s="503"/>
      <c r="O335" s="503"/>
      <c r="P335" s="94"/>
      <c r="Q335" s="138"/>
      <c r="R335" s="138"/>
      <c r="S335" s="138"/>
      <c r="T335" s="138"/>
      <c r="U335" s="138"/>
      <c r="V335" s="138"/>
      <c r="W335" s="138"/>
      <c r="X335" s="503"/>
    </row>
    <row r="336" spans="1:24" hidden="1" outlineLevel="1" x14ac:dyDescent="0.2">
      <c r="A336" s="138"/>
      <c r="B336" s="138"/>
      <c r="C336" s="493"/>
      <c r="D336" s="493"/>
      <c r="E336" s="493"/>
      <c r="F336" s="493"/>
      <c r="G336" s="493"/>
      <c r="H336" s="131" t="s">
        <v>759</v>
      </c>
      <c r="I336" s="27"/>
      <c r="J336" s="494"/>
      <c r="K336" s="493"/>
      <c r="L336" s="724"/>
      <c r="M336" s="575"/>
      <c r="N336" s="725">
        <f>IF(L336&lt;&gt;"",VLOOKUP(L336,AuthorityCode,2,FALSE),0)</f>
        <v>0</v>
      </c>
      <c r="O336" s="503"/>
      <c r="P336" s="94"/>
      <c r="Q336" s="138"/>
      <c r="R336" s="138"/>
      <c r="S336" s="138"/>
      <c r="T336" s="138"/>
      <c r="U336" s="138"/>
      <c r="V336" s="138"/>
      <c r="W336" s="138"/>
      <c r="X336" s="503"/>
    </row>
    <row r="337" spans="1:24" hidden="1" outlineLevel="1" x14ac:dyDescent="0.2">
      <c r="A337" s="138"/>
      <c r="B337" s="138"/>
      <c r="C337" s="548" t="s">
        <v>57</v>
      </c>
      <c r="D337" s="313"/>
      <c r="E337" s="24"/>
      <c r="F337" s="106" t="str">
        <f>IF(E337&lt;&gt;"",VLOOKUP(E337,TPShortCode,3,FALSE),"")</f>
        <v/>
      </c>
      <c r="G337" s="136"/>
      <c r="H337" s="131" t="str">
        <f>VLOOKUP(F335,MaxQ,2,TRUE)</f>
        <v>Max quantity (units)</v>
      </c>
      <c r="I337" s="27"/>
      <c r="J337" s="494"/>
      <c r="K337" s="493"/>
      <c r="L337" s="724"/>
      <c r="M337" s="575"/>
      <c r="N337" s="575"/>
      <c r="O337" s="503"/>
      <c r="P337" s="94"/>
      <c r="Q337" s="138"/>
      <c r="R337" s="138"/>
      <c r="S337" s="138"/>
      <c r="T337" s="138"/>
      <c r="U337" s="138"/>
      <c r="V337" s="138"/>
      <c r="W337" s="138"/>
      <c r="X337" s="503"/>
    </row>
    <row r="338" spans="1:24" hidden="1" outlineLevel="1" x14ac:dyDescent="0.2">
      <c r="A338" s="138"/>
      <c r="B338" s="138"/>
      <c r="C338" s="493"/>
      <c r="D338" s="493"/>
      <c r="E338" s="26"/>
      <c r="F338" s="493"/>
      <c r="G338" s="493"/>
      <c r="H338" s="131" t="s">
        <v>633</v>
      </c>
      <c r="I338" s="27"/>
      <c r="J338" s="494"/>
      <c r="K338" s="493"/>
      <c r="L338" s="503"/>
      <c r="M338" s="503"/>
      <c r="N338" s="503"/>
      <c r="O338" s="503"/>
      <c r="P338" s="94"/>
      <c r="Q338" s="138"/>
      <c r="R338" s="138"/>
      <c r="S338" s="138"/>
      <c r="T338" s="138"/>
      <c r="U338" s="138"/>
      <c r="V338" s="138"/>
      <c r="W338" s="138"/>
      <c r="X338" s="503"/>
    </row>
    <row r="339" spans="1:24" hidden="1" outlineLevel="1" x14ac:dyDescent="0.2">
      <c r="A339" s="138"/>
      <c r="B339" s="138"/>
      <c r="C339" s="738" t="s">
        <v>634</v>
      </c>
      <c r="D339" s="739"/>
      <c r="E339" s="26"/>
      <c r="F339" s="493"/>
      <c r="G339" s="493"/>
      <c r="H339" s="494"/>
      <c r="I339" s="494"/>
      <c r="J339" s="494"/>
      <c r="K339" s="493"/>
      <c r="L339" s="503"/>
      <c r="M339" s="503"/>
      <c r="N339" s="503"/>
      <c r="O339" s="503"/>
      <c r="P339" s="494"/>
      <c r="Q339" s="138"/>
      <c r="R339" s="138"/>
      <c r="S339" s="138"/>
      <c r="T339" s="138"/>
      <c r="U339" s="138"/>
      <c r="V339" s="138"/>
      <c r="W339" s="138"/>
      <c r="X339" s="503"/>
    </row>
    <row r="340" spans="1:24" hidden="1" outlineLevel="1" x14ac:dyDescent="0.2">
      <c r="A340" s="138"/>
      <c r="B340" s="138"/>
      <c r="C340" s="738" t="s">
        <v>635</v>
      </c>
      <c r="D340" s="739"/>
      <c r="E340" s="26"/>
      <c r="F340" s="494"/>
      <c r="G340" s="494"/>
      <c r="H340" s="494"/>
      <c r="I340" s="494"/>
      <c r="J340" s="494"/>
      <c r="K340" s="493"/>
      <c r="L340" s="503"/>
      <c r="M340" s="503"/>
      <c r="N340" s="503"/>
      <c r="O340" s="503"/>
      <c r="P340" s="94"/>
      <c r="Q340" s="138"/>
      <c r="R340" s="138"/>
      <c r="S340" s="138"/>
      <c r="T340" s="138"/>
      <c r="U340" s="138"/>
      <c r="V340" s="138"/>
      <c r="W340" s="138"/>
      <c r="X340" s="503"/>
    </row>
    <row r="341" spans="1:24" hidden="1" outlineLevel="1" x14ac:dyDescent="0.2">
      <c r="A341" s="138"/>
      <c r="B341" s="138"/>
      <c r="C341" s="738" t="s">
        <v>636</v>
      </c>
      <c r="D341" s="739"/>
      <c r="E341" s="26"/>
      <c r="F341" s="494"/>
      <c r="G341" s="494"/>
      <c r="H341" s="494"/>
      <c r="I341" s="494"/>
      <c r="J341" s="494"/>
      <c r="K341" s="494"/>
      <c r="L341" s="503"/>
      <c r="M341" s="503"/>
      <c r="N341" s="503"/>
      <c r="O341" s="503"/>
      <c r="P341" s="94"/>
      <c r="Q341" s="138"/>
      <c r="R341" s="138"/>
      <c r="S341" s="138"/>
      <c r="T341" s="138"/>
      <c r="U341" s="138"/>
      <c r="V341" s="138"/>
      <c r="W341" s="138"/>
      <c r="X341" s="503"/>
    </row>
    <row r="342" spans="1:24" hidden="1" outlineLevel="1" x14ac:dyDescent="0.2">
      <c r="A342" s="138"/>
      <c r="B342" s="138"/>
      <c r="C342" s="738" t="s">
        <v>977</v>
      </c>
      <c r="D342" s="739"/>
      <c r="E342" s="44" t="str">
        <f>IF(AND(E340&lt;&gt;"",E341&lt;&gt;""),E340 &amp; " " &amp; E341,IF(E341&lt;&gt;"",E341,""))</f>
        <v/>
      </c>
      <c r="F342" s="494"/>
      <c r="G342" s="494"/>
      <c r="H342" s="494"/>
      <c r="I342" s="494"/>
      <c r="J342" s="494"/>
      <c r="K342" s="494"/>
      <c r="L342" s="494"/>
      <c r="M342" s="494"/>
      <c r="N342" s="493"/>
      <c r="O342" s="94"/>
      <c r="P342" s="94"/>
      <c r="Q342" s="138"/>
      <c r="R342" s="138"/>
      <c r="S342" s="138"/>
      <c r="T342" s="138"/>
      <c r="U342" s="138"/>
      <c r="V342" s="138"/>
      <c r="W342" s="138"/>
      <c r="X342" s="503"/>
    </row>
    <row r="343" spans="1:24" hidden="1" outlineLevel="1" x14ac:dyDescent="0.2">
      <c r="A343" s="138"/>
      <c r="B343" s="138"/>
      <c r="C343" s="738" t="s">
        <v>637</v>
      </c>
      <c r="D343" s="739"/>
      <c r="E343" s="26"/>
      <c r="F343" s="494"/>
      <c r="G343" s="494"/>
      <c r="H343" s="494"/>
      <c r="I343" s="494"/>
      <c r="J343" s="494"/>
      <c r="K343" s="494"/>
      <c r="L343" s="494"/>
      <c r="M343" s="494"/>
      <c r="N343" s="493"/>
      <c r="O343" s="94"/>
      <c r="P343" s="94"/>
      <c r="Q343" s="138"/>
      <c r="R343" s="138"/>
      <c r="S343" s="138"/>
      <c r="T343" s="138"/>
      <c r="U343" s="138"/>
      <c r="V343" s="138"/>
      <c r="W343" s="138"/>
      <c r="X343" s="503"/>
    </row>
    <row r="344" spans="1:24" hidden="1" outlineLevel="1" x14ac:dyDescent="0.2">
      <c r="A344" s="138"/>
      <c r="B344" s="138"/>
      <c r="C344" s="738" t="s">
        <v>638</v>
      </c>
      <c r="D344" s="739"/>
      <c r="E344" s="26"/>
      <c r="F344" s="494"/>
      <c r="G344" s="494"/>
      <c r="H344" s="494"/>
      <c r="I344" s="494"/>
      <c r="J344" s="494"/>
      <c r="K344" s="494"/>
      <c r="L344" s="494"/>
      <c r="M344" s="494"/>
      <c r="N344" s="493"/>
      <c r="O344" s="94"/>
      <c r="P344" s="94"/>
      <c r="Q344" s="138"/>
      <c r="R344" s="138"/>
      <c r="S344" s="138"/>
      <c r="T344" s="138"/>
      <c r="U344" s="138"/>
      <c r="V344" s="138"/>
      <c r="W344" s="138"/>
      <c r="X344" s="503"/>
    </row>
    <row r="345" spans="1:24" hidden="1" outlineLevel="1" x14ac:dyDescent="0.2">
      <c r="A345" s="138"/>
      <c r="B345" s="138"/>
      <c r="C345" s="738" t="s">
        <v>639</v>
      </c>
      <c r="D345" s="739"/>
      <c r="E345" s="26"/>
      <c r="F345" s="494"/>
      <c r="G345" s="494"/>
      <c r="H345" s="494"/>
      <c r="I345" s="494"/>
      <c r="J345" s="494"/>
      <c r="K345" s="494"/>
      <c r="L345" s="494"/>
      <c r="M345" s="494"/>
      <c r="N345" s="493"/>
      <c r="O345" s="94"/>
      <c r="P345" s="94"/>
      <c r="Q345" s="138"/>
      <c r="R345" s="138"/>
      <c r="S345" s="138"/>
      <c r="T345" s="138"/>
      <c r="U345" s="138"/>
      <c r="V345" s="138"/>
      <c r="W345" s="138"/>
      <c r="X345" s="503"/>
    </row>
    <row r="346" spans="1:24" hidden="1" outlineLevel="1" x14ac:dyDescent="0.2">
      <c r="A346" s="138"/>
      <c r="B346" s="138"/>
      <c r="C346" s="738" t="s">
        <v>640</v>
      </c>
      <c r="D346" s="739"/>
      <c r="E346" s="26"/>
      <c r="F346" s="494"/>
      <c r="G346" s="494"/>
      <c r="H346" s="494"/>
      <c r="I346" s="494"/>
      <c r="J346" s="494"/>
      <c r="K346" s="494"/>
      <c r="L346" s="494"/>
      <c r="M346" s="494"/>
      <c r="N346" s="493"/>
      <c r="O346" s="94"/>
      <c r="P346" s="94"/>
      <c r="Q346" s="138"/>
      <c r="R346" s="138"/>
      <c r="S346" s="138"/>
      <c r="T346" s="138"/>
      <c r="U346" s="138"/>
      <c r="V346" s="138"/>
      <c r="W346" s="138"/>
      <c r="X346" s="503"/>
    </row>
    <row r="347" spans="1:24" hidden="1" outlineLevel="1" x14ac:dyDescent="0.2">
      <c r="A347" s="138"/>
      <c r="B347" s="138"/>
      <c r="C347" s="138"/>
      <c r="D347" s="138"/>
      <c r="E347" s="138"/>
      <c r="F347" s="494"/>
      <c r="G347" s="494"/>
      <c r="H347" s="494"/>
      <c r="I347" s="494"/>
      <c r="J347" s="494"/>
      <c r="K347" s="494"/>
      <c r="L347" s="494"/>
      <c r="M347" s="494"/>
      <c r="N347" s="493"/>
      <c r="O347" s="94"/>
      <c r="P347" s="94"/>
      <c r="Q347" s="138"/>
      <c r="R347" s="138"/>
      <c r="S347" s="138"/>
      <c r="T347" s="138"/>
      <c r="U347" s="138"/>
      <c r="V347" s="138"/>
      <c r="W347" s="138"/>
      <c r="X347" s="503"/>
    </row>
    <row r="348" spans="1:24" hidden="1" outlineLevel="1" x14ac:dyDescent="0.2">
      <c r="A348" s="138"/>
      <c r="B348" s="138"/>
      <c r="C348" s="493"/>
      <c r="D348" s="493"/>
      <c r="E348" s="493"/>
      <c r="F348" s="128"/>
      <c r="G348" s="128"/>
      <c r="H348" s="493"/>
      <c r="I348" s="493"/>
      <c r="J348" s="494"/>
      <c r="K348" s="493"/>
      <c r="L348" s="493"/>
      <c r="M348" s="493"/>
      <c r="N348" s="493"/>
      <c r="O348" s="94"/>
      <c r="P348" s="94"/>
      <c r="Q348" s="138"/>
      <c r="R348" s="138"/>
      <c r="S348" s="138"/>
      <c r="T348" s="138"/>
      <c r="U348" s="138"/>
      <c r="V348" s="138"/>
      <c r="W348" s="138"/>
      <c r="X348" s="503"/>
    </row>
    <row r="349" spans="1:24" ht="15.75" collapsed="1" x14ac:dyDescent="0.2">
      <c r="A349" s="138"/>
      <c r="B349" s="330">
        <v>20</v>
      </c>
      <c r="C349" s="743" t="str">
        <f xml:space="preserve"> IF(B349&lt;=$I$61,"Restriction " &amp; B349 &amp; " of " &amp; $I$61,MsgNotUsed)</f>
        <v>** NOT USED **</v>
      </c>
      <c r="D349" s="760"/>
      <c r="E349" s="761"/>
      <c r="F349" s="128"/>
      <c r="G349" s="128"/>
      <c r="H349" s="493"/>
      <c r="I349" s="493"/>
      <c r="J349" s="494"/>
      <c r="K349" s="493"/>
      <c r="L349" s="494"/>
      <c r="M349" s="494"/>
      <c r="N349" s="493"/>
      <c r="O349" s="94"/>
      <c r="P349" s="94"/>
      <c r="Q349" s="138"/>
      <c r="R349" s="138"/>
      <c r="S349" s="138"/>
      <c r="T349" s="138"/>
      <c r="U349" s="138"/>
      <c r="V349" s="138"/>
      <c r="W349" s="138"/>
      <c r="X349" s="503"/>
    </row>
    <row r="350" spans="1:24" hidden="1" outlineLevel="1" x14ac:dyDescent="0.2">
      <c r="A350" s="138"/>
      <c r="B350" s="138"/>
      <c r="C350" s="547" t="s">
        <v>631</v>
      </c>
      <c r="D350" s="378"/>
      <c r="E350" s="43" t="str">
        <f>IF(D350&lt;&gt;"",VLOOKUP(D350,ProgrammeCode,2,FALSE),"")</f>
        <v/>
      </c>
      <c r="F350" s="106">
        <f>IF(D350&lt;&gt;"",VLOOKUP(D350,ProgrammeCode,3),0)</f>
        <v>0</v>
      </c>
      <c r="G350" s="111"/>
      <c r="H350" s="495" t="s">
        <v>632</v>
      </c>
      <c r="I350" s="378"/>
      <c r="J350" s="494" t="str">
        <f>IF(I350="New","N","")</f>
        <v/>
      </c>
      <c r="K350" s="493"/>
      <c r="L350" s="546" t="s">
        <v>778</v>
      </c>
      <c r="M350" s="503"/>
      <c r="N350" s="503"/>
      <c r="O350" s="503"/>
      <c r="P350" s="94"/>
      <c r="Q350" s="138"/>
      <c r="R350" s="138"/>
      <c r="S350" s="138"/>
      <c r="T350" s="138"/>
      <c r="U350" s="138"/>
      <c r="V350" s="138"/>
      <c r="W350" s="138"/>
      <c r="X350" s="503"/>
    </row>
    <row r="351" spans="1:24" hidden="1" outlineLevel="1" x14ac:dyDescent="0.2">
      <c r="A351" s="138"/>
      <c r="B351" s="138"/>
      <c r="C351" s="493"/>
      <c r="D351" s="493"/>
      <c r="E351" s="493"/>
      <c r="F351" s="105"/>
      <c r="G351" s="493"/>
      <c r="H351" s="131" t="s">
        <v>759</v>
      </c>
      <c r="I351" s="27"/>
      <c r="J351" s="493"/>
      <c r="K351" s="493"/>
      <c r="L351" s="724"/>
      <c r="M351" s="575"/>
      <c r="N351" s="725">
        <f>IF(L351&lt;&gt;"",VLOOKUP(L351,AuthorityCode,2,FALSE),0)</f>
        <v>0</v>
      </c>
      <c r="O351" s="503"/>
      <c r="P351" s="94"/>
      <c r="Q351" s="138"/>
      <c r="R351" s="138"/>
      <c r="S351" s="138"/>
      <c r="T351" s="138"/>
      <c r="U351" s="138"/>
      <c r="V351" s="138"/>
      <c r="W351" s="138"/>
      <c r="X351" s="503"/>
    </row>
    <row r="352" spans="1:24" hidden="1" outlineLevel="1" x14ac:dyDescent="0.2">
      <c r="A352" s="138"/>
      <c r="B352" s="138"/>
      <c r="C352" s="548" t="s">
        <v>57</v>
      </c>
      <c r="D352" s="313"/>
      <c r="E352" s="24"/>
      <c r="F352" s="106" t="str">
        <f>IF(E352&lt;&gt;"",VLOOKUP(E352,TPShortCode,3,FALSE),"")</f>
        <v/>
      </c>
      <c r="G352" s="136"/>
      <c r="H352" s="131" t="str">
        <f>VLOOKUP(F350,MaxQ,2,TRUE)</f>
        <v>Max quantity (units)</v>
      </c>
      <c r="I352" s="27"/>
      <c r="J352" s="493"/>
      <c r="K352" s="493"/>
      <c r="L352" s="724"/>
      <c r="M352" s="575"/>
      <c r="N352" s="575"/>
      <c r="O352" s="503"/>
      <c r="P352" s="94"/>
      <c r="Q352" s="138"/>
      <c r="R352" s="138"/>
      <c r="S352" s="138"/>
      <c r="T352" s="138"/>
      <c r="U352" s="138"/>
      <c r="V352" s="138"/>
      <c r="W352" s="138"/>
      <c r="X352" s="503"/>
    </row>
    <row r="353" spans="1:24" hidden="1" outlineLevel="1" x14ac:dyDescent="0.2">
      <c r="A353" s="138"/>
      <c r="B353" s="138"/>
      <c r="C353" s="493"/>
      <c r="D353" s="493"/>
      <c r="E353" s="26"/>
      <c r="F353" s="106">
        <f>COUNTIF(F64:F352,"I")</f>
        <v>0</v>
      </c>
      <c r="G353" s="493"/>
      <c r="H353" s="131" t="s">
        <v>633</v>
      </c>
      <c r="I353" s="27"/>
      <c r="J353" s="493"/>
      <c r="K353" s="493"/>
      <c r="L353" s="503"/>
      <c r="M353" s="503"/>
      <c r="N353" s="503"/>
      <c r="O353" s="503"/>
      <c r="P353" s="94"/>
      <c r="Q353" s="138"/>
      <c r="R353" s="138"/>
      <c r="S353" s="138"/>
      <c r="T353" s="138"/>
      <c r="U353" s="138"/>
      <c r="V353" s="138"/>
      <c r="W353" s="138"/>
      <c r="X353" s="503"/>
    </row>
    <row r="354" spans="1:24" hidden="1" outlineLevel="1" x14ac:dyDescent="0.2">
      <c r="A354" s="138"/>
      <c r="B354" s="138"/>
      <c r="C354" s="738" t="s">
        <v>634</v>
      </c>
      <c r="D354" s="754"/>
      <c r="E354" s="26"/>
      <c r="F354" s="106">
        <f>COUNTIF(F64:F352,"C")</f>
        <v>0</v>
      </c>
      <c r="G354" s="493"/>
      <c r="H354" s="494"/>
      <c r="I354" s="494"/>
      <c r="J354" s="493"/>
      <c r="K354" s="493"/>
      <c r="L354" s="503"/>
      <c r="M354" s="503"/>
      <c r="N354" s="503"/>
      <c r="O354" s="503"/>
      <c r="P354" s="494"/>
      <c r="Q354" s="138"/>
      <c r="R354" s="138"/>
      <c r="S354" s="138"/>
      <c r="T354" s="138"/>
      <c r="U354" s="138"/>
      <c r="V354" s="138"/>
      <c r="W354" s="138"/>
      <c r="X354" s="503"/>
    </row>
    <row r="355" spans="1:24" hidden="1" outlineLevel="1" x14ac:dyDescent="0.2">
      <c r="A355" s="138"/>
      <c r="B355" s="138"/>
      <c r="C355" s="738" t="s">
        <v>635</v>
      </c>
      <c r="D355" s="754"/>
      <c r="E355" s="26"/>
      <c r="F355" s="106">
        <f>COUNTIF(F64:F352,"IC")</f>
        <v>0</v>
      </c>
      <c r="G355" s="494"/>
      <c r="H355" s="494"/>
      <c r="I355" s="494"/>
      <c r="J355" s="493"/>
      <c r="K355" s="493"/>
      <c r="L355" s="503"/>
      <c r="M355" s="503"/>
      <c r="N355" s="503"/>
      <c r="O355" s="503"/>
      <c r="P355" s="94"/>
      <c r="Q355" s="138"/>
      <c r="R355" s="138"/>
      <c r="S355" s="138"/>
      <c r="T355" s="138"/>
      <c r="U355" s="138"/>
      <c r="V355" s="138"/>
      <c r="W355" s="138"/>
      <c r="X355" s="503"/>
    </row>
    <row r="356" spans="1:24" hidden="1" outlineLevel="1" x14ac:dyDescent="0.2">
      <c r="A356" s="138"/>
      <c r="B356" s="138"/>
      <c r="C356" s="738" t="s">
        <v>636</v>
      </c>
      <c r="D356" s="754"/>
      <c r="E356" s="26"/>
      <c r="F356" s="494"/>
      <c r="G356" s="494"/>
      <c r="H356" s="138"/>
      <c r="I356" s="138"/>
      <c r="J356" s="494"/>
      <c r="K356" s="494"/>
      <c r="L356" s="503"/>
      <c r="M356" s="503"/>
      <c r="N356" s="503"/>
      <c r="O356" s="503"/>
      <c r="P356" s="94"/>
      <c r="Q356" s="138"/>
      <c r="R356" s="138"/>
      <c r="S356" s="138"/>
      <c r="T356" s="138"/>
      <c r="U356" s="138"/>
      <c r="V356" s="138"/>
      <c r="W356" s="138"/>
      <c r="X356" s="503"/>
    </row>
    <row r="357" spans="1:24" hidden="1" outlineLevel="1" x14ac:dyDescent="0.2">
      <c r="A357" s="138"/>
      <c r="B357" s="138"/>
      <c r="C357" s="738" t="s">
        <v>977</v>
      </c>
      <c r="D357" s="754"/>
      <c r="E357" s="44" t="str">
        <f>IF(AND(E355&lt;&gt;"",E356&lt;&gt;""),E355 &amp; " " &amp; E356,IF(E356&lt;&gt;"",E356,""))</f>
        <v/>
      </c>
      <c r="F357" s="106">
        <f>IF(F353&gt;=1,1,0)</f>
        <v>0</v>
      </c>
      <c r="G357" s="494"/>
      <c r="H357" s="138"/>
      <c r="I357" s="138"/>
      <c r="J357" s="494"/>
      <c r="K357" s="494"/>
      <c r="L357" s="494"/>
      <c r="M357" s="494"/>
      <c r="N357" s="493"/>
      <c r="O357" s="94"/>
      <c r="P357" s="94"/>
      <c r="Q357" s="138"/>
      <c r="R357" s="138"/>
      <c r="S357" s="138"/>
      <c r="T357" s="138"/>
      <c r="U357" s="138"/>
      <c r="V357" s="138"/>
      <c r="W357" s="138"/>
      <c r="X357" s="503"/>
    </row>
    <row r="358" spans="1:24" hidden="1" outlineLevel="1" x14ac:dyDescent="0.2">
      <c r="A358" s="138"/>
      <c r="B358" s="138"/>
      <c r="C358" s="738" t="s">
        <v>637</v>
      </c>
      <c r="D358" s="754"/>
      <c r="E358" s="26"/>
      <c r="F358" s="106">
        <f>IF(F354&gt;=1,1,0)</f>
        <v>0</v>
      </c>
      <c r="G358" s="494"/>
      <c r="H358" s="494"/>
      <c r="I358" s="494"/>
      <c r="J358" s="494"/>
      <c r="K358" s="494"/>
      <c r="L358" s="494"/>
      <c r="M358" s="494"/>
      <c r="N358" s="493"/>
      <c r="O358" s="94"/>
      <c r="P358" s="94"/>
      <c r="Q358" s="138"/>
      <c r="R358" s="138"/>
      <c r="S358" s="138"/>
      <c r="T358" s="138"/>
      <c r="U358" s="138"/>
      <c r="V358" s="138"/>
      <c r="W358" s="138"/>
      <c r="X358" s="503"/>
    </row>
    <row r="359" spans="1:24" hidden="1" outlineLevel="1" x14ac:dyDescent="0.2">
      <c r="A359" s="138"/>
      <c r="B359" s="138"/>
      <c r="C359" s="738" t="s">
        <v>638</v>
      </c>
      <c r="D359" s="754"/>
      <c r="E359" s="26"/>
      <c r="F359" s="106">
        <f>IF(F355&gt;=1,1,0)</f>
        <v>0</v>
      </c>
      <c r="G359" s="494"/>
      <c r="H359" s="494"/>
      <c r="I359" s="494"/>
      <c r="J359" s="494"/>
      <c r="K359" s="494"/>
      <c r="L359" s="494"/>
      <c r="M359" s="494"/>
      <c r="N359" s="493"/>
      <c r="O359" s="94"/>
      <c r="P359" s="94"/>
      <c r="Q359" s="138"/>
      <c r="R359" s="138"/>
      <c r="S359" s="138"/>
      <c r="T359" s="138"/>
      <c r="U359" s="138"/>
      <c r="V359" s="138"/>
      <c r="W359" s="138"/>
      <c r="X359" s="503"/>
    </row>
    <row r="360" spans="1:24" hidden="1" outlineLevel="1" x14ac:dyDescent="0.2">
      <c r="A360" s="138"/>
      <c r="B360" s="138"/>
      <c r="C360" s="738" t="s">
        <v>639</v>
      </c>
      <c r="D360" s="754"/>
      <c r="E360" s="26"/>
      <c r="G360" s="494"/>
      <c r="H360" s="503"/>
      <c r="I360" s="503"/>
      <c r="J360" s="494"/>
      <c r="K360" s="494"/>
      <c r="L360" s="503"/>
      <c r="M360" s="494"/>
      <c r="N360" s="494"/>
      <c r="O360" s="494"/>
      <c r="P360" s="494"/>
      <c r="Q360" s="138"/>
      <c r="R360" s="138"/>
      <c r="S360" s="569"/>
      <c r="T360" s="138"/>
      <c r="U360" s="138"/>
      <c r="V360" s="138"/>
      <c r="W360" s="138"/>
      <c r="X360" s="503"/>
    </row>
    <row r="361" spans="1:24" ht="12.75" hidden="1" customHeight="1" outlineLevel="1" x14ac:dyDescent="0.2">
      <c r="A361" s="138"/>
      <c r="B361" s="138"/>
      <c r="C361" s="738" t="s">
        <v>640</v>
      </c>
      <c r="D361" s="754"/>
      <c r="E361" s="26"/>
      <c r="G361" s="494"/>
      <c r="H361" s="503"/>
      <c r="I361" s="503"/>
      <c r="J361" s="494"/>
      <c r="K361" s="494"/>
      <c r="L361" s="503"/>
      <c r="M361" s="494"/>
      <c r="N361" s="494"/>
      <c r="O361" s="494"/>
      <c r="P361" s="494"/>
      <c r="Q361" s="138"/>
      <c r="R361" s="138"/>
      <c r="S361" s="569"/>
      <c r="T361" s="138"/>
      <c r="U361" s="138"/>
      <c r="V361" s="138"/>
      <c r="W361" s="138"/>
      <c r="X361" s="503"/>
    </row>
    <row r="362" spans="1:24" collapsed="1" x14ac:dyDescent="0.2">
      <c r="A362" s="138"/>
      <c r="B362" s="138"/>
      <c r="C362" s="138"/>
      <c r="D362" s="138"/>
      <c r="E362" s="138"/>
      <c r="F362" s="503"/>
      <c r="G362" s="494"/>
      <c r="H362" s="494"/>
      <c r="I362" s="494"/>
      <c r="J362" s="494"/>
      <c r="K362" s="494"/>
      <c r="L362" s="494"/>
      <c r="M362" s="494"/>
      <c r="N362" s="493"/>
      <c r="O362" s="94"/>
      <c r="P362" s="94"/>
      <c r="Q362" s="138"/>
      <c r="R362" s="138"/>
      <c r="S362" s="138"/>
      <c r="T362" s="138"/>
      <c r="U362" s="138"/>
      <c r="V362" s="138"/>
      <c r="W362" s="138"/>
      <c r="X362" s="503"/>
    </row>
    <row r="363" spans="1:24" x14ac:dyDescent="0.2">
      <c r="A363" s="138"/>
      <c r="B363" s="138"/>
      <c r="C363" s="494"/>
      <c r="D363" s="494"/>
      <c r="E363" s="494"/>
      <c r="F363" s="503"/>
      <c r="G363" s="128"/>
      <c r="H363" s="493"/>
      <c r="I363" s="493"/>
      <c r="J363" s="493"/>
      <c r="K363" s="493"/>
      <c r="L363" s="493"/>
      <c r="M363" s="493"/>
      <c r="N363" s="493"/>
      <c r="O363" s="94"/>
      <c r="P363" s="94"/>
      <c r="Q363" s="138"/>
      <c r="R363" s="138"/>
      <c r="S363" s="138"/>
      <c r="T363" s="138"/>
      <c r="U363" s="138"/>
      <c r="V363" s="138"/>
      <c r="W363" s="138"/>
      <c r="X363" s="503"/>
    </row>
    <row r="364" spans="1:24" ht="15.75" x14ac:dyDescent="0.2">
      <c r="A364" s="140"/>
      <c r="B364" s="140"/>
      <c r="C364" s="132" t="s">
        <v>330</v>
      </c>
      <c r="D364" s="141"/>
      <c r="E364" s="141"/>
      <c r="F364" s="141"/>
      <c r="G364" s="141"/>
      <c r="H364" s="141"/>
      <c r="I364" s="141"/>
      <c r="J364" s="141"/>
      <c r="K364" s="141"/>
      <c r="L364" s="141"/>
      <c r="M364" s="141"/>
      <c r="N364" s="141"/>
      <c r="O364" s="141"/>
      <c r="P364" s="141"/>
      <c r="Q364" s="141"/>
      <c r="R364" s="141"/>
      <c r="S364" s="141"/>
      <c r="T364" s="141"/>
      <c r="U364" s="140"/>
      <c r="V364" s="140"/>
      <c r="W364" s="140"/>
    </row>
    <row r="365" spans="1:24" x14ac:dyDescent="0.2">
      <c r="A365" s="135"/>
      <c r="B365" s="135"/>
      <c r="C365" s="135"/>
      <c r="D365" s="135"/>
      <c r="E365" s="135"/>
      <c r="F365" s="128"/>
      <c r="G365" s="128"/>
      <c r="H365" s="128"/>
      <c r="I365" s="128"/>
      <c r="J365" s="128"/>
      <c r="K365" s="128"/>
      <c r="L365" s="142"/>
      <c r="M365" s="142"/>
      <c r="N365" s="94"/>
      <c r="O365" s="94"/>
      <c r="P365" s="94"/>
      <c r="Q365" s="142"/>
      <c r="R365" s="142"/>
      <c r="S365" s="142"/>
      <c r="T365" s="142"/>
      <c r="U365" s="138"/>
      <c r="V365" s="138"/>
      <c r="W365" s="138"/>
    </row>
    <row r="366" spans="1:24" x14ac:dyDescent="0.2">
      <c r="A366" s="138"/>
      <c r="B366" s="138"/>
      <c r="C366" s="738" t="s">
        <v>641</v>
      </c>
      <c r="D366" s="739"/>
      <c r="E366" s="24"/>
      <c r="F366" s="128"/>
      <c r="G366" s="128"/>
      <c r="H366" s="746" t="str">
        <f>IF(J366&gt;0,MsgNote &amp; VLOOKUP("NoExist",WarningMessages,2,FALSE),"")</f>
        <v/>
      </c>
      <c r="I366" s="746"/>
      <c r="J366" s="494">
        <f>COUNTIF(J65:J350,"N")</f>
        <v>0</v>
      </c>
      <c r="K366" s="128"/>
      <c r="L366" s="128"/>
      <c r="M366" s="128"/>
      <c r="N366" s="128"/>
      <c r="O366" s="94"/>
      <c r="P366" s="94"/>
      <c r="Q366" s="138"/>
      <c r="R366" s="138"/>
      <c r="S366" s="138"/>
      <c r="T366" s="138"/>
      <c r="U366" s="138"/>
      <c r="V366" s="138"/>
      <c r="W366" s="138"/>
    </row>
    <row r="367" spans="1:24" x14ac:dyDescent="0.2">
      <c r="A367" s="138"/>
      <c r="B367" s="138"/>
      <c r="C367" s="135"/>
      <c r="D367" s="135"/>
      <c r="E367" s="135"/>
      <c r="F367" s="128"/>
      <c r="G367" s="128"/>
      <c r="H367" s="128"/>
      <c r="I367" s="128"/>
      <c r="J367" s="128"/>
      <c r="K367" s="128"/>
      <c r="L367" s="128"/>
      <c r="M367" s="128"/>
      <c r="N367" s="128"/>
      <c r="O367" s="94"/>
      <c r="P367" s="94"/>
      <c r="Q367" s="138"/>
      <c r="R367" s="138"/>
      <c r="S367" s="138"/>
      <c r="T367" s="138"/>
      <c r="U367" s="138"/>
      <c r="V367" s="138"/>
      <c r="W367" s="138"/>
    </row>
    <row r="368" spans="1:24" x14ac:dyDescent="0.2">
      <c r="A368" s="138"/>
      <c r="B368" s="138"/>
      <c r="C368" s="135"/>
      <c r="D368" s="135"/>
      <c r="E368" s="138"/>
      <c r="F368" s="138"/>
      <c r="G368" s="138"/>
      <c r="H368" s="138"/>
      <c r="I368" s="138"/>
      <c r="J368" s="138"/>
      <c r="K368" s="138"/>
      <c r="L368" s="138"/>
      <c r="M368" s="138"/>
      <c r="N368" s="138"/>
      <c r="O368" s="94"/>
      <c r="P368" s="94"/>
      <c r="Q368" s="138"/>
      <c r="R368" s="138"/>
      <c r="S368" s="138"/>
      <c r="T368" s="138"/>
      <c r="U368" s="138"/>
      <c r="V368" s="138"/>
      <c r="W368" s="138"/>
    </row>
    <row r="369" spans="1:23" ht="15.75" x14ac:dyDescent="0.2">
      <c r="A369" s="138"/>
      <c r="B369" s="138"/>
      <c r="C369" s="132" t="s">
        <v>327</v>
      </c>
      <c r="D369" s="141"/>
      <c r="E369" s="141"/>
      <c r="F369" s="141"/>
      <c r="G369" s="141"/>
      <c r="H369" s="141"/>
      <c r="I369" s="141"/>
      <c r="J369" s="141"/>
      <c r="K369" s="141"/>
      <c r="L369" s="141"/>
      <c r="M369" s="141"/>
      <c r="N369" s="141"/>
      <c r="O369" s="141"/>
      <c r="P369" s="141"/>
      <c r="Q369" s="141"/>
      <c r="R369" s="141"/>
      <c r="S369" s="141"/>
      <c r="T369" s="141"/>
      <c r="U369" s="138"/>
      <c r="V369" s="138"/>
      <c r="W369" s="138"/>
    </row>
    <row r="370" spans="1:23" x14ac:dyDescent="0.2">
      <c r="A370" s="138"/>
      <c r="B370" s="138"/>
      <c r="C370" s="135"/>
      <c r="D370" s="135"/>
      <c r="E370" s="135"/>
      <c r="F370" s="128"/>
      <c r="G370" s="128"/>
      <c r="H370" s="128"/>
      <c r="I370" s="128"/>
      <c r="J370" s="128"/>
      <c r="K370" s="128"/>
      <c r="L370" s="142"/>
      <c r="M370" s="142"/>
      <c r="N370" s="94"/>
      <c r="O370" s="94"/>
      <c r="P370" s="94"/>
      <c r="Q370" s="142"/>
      <c r="R370" s="142"/>
      <c r="S370" s="142"/>
      <c r="T370" s="142"/>
      <c r="U370" s="138"/>
      <c r="V370" s="138"/>
      <c r="W370" s="138"/>
    </row>
    <row r="371" spans="1:23" ht="14.25" customHeight="1" x14ac:dyDescent="0.2">
      <c r="A371" s="138"/>
      <c r="B371" s="138"/>
      <c r="C371" s="135"/>
      <c r="D371" s="135"/>
      <c r="E371" s="135"/>
      <c r="F371" s="128"/>
      <c r="G371" s="128"/>
      <c r="H371" s="746" t="str">
        <f>IF(J371=2,MsgError &amp; VLOOKUP("NoFlow",ErrorMessages,2,FALSE),IF(J371=1,MsgNote &amp; VLOOKUP("NoFlow",WarningMessages,2,FALSE),""))</f>
        <v>Note: no flow-ons to other medicines</v>
      </c>
      <c r="I371" s="746"/>
      <c r="J371" s="494">
        <f>IF(AND(N62=1,B385=0),2,IF(N62=0,1,0))</f>
        <v>1</v>
      </c>
      <c r="K371" s="128"/>
      <c r="L371" s="142"/>
      <c r="M371" s="142"/>
      <c r="N371" s="94"/>
      <c r="O371" s="94"/>
      <c r="P371" s="94"/>
      <c r="Q371" s="142"/>
      <c r="R371" s="138"/>
      <c r="S371" s="138"/>
      <c r="T371" s="138"/>
      <c r="U371" s="138"/>
      <c r="V371" s="138"/>
      <c r="W371" s="138"/>
    </row>
    <row r="372" spans="1:23" x14ac:dyDescent="0.2">
      <c r="A372" s="138"/>
      <c r="B372" s="138"/>
      <c r="C372" s="135"/>
      <c r="D372" s="135"/>
      <c r="E372" s="135"/>
      <c r="F372" s="128"/>
      <c r="G372" s="128"/>
      <c r="H372" s="128"/>
      <c r="I372" s="128"/>
      <c r="J372" s="128"/>
      <c r="K372" s="128"/>
      <c r="L372" s="142"/>
      <c r="M372" s="142"/>
      <c r="N372" s="94"/>
      <c r="O372" s="94"/>
      <c r="P372" s="94"/>
      <c r="Q372" s="142"/>
      <c r="R372" s="138"/>
      <c r="S372" s="138"/>
      <c r="T372" s="138"/>
      <c r="U372" s="138"/>
      <c r="V372" s="138"/>
      <c r="W372" s="138"/>
    </row>
    <row r="373" spans="1:23" ht="15" x14ac:dyDescent="0.2">
      <c r="A373" s="138"/>
      <c r="B373" s="138"/>
      <c r="C373" s="135"/>
      <c r="D373" s="135"/>
      <c r="E373" s="755" t="s">
        <v>328</v>
      </c>
      <c r="F373" s="756"/>
      <c r="G373" s="756"/>
      <c r="H373" s="756"/>
      <c r="I373" s="756"/>
      <c r="J373" s="756"/>
      <c r="K373" s="756"/>
      <c r="L373" s="756"/>
      <c r="M373" s="757"/>
      <c r="N373" s="94"/>
      <c r="O373" s="94"/>
      <c r="P373" s="94"/>
      <c r="Q373" s="142"/>
      <c r="R373" s="138"/>
      <c r="S373" s="138"/>
      <c r="T373" s="138"/>
      <c r="U373" s="138"/>
      <c r="V373" s="138"/>
      <c r="W373" s="138"/>
    </row>
    <row r="374" spans="1:23" x14ac:dyDescent="0.2">
      <c r="A374" s="138"/>
      <c r="B374" s="138"/>
      <c r="C374" s="766" t="s">
        <v>329</v>
      </c>
      <c r="D374" s="767"/>
      <c r="E374" s="129" t="s">
        <v>354</v>
      </c>
      <c r="F374" s="128"/>
      <c r="G374" s="768" t="s">
        <v>355</v>
      </c>
      <c r="H374" s="769"/>
      <c r="I374" s="769"/>
      <c r="J374" s="769"/>
      <c r="K374" s="769"/>
      <c r="L374" s="769"/>
      <c r="M374" s="769"/>
      <c r="N374" s="128"/>
      <c r="O374" s="94"/>
      <c r="P374" s="94"/>
      <c r="Q374" s="138"/>
      <c r="R374" s="138"/>
      <c r="S374" s="138"/>
      <c r="T374" s="138"/>
      <c r="U374" s="138"/>
      <c r="V374" s="138"/>
      <c r="W374" s="138"/>
    </row>
    <row r="375" spans="1:23" x14ac:dyDescent="0.2">
      <c r="A375" s="138"/>
      <c r="B375" s="138"/>
      <c r="C375" s="751"/>
      <c r="D375" s="752"/>
      <c r="E375" s="143"/>
      <c r="F375" s="125"/>
      <c r="G375" s="758"/>
      <c r="H375" s="759"/>
      <c r="I375" s="759"/>
      <c r="J375" s="759"/>
      <c r="K375" s="759"/>
      <c r="L375" s="759"/>
      <c r="M375" s="759"/>
      <c r="N375" s="128"/>
      <c r="O375" s="94"/>
      <c r="P375" s="94"/>
      <c r="Q375" s="138"/>
      <c r="R375" s="138"/>
      <c r="S375" s="138"/>
      <c r="T375" s="138"/>
      <c r="U375" s="138"/>
      <c r="V375" s="138"/>
      <c r="W375" s="138"/>
    </row>
    <row r="376" spans="1:23" x14ac:dyDescent="0.2">
      <c r="A376" s="138"/>
      <c r="B376" s="138"/>
      <c r="C376" s="751"/>
      <c r="D376" s="753"/>
      <c r="E376" s="143"/>
      <c r="F376" s="125"/>
      <c r="G376" s="758"/>
      <c r="H376" s="759"/>
      <c r="I376" s="759"/>
      <c r="J376" s="759"/>
      <c r="K376" s="759"/>
      <c r="L376" s="759"/>
      <c r="M376" s="759"/>
      <c r="N376" s="128"/>
      <c r="O376" s="94"/>
      <c r="P376" s="94"/>
      <c r="Q376" s="138"/>
      <c r="R376" s="138"/>
      <c r="S376" s="138"/>
      <c r="T376" s="138"/>
      <c r="U376" s="138"/>
      <c r="V376" s="138"/>
      <c r="W376" s="138"/>
    </row>
    <row r="377" spans="1:23" x14ac:dyDescent="0.2">
      <c r="A377" s="138"/>
      <c r="B377" s="138"/>
      <c r="C377" s="751"/>
      <c r="D377" s="753"/>
      <c r="E377" s="143"/>
      <c r="F377" s="125"/>
      <c r="G377" s="758"/>
      <c r="H377" s="759"/>
      <c r="I377" s="759"/>
      <c r="J377" s="759"/>
      <c r="K377" s="759"/>
      <c r="L377" s="759"/>
      <c r="M377" s="759"/>
      <c r="N377" s="128"/>
      <c r="O377" s="94"/>
      <c r="P377" s="94"/>
      <c r="Q377" s="138"/>
      <c r="R377" s="138"/>
      <c r="S377" s="138"/>
      <c r="T377" s="138"/>
      <c r="U377" s="138"/>
      <c r="V377" s="138"/>
      <c r="W377" s="138"/>
    </row>
    <row r="378" spans="1:23" x14ac:dyDescent="0.2">
      <c r="A378" s="138"/>
      <c r="B378" s="138"/>
      <c r="C378" s="751"/>
      <c r="D378" s="753"/>
      <c r="E378" s="143"/>
      <c r="F378" s="125"/>
      <c r="G378" s="758"/>
      <c r="H378" s="759"/>
      <c r="I378" s="759"/>
      <c r="J378" s="759"/>
      <c r="K378" s="759"/>
      <c r="L378" s="759"/>
      <c r="M378" s="759"/>
      <c r="N378" s="128"/>
      <c r="O378" s="94"/>
      <c r="P378" s="94"/>
      <c r="Q378" s="138"/>
      <c r="R378" s="138"/>
      <c r="S378" s="138"/>
      <c r="T378" s="138"/>
      <c r="U378" s="138"/>
      <c r="V378" s="138"/>
      <c r="W378" s="138"/>
    </row>
    <row r="379" spans="1:23" x14ac:dyDescent="0.2">
      <c r="A379" s="138"/>
      <c r="B379" s="138"/>
      <c r="C379" s="751"/>
      <c r="D379" s="753"/>
      <c r="E379" s="143"/>
      <c r="F379" s="125"/>
      <c r="G379" s="758"/>
      <c r="H379" s="759"/>
      <c r="I379" s="759"/>
      <c r="J379" s="759"/>
      <c r="K379" s="759"/>
      <c r="L379" s="759"/>
      <c r="M379" s="759"/>
      <c r="N379" s="128"/>
      <c r="O379" s="94"/>
      <c r="P379" s="94"/>
      <c r="Q379" s="138"/>
      <c r="R379" s="138"/>
      <c r="S379" s="138"/>
      <c r="T379" s="138"/>
      <c r="U379" s="138"/>
      <c r="V379" s="138"/>
      <c r="W379" s="138"/>
    </row>
    <row r="380" spans="1:23" x14ac:dyDescent="0.2">
      <c r="A380" s="138"/>
      <c r="B380" s="138"/>
      <c r="C380" s="751"/>
      <c r="D380" s="753"/>
      <c r="E380" s="143"/>
      <c r="F380" s="125"/>
      <c r="G380" s="758"/>
      <c r="H380" s="759"/>
      <c r="I380" s="759"/>
      <c r="J380" s="759"/>
      <c r="K380" s="759"/>
      <c r="L380" s="759"/>
      <c r="M380" s="759"/>
      <c r="N380" s="128"/>
      <c r="O380" s="94"/>
      <c r="P380" s="94"/>
      <c r="Q380" s="138"/>
      <c r="R380" s="138"/>
      <c r="S380" s="138"/>
      <c r="T380" s="138"/>
      <c r="U380" s="138"/>
      <c r="V380" s="138"/>
      <c r="W380" s="138"/>
    </row>
    <row r="381" spans="1:23" x14ac:dyDescent="0.2">
      <c r="A381" s="138"/>
      <c r="B381" s="138"/>
      <c r="C381" s="764"/>
      <c r="D381" s="765"/>
      <c r="E381" s="143"/>
      <c r="F381" s="125"/>
      <c r="G381" s="758"/>
      <c r="H381" s="759"/>
      <c r="I381" s="759"/>
      <c r="J381" s="759"/>
      <c r="K381" s="759"/>
      <c r="L381" s="759"/>
      <c r="M381" s="759"/>
      <c r="N381" s="128"/>
      <c r="O381" s="94"/>
      <c r="P381" s="94"/>
      <c r="Q381" s="138"/>
      <c r="R381" s="138"/>
      <c r="S381" s="138"/>
      <c r="T381" s="138"/>
      <c r="U381" s="138"/>
      <c r="V381" s="138"/>
      <c r="W381" s="138"/>
    </row>
    <row r="382" spans="1:23" x14ac:dyDescent="0.2">
      <c r="A382" s="138"/>
      <c r="B382" s="138"/>
      <c r="C382" s="764"/>
      <c r="D382" s="765"/>
      <c r="E382" s="143"/>
      <c r="F382" s="125"/>
      <c r="G382" s="758"/>
      <c r="H382" s="759"/>
      <c r="I382" s="759"/>
      <c r="J382" s="759"/>
      <c r="K382" s="759"/>
      <c r="L382" s="759"/>
      <c r="M382" s="759"/>
      <c r="N382" s="128"/>
      <c r="O382" s="94"/>
      <c r="P382" s="94"/>
      <c r="Q382" s="138"/>
      <c r="R382" s="138"/>
      <c r="S382" s="138"/>
      <c r="T382" s="138"/>
      <c r="U382" s="138"/>
      <c r="V382" s="138"/>
      <c r="W382" s="138"/>
    </row>
    <row r="383" spans="1:23" x14ac:dyDescent="0.2">
      <c r="A383" s="138"/>
      <c r="B383" s="138"/>
      <c r="C383" s="764"/>
      <c r="D383" s="765"/>
      <c r="E383" s="143"/>
      <c r="F383" s="125"/>
      <c r="G383" s="758"/>
      <c r="H383" s="759"/>
      <c r="I383" s="759"/>
      <c r="J383" s="759"/>
      <c r="K383" s="759"/>
      <c r="L383" s="759"/>
      <c r="M383" s="759"/>
      <c r="N383" s="128"/>
      <c r="O383" s="94"/>
      <c r="P383" s="94"/>
      <c r="Q383" s="138"/>
      <c r="R383" s="138"/>
      <c r="S383" s="138"/>
      <c r="T383" s="138"/>
      <c r="U383" s="138"/>
      <c r="V383" s="138"/>
      <c r="W383" s="138"/>
    </row>
    <row r="384" spans="1:23" x14ac:dyDescent="0.2">
      <c r="A384" s="138"/>
      <c r="B384" s="138"/>
      <c r="C384" s="764"/>
      <c r="D384" s="765"/>
      <c r="E384" s="143"/>
      <c r="F384" s="125"/>
      <c r="G384" s="758"/>
      <c r="H384" s="759"/>
      <c r="I384" s="759"/>
      <c r="J384" s="759"/>
      <c r="K384" s="759"/>
      <c r="L384" s="759"/>
      <c r="M384" s="759"/>
      <c r="N384" s="128"/>
      <c r="O384" s="94"/>
      <c r="P384" s="94"/>
      <c r="Q384" s="138"/>
      <c r="R384" s="138"/>
      <c r="S384" s="138"/>
      <c r="T384" s="138"/>
      <c r="U384" s="138"/>
      <c r="V384" s="138"/>
      <c r="W384" s="138"/>
    </row>
    <row r="385" spans="1:23" x14ac:dyDescent="0.2">
      <c r="A385" s="138"/>
      <c r="B385" s="330">
        <f>COUNTA(C375:D384)</f>
        <v>0</v>
      </c>
      <c r="C385" s="135"/>
      <c r="D385" s="135"/>
      <c r="E385" s="135"/>
      <c r="F385" s="128"/>
      <c r="G385" s="128"/>
      <c r="H385" s="128"/>
      <c r="I385" s="128"/>
      <c r="J385" s="128"/>
      <c r="K385" s="128"/>
      <c r="L385" s="128"/>
      <c r="M385" s="128"/>
      <c r="N385" s="128"/>
      <c r="O385" s="94"/>
      <c r="P385" s="94"/>
      <c r="Q385" s="138"/>
      <c r="R385" s="138"/>
      <c r="S385" s="138"/>
      <c r="T385" s="138"/>
      <c r="U385" s="138"/>
      <c r="V385" s="138"/>
      <c r="W385" s="138"/>
    </row>
    <row r="386" spans="1:23" x14ac:dyDescent="0.2">
      <c r="A386" s="138"/>
      <c r="B386" s="138"/>
      <c r="C386" s="135"/>
      <c r="D386" s="135"/>
      <c r="E386" s="135"/>
      <c r="F386" s="128"/>
      <c r="G386" s="128"/>
      <c r="H386" s="128"/>
      <c r="I386" s="128"/>
      <c r="J386" s="128"/>
      <c r="K386" s="128"/>
      <c r="L386" s="128"/>
      <c r="M386" s="128"/>
      <c r="N386" s="128"/>
      <c r="O386" s="94"/>
      <c r="P386" s="94"/>
      <c r="Q386" s="138"/>
      <c r="R386" s="138"/>
      <c r="S386" s="138"/>
      <c r="T386" s="138"/>
      <c r="U386" s="138"/>
      <c r="V386" s="138"/>
      <c r="W386" s="138"/>
    </row>
    <row r="387" spans="1:23" ht="15.75" x14ac:dyDescent="0.2">
      <c r="A387" s="140"/>
      <c r="B387" s="140"/>
      <c r="C387" s="132" t="s">
        <v>247</v>
      </c>
      <c r="D387" s="141"/>
      <c r="E387" s="141"/>
      <c r="F387" s="141"/>
      <c r="G387" s="141"/>
      <c r="H387" s="141"/>
      <c r="I387" s="141"/>
      <c r="J387" s="141"/>
      <c r="K387" s="141"/>
      <c r="L387" s="141"/>
      <c r="M387" s="141"/>
      <c r="N387" s="141"/>
      <c r="O387" s="141"/>
      <c r="P387" s="141"/>
      <c r="Q387" s="141"/>
      <c r="R387" s="141"/>
      <c r="S387" s="141"/>
      <c r="T387" s="141"/>
      <c r="U387" s="140"/>
      <c r="V387" s="140"/>
      <c r="W387" s="140"/>
    </row>
    <row r="388" spans="1:23" x14ac:dyDescent="0.2">
      <c r="A388" s="135"/>
      <c r="B388" s="135"/>
      <c r="C388" s="135"/>
      <c r="D388" s="135"/>
      <c r="E388" s="135"/>
      <c r="F388" s="134"/>
      <c r="G388" s="134"/>
      <c r="H388" s="134"/>
      <c r="I388" s="134"/>
      <c r="J388" s="134"/>
      <c r="K388" s="134"/>
      <c r="L388" s="142"/>
      <c r="M388" s="142"/>
      <c r="N388" s="94"/>
      <c r="O388" s="94"/>
      <c r="P388" s="94"/>
      <c r="Q388" s="142"/>
      <c r="R388" s="142"/>
      <c r="S388" s="142"/>
      <c r="T388" s="142"/>
      <c r="U388" s="138"/>
      <c r="V388" s="138"/>
      <c r="W388" s="138"/>
    </row>
    <row r="389" spans="1:23" x14ac:dyDescent="0.2">
      <c r="A389" s="138"/>
      <c r="B389" s="138"/>
      <c r="C389" s="738" t="s">
        <v>920</v>
      </c>
      <c r="D389" s="739"/>
      <c r="E389" s="29"/>
      <c r="F389" s="134"/>
      <c r="G389" s="134"/>
      <c r="H389" s="134"/>
      <c r="I389" s="134"/>
      <c r="J389" s="134"/>
      <c r="K389" s="134"/>
      <c r="L389" s="134"/>
      <c r="M389" s="134"/>
      <c r="N389" s="134"/>
      <c r="O389" s="94"/>
      <c r="P389" s="135">
        <f>IF(E389&lt;&gt;"",1,0)</f>
        <v>0</v>
      </c>
      <c r="Q389" s="138"/>
      <c r="R389" s="138"/>
      <c r="S389" s="138"/>
      <c r="T389" s="138"/>
      <c r="U389" s="138"/>
      <c r="V389" s="138"/>
      <c r="W389" s="138"/>
    </row>
    <row r="390" spans="1:23" x14ac:dyDescent="0.2">
      <c r="A390" s="138"/>
      <c r="B390" s="138"/>
      <c r="C390" s="738" t="s">
        <v>642</v>
      </c>
      <c r="D390" s="739"/>
      <c r="E390" s="29"/>
      <c r="F390" s="134"/>
      <c r="G390" s="134"/>
      <c r="H390" s="770" t="str">
        <f>IF(I9="Minor",MsgNote &amp; VLOOKUP(I9,WarningMessages,2,FALSE),"")</f>
        <v/>
      </c>
      <c r="I390" s="770"/>
      <c r="J390" s="134"/>
      <c r="K390" s="134"/>
      <c r="L390" s="134"/>
      <c r="M390" s="134"/>
      <c r="N390" s="134"/>
      <c r="O390" s="94"/>
      <c r="P390" s="135">
        <f>IF(E390&lt;&gt;"",1,IF(H390&lt;&gt;"",1,0))</f>
        <v>0</v>
      </c>
      <c r="Q390" s="138"/>
      <c r="R390" s="138"/>
      <c r="S390" s="138"/>
      <c r="T390" s="138"/>
      <c r="U390" s="138"/>
      <c r="V390" s="138"/>
      <c r="W390" s="138"/>
    </row>
    <row r="391" spans="1:23" x14ac:dyDescent="0.2">
      <c r="A391" s="138"/>
      <c r="B391" s="138"/>
      <c r="C391" s="135"/>
      <c r="D391" s="135"/>
      <c r="E391" s="135"/>
      <c r="F391" s="134"/>
      <c r="G391" s="134"/>
      <c r="H391" s="134"/>
      <c r="I391" s="134"/>
      <c r="J391" s="134"/>
      <c r="K391" s="134"/>
      <c r="L391" s="134"/>
      <c r="M391" s="134"/>
      <c r="N391" s="134"/>
      <c r="O391" s="94"/>
      <c r="P391" s="94"/>
      <c r="Q391" s="138"/>
      <c r="R391" s="138"/>
      <c r="S391" s="138"/>
      <c r="T391" s="138"/>
      <c r="U391" s="138"/>
      <c r="V391" s="138"/>
      <c r="W391" s="138"/>
    </row>
    <row r="392" spans="1:23" x14ac:dyDescent="0.2">
      <c r="A392" s="138"/>
      <c r="B392" s="138"/>
      <c r="C392" s="135"/>
      <c r="D392" s="135"/>
      <c r="E392" s="135"/>
      <c r="F392" s="134"/>
      <c r="G392" s="134"/>
      <c r="H392" s="134"/>
      <c r="I392" s="134"/>
      <c r="J392" s="134"/>
      <c r="K392" s="134"/>
      <c r="L392" s="134"/>
      <c r="M392" s="134"/>
      <c r="N392" s="134"/>
      <c r="O392" s="94"/>
      <c r="P392" s="94"/>
      <c r="Q392" s="138"/>
      <c r="R392" s="138"/>
      <c r="S392" s="138"/>
      <c r="T392" s="138"/>
      <c r="U392" s="138"/>
      <c r="V392" s="138"/>
      <c r="W392" s="138"/>
    </row>
    <row r="393" spans="1:23" ht="15.75" x14ac:dyDescent="0.2">
      <c r="A393" s="140"/>
      <c r="B393" s="140"/>
      <c r="C393" s="132" t="s">
        <v>248</v>
      </c>
      <c r="D393" s="141"/>
      <c r="E393" s="141"/>
      <c r="F393" s="141"/>
      <c r="G393" s="141"/>
      <c r="H393" s="141"/>
      <c r="I393" s="141"/>
      <c r="J393" s="141"/>
      <c r="K393" s="141"/>
      <c r="L393" s="141"/>
      <c r="M393" s="141"/>
      <c r="N393" s="141"/>
      <c r="O393" s="141"/>
      <c r="P393" s="141"/>
      <c r="Q393" s="141"/>
      <c r="R393" s="141"/>
      <c r="S393" s="141"/>
      <c r="T393" s="141"/>
      <c r="U393" s="140"/>
      <c r="V393" s="140"/>
      <c r="W393" s="140"/>
    </row>
    <row r="394" spans="1:23" x14ac:dyDescent="0.2">
      <c r="A394" s="135"/>
      <c r="B394" s="135"/>
      <c r="C394" s="135"/>
      <c r="D394" s="135"/>
      <c r="E394" s="135"/>
      <c r="F394" s="134"/>
      <c r="G394" s="134"/>
      <c r="H394" s="134"/>
      <c r="I394" s="134"/>
      <c r="J394" s="134"/>
      <c r="K394" s="134"/>
      <c r="L394" s="142"/>
      <c r="M394" s="142"/>
      <c r="N394" s="94"/>
      <c r="O394" s="94"/>
      <c r="P394" s="94"/>
      <c r="Q394" s="142"/>
      <c r="R394" s="142"/>
      <c r="S394" s="142"/>
      <c r="T394" s="142"/>
      <c r="U394" s="138"/>
      <c r="V394" s="138"/>
      <c r="W394" s="138"/>
    </row>
    <row r="395" spans="1:23" x14ac:dyDescent="0.2">
      <c r="A395" s="138"/>
      <c r="B395" s="138"/>
      <c r="C395" s="738" t="s">
        <v>643</v>
      </c>
      <c r="D395" s="739"/>
      <c r="E395" s="28"/>
      <c r="F395" s="134"/>
      <c r="G395" s="134"/>
      <c r="H395" s="127" t="s">
        <v>463</v>
      </c>
      <c r="I395" s="45" t="str">
        <f>IF('0. Title'!C39&lt;&gt;"",'0. Title'!C39,"")</f>
        <v/>
      </c>
      <c r="J395" s="134"/>
      <c r="K395" s="134"/>
      <c r="L395" s="127" t="s">
        <v>974</v>
      </c>
      <c r="M395" s="107"/>
      <c r="N395" s="134"/>
      <c r="O395" s="135">
        <f>IF(M395="Yes",1,0)</f>
        <v>0</v>
      </c>
      <c r="P395" s="494">
        <f>IF(OR(I396&lt;&gt;"Cost-minimisation",AND(E395&lt;&gt;"",I396="Cost-minimisation")),1,0)</f>
        <v>1</v>
      </c>
      <c r="Q395" s="138"/>
      <c r="R395" s="138"/>
      <c r="S395" s="138"/>
      <c r="T395" s="138"/>
      <c r="U395" s="138"/>
      <c r="V395" s="138"/>
      <c r="W395" s="138"/>
    </row>
    <row r="396" spans="1:23" x14ac:dyDescent="0.2">
      <c r="A396" s="138"/>
      <c r="B396" s="138"/>
      <c r="C396" s="135"/>
      <c r="D396" s="135"/>
      <c r="E396" s="135"/>
      <c r="F396" s="134"/>
      <c r="G396" s="134"/>
      <c r="H396" s="127" t="s">
        <v>976</v>
      </c>
      <c r="I396" s="378"/>
      <c r="J396" s="134"/>
      <c r="K396" s="134"/>
      <c r="L396" s="127" t="s">
        <v>975</v>
      </c>
      <c r="M396" s="107"/>
      <c r="N396" s="134"/>
      <c r="O396" s="135">
        <f>IF(M396="Yes",1,0)</f>
        <v>0</v>
      </c>
      <c r="P396" s="494">
        <f>IF(M395&lt;&gt;"",1,0)</f>
        <v>0</v>
      </c>
      <c r="Q396" s="138"/>
      <c r="R396" s="138"/>
      <c r="S396" s="138"/>
      <c r="T396" s="138"/>
      <c r="U396" s="138"/>
      <c r="V396" s="138"/>
      <c r="W396" s="138"/>
    </row>
    <row r="397" spans="1:23" x14ac:dyDescent="0.2">
      <c r="A397" s="138"/>
      <c r="B397" s="138"/>
      <c r="C397" s="135"/>
      <c r="D397" s="135"/>
      <c r="E397" s="135"/>
      <c r="F397" s="134"/>
      <c r="G397" s="134"/>
      <c r="H397" s="134"/>
      <c r="I397" s="134"/>
      <c r="J397" s="134"/>
      <c r="K397" s="134"/>
      <c r="L397" s="127" t="s">
        <v>644</v>
      </c>
      <c r="M397" s="107"/>
      <c r="N397" s="134"/>
      <c r="O397" s="135">
        <f>IF(M397="Yes",1,0)</f>
        <v>0</v>
      </c>
      <c r="P397" s="494">
        <f>IF(OR(AND(M396="No",M397=""),AND(M396&lt;&gt;"",M397&lt;&gt;"")),1,0)</f>
        <v>0</v>
      </c>
      <c r="Q397" s="138"/>
      <c r="R397" s="138"/>
      <c r="S397" s="138"/>
      <c r="T397" s="138"/>
      <c r="U397" s="138"/>
      <c r="V397" s="138"/>
      <c r="W397" s="138"/>
    </row>
    <row r="398" spans="1:23" x14ac:dyDescent="0.2">
      <c r="A398" s="138"/>
      <c r="B398" s="138"/>
      <c r="C398" s="135"/>
      <c r="D398" s="135"/>
      <c r="E398" s="135"/>
      <c r="F398" s="134"/>
      <c r="G398" s="134"/>
      <c r="H398" s="134"/>
      <c r="I398" s="134"/>
      <c r="J398" s="134"/>
      <c r="K398" s="134"/>
      <c r="L398" s="134"/>
      <c r="M398" s="134"/>
      <c r="N398" s="134"/>
      <c r="O398" s="94"/>
      <c r="P398" s="94"/>
      <c r="Q398" s="138"/>
      <c r="R398" s="138"/>
      <c r="S398" s="138"/>
      <c r="T398" s="138"/>
      <c r="U398" s="138"/>
      <c r="V398" s="138"/>
      <c r="W398" s="138"/>
    </row>
    <row r="399" spans="1:23" x14ac:dyDescent="0.2">
      <c r="A399" s="138"/>
      <c r="B399" s="138"/>
      <c r="C399" s="135"/>
      <c r="D399" s="135"/>
      <c r="E399" s="135"/>
      <c r="F399" s="134"/>
      <c r="G399" s="134"/>
      <c r="H399" s="134"/>
      <c r="I399" s="134"/>
      <c r="J399" s="134"/>
      <c r="K399" s="134"/>
      <c r="L399" s="134"/>
      <c r="M399" s="134"/>
      <c r="N399" s="134"/>
      <c r="O399" s="94"/>
      <c r="P399" s="94"/>
      <c r="Q399" s="138"/>
      <c r="R399" s="138"/>
      <c r="S399" s="138"/>
      <c r="T399" s="138"/>
      <c r="U399" s="138"/>
      <c r="V399" s="138"/>
      <c r="W399" s="138"/>
    </row>
    <row r="400" spans="1:23" ht="15.75" x14ac:dyDescent="0.2">
      <c r="A400" s="140"/>
      <c r="B400" s="140"/>
      <c r="C400" s="132" t="s">
        <v>249</v>
      </c>
      <c r="D400" s="141"/>
      <c r="E400" s="141"/>
      <c r="F400" s="141"/>
      <c r="G400" s="141"/>
      <c r="H400" s="141"/>
      <c r="I400" s="141"/>
      <c r="J400" s="141"/>
      <c r="K400" s="141"/>
      <c r="L400" s="141"/>
      <c r="M400" s="141"/>
      <c r="N400" s="141"/>
      <c r="O400" s="141"/>
      <c r="P400" s="141"/>
      <c r="Q400" s="141"/>
      <c r="R400" s="141"/>
      <c r="S400" s="141"/>
      <c r="T400" s="141"/>
      <c r="U400" s="140"/>
      <c r="V400" s="140"/>
      <c r="W400" s="140"/>
    </row>
    <row r="401" spans="1:23" x14ac:dyDescent="0.2">
      <c r="A401" s="135"/>
      <c r="B401" s="135"/>
      <c r="C401" s="135"/>
      <c r="D401" s="135"/>
      <c r="E401" s="135"/>
      <c r="F401" s="134"/>
      <c r="G401" s="134"/>
      <c r="H401" s="134"/>
      <c r="I401" s="134"/>
      <c r="J401" s="134"/>
      <c r="K401" s="134"/>
      <c r="L401" s="142"/>
      <c r="M401" s="142"/>
      <c r="N401" s="94"/>
      <c r="O401" s="94"/>
      <c r="P401" s="94"/>
      <c r="Q401" s="142"/>
      <c r="R401" s="142"/>
      <c r="S401" s="142"/>
      <c r="T401" s="142"/>
      <c r="U401" s="136"/>
      <c r="V401" s="136"/>
      <c r="W401" s="136"/>
    </row>
    <row r="402" spans="1:23" x14ac:dyDescent="0.2">
      <c r="A402" s="138"/>
      <c r="B402" s="138"/>
      <c r="C402" s="738" t="s">
        <v>794</v>
      </c>
      <c r="D402" s="739"/>
      <c r="E402" s="722"/>
      <c r="F402" s="134"/>
      <c r="G402" s="134"/>
      <c r="H402" s="127" t="s">
        <v>793</v>
      </c>
      <c r="I402" s="56" t="str">
        <f>IF(ScriptSourceCode=1,AVERAGE('2. Patients'!C17:H17),"")</f>
        <v/>
      </c>
      <c r="J402" s="134"/>
      <c r="K402" s="134"/>
      <c r="L402" s="762" t="str">
        <f>IF(O402=1,MsgNote &amp; VLOOKUP("PxPop",WarningMessages,2,FALSE),"")</f>
        <v>Note: patient number derived from population</v>
      </c>
      <c r="M402" s="763"/>
      <c r="N402" s="134"/>
      <c r="O402" s="494">
        <f>IF(AND(I395&lt;&gt;"Epidemiology",I396&lt;&gt;"Price change"),1,0)</f>
        <v>1</v>
      </c>
      <c r="P402" s="135"/>
      <c r="Q402" s="136"/>
      <c r="R402" s="136"/>
      <c r="S402" s="136"/>
      <c r="T402" s="136"/>
      <c r="U402" s="136"/>
      <c r="V402" s="136"/>
      <c r="W402" s="136"/>
    </row>
    <row r="403" spans="1:23" x14ac:dyDescent="0.2">
      <c r="A403" s="138"/>
      <c r="B403" s="138"/>
      <c r="C403" s="135"/>
      <c r="D403" s="135"/>
      <c r="E403" s="135"/>
      <c r="F403" s="134"/>
      <c r="G403" s="134"/>
      <c r="H403" s="134"/>
      <c r="I403" s="134"/>
      <c r="J403" s="134"/>
      <c r="K403" s="134"/>
      <c r="L403" s="134"/>
      <c r="M403" s="134"/>
      <c r="N403" s="134"/>
      <c r="O403" s="94"/>
      <c r="P403" s="94"/>
      <c r="Q403" s="136"/>
      <c r="R403" s="136"/>
      <c r="S403" s="136"/>
      <c r="T403" s="136"/>
      <c r="U403" s="136"/>
      <c r="V403" s="136"/>
      <c r="W403" s="136"/>
    </row>
    <row r="404" spans="1:23" x14ac:dyDescent="0.2">
      <c r="A404" s="138"/>
      <c r="B404" s="138"/>
      <c r="C404" s="738" t="s">
        <v>645</v>
      </c>
      <c r="D404" s="739"/>
      <c r="E404" s="722"/>
      <c r="F404" s="134"/>
      <c r="G404" s="134"/>
      <c r="H404" s="127" t="s">
        <v>646</v>
      </c>
      <c r="I404" s="107"/>
      <c r="J404" s="135">
        <f>IF(I404="Annual",1,2)</f>
        <v>2</v>
      </c>
      <c r="K404" s="134"/>
      <c r="L404" s="127" t="s">
        <v>647</v>
      </c>
      <c r="M404" s="403">
        <f>'3b. Impact - proposed (pub)'!J274</f>
        <v>0</v>
      </c>
      <c r="N404" s="134"/>
      <c r="O404" s="94"/>
      <c r="P404" s="135">
        <f>IF(AND(E404&lt;&gt;"",I404&lt;&gt;""),1,0)</f>
        <v>0</v>
      </c>
      <c r="Q404" s="136"/>
      <c r="R404" s="136"/>
      <c r="S404" s="136"/>
      <c r="T404" s="136"/>
      <c r="U404" s="136"/>
      <c r="V404" s="136"/>
      <c r="W404" s="136"/>
    </row>
    <row r="405" spans="1:23" x14ac:dyDescent="0.2">
      <c r="A405" s="138"/>
      <c r="B405" s="138"/>
      <c r="E405" s="135"/>
      <c r="F405" s="134"/>
      <c r="G405" s="134"/>
      <c r="H405" s="134"/>
      <c r="I405" s="134"/>
      <c r="J405" s="134"/>
      <c r="K405" s="134"/>
      <c r="L405" s="134"/>
      <c r="M405" s="134"/>
      <c r="N405" s="134"/>
      <c r="O405" s="94"/>
      <c r="P405" s="94"/>
      <c r="Q405" s="136"/>
      <c r="R405" s="136"/>
      <c r="S405" s="136"/>
      <c r="T405" s="136"/>
      <c r="U405" s="136"/>
      <c r="V405" s="136"/>
      <c r="W405" s="136"/>
    </row>
    <row r="406" spans="1:23" x14ac:dyDescent="0.2">
      <c r="A406" s="138"/>
      <c r="B406" s="138"/>
      <c r="C406" s="738" t="s">
        <v>648</v>
      </c>
      <c r="D406" s="739"/>
      <c r="E406" s="722"/>
      <c r="F406" s="134"/>
      <c r="G406" s="134"/>
      <c r="H406" s="127" t="str">
        <f>"Scripts / " &amp; IF(I404="Annual","year","treatment")</f>
        <v>Scripts / treatment</v>
      </c>
      <c r="I406" s="30"/>
      <c r="J406" s="134"/>
      <c r="K406" s="134"/>
      <c r="L406" s="127" t="s">
        <v>649</v>
      </c>
      <c r="M406" s="403">
        <f>'3c. Impact - proposed (eff)'!J274</f>
        <v>0</v>
      </c>
      <c r="N406" s="134"/>
      <c r="O406" s="94"/>
      <c r="P406" s="135">
        <f>IF(AND(E406&lt;&gt;"",I406&lt;&gt;""),1,0)</f>
        <v>0</v>
      </c>
      <c r="Q406" s="136"/>
      <c r="R406" s="136"/>
      <c r="S406" s="136"/>
      <c r="T406" s="136"/>
      <c r="U406" s="136"/>
      <c r="V406" s="136"/>
      <c r="W406" s="136"/>
    </row>
    <row r="407" spans="1:23" x14ac:dyDescent="0.2">
      <c r="A407" s="138"/>
      <c r="B407" s="138"/>
      <c r="C407" s="135"/>
      <c r="D407" s="135"/>
      <c r="E407" s="135"/>
      <c r="F407" s="134"/>
      <c r="G407" s="134"/>
      <c r="H407" s="134"/>
      <c r="I407" s="134"/>
      <c r="J407" s="134"/>
      <c r="K407" s="134"/>
      <c r="L407" s="134"/>
      <c r="M407" s="134"/>
      <c r="N407" s="134"/>
      <c r="O407" s="136"/>
      <c r="P407" s="135">
        <f>SUM(P404:P406)+SUM(P395:P397)+SUM(P389:P390)+P61+SUM(P50:P56)+P44+SUM(P7:P9)</f>
        <v>1</v>
      </c>
      <c r="Q407" s="136"/>
      <c r="R407" s="136"/>
      <c r="S407" s="136"/>
      <c r="T407" s="136"/>
      <c r="U407" s="136"/>
      <c r="V407" s="136"/>
      <c r="W407" s="136"/>
    </row>
    <row r="408" spans="1:23" ht="15.75" x14ac:dyDescent="0.2">
      <c r="A408" s="138"/>
      <c r="B408" s="138"/>
      <c r="C408" s="135"/>
      <c r="D408" s="135"/>
      <c r="E408" s="135"/>
      <c r="F408" s="134"/>
      <c r="G408" s="134"/>
      <c r="H408" s="134"/>
      <c r="I408" s="134"/>
      <c r="J408" s="134"/>
      <c r="K408" s="134"/>
      <c r="L408" s="737" t="s">
        <v>599</v>
      </c>
      <c r="M408" s="737"/>
      <c r="N408" s="134"/>
      <c r="O408" s="94"/>
      <c r="P408" s="94"/>
      <c r="Q408" s="136"/>
      <c r="R408" s="136"/>
      <c r="S408" s="136"/>
      <c r="T408" s="136"/>
      <c r="U408" s="136"/>
      <c r="V408" s="136"/>
      <c r="W408" s="136"/>
    </row>
    <row r="409" spans="1:23" x14ac:dyDescent="0.2">
      <c r="A409" s="138"/>
      <c r="B409" s="138"/>
      <c r="C409" s="494"/>
      <c r="D409" s="494"/>
      <c r="E409" s="494"/>
      <c r="F409" s="493"/>
      <c r="G409" s="493"/>
      <c r="H409" s="493"/>
      <c r="I409" s="493"/>
      <c r="J409" s="493"/>
      <c r="K409" s="493"/>
      <c r="L409" s="495" t="s">
        <v>887</v>
      </c>
      <c r="M409" s="496"/>
      <c r="N409" s="493"/>
      <c r="O409" s="94"/>
      <c r="P409" s="94"/>
      <c r="Q409" s="136"/>
      <c r="R409" s="136"/>
      <c r="S409" s="136"/>
      <c r="T409" s="136"/>
      <c r="U409" s="136"/>
      <c r="V409" s="136"/>
      <c r="W409" s="136"/>
    </row>
    <row r="410" spans="1:23" x14ac:dyDescent="0.2">
      <c r="A410" s="138"/>
      <c r="B410" s="138"/>
      <c r="C410" s="494"/>
      <c r="D410" s="494"/>
      <c r="E410" s="494"/>
      <c r="F410" s="493"/>
      <c r="G410" s="493"/>
      <c r="H410" s="493"/>
      <c r="I410" s="493"/>
      <c r="J410" s="493"/>
      <c r="K410" s="493"/>
      <c r="L410" s="495" t="s">
        <v>600</v>
      </c>
      <c r="M410" s="533"/>
      <c r="N410" s="493"/>
      <c r="O410" s="94"/>
      <c r="P410" s="94"/>
      <c r="Q410" s="136"/>
      <c r="R410" s="136"/>
      <c r="S410" s="136"/>
      <c r="T410" s="136"/>
      <c r="U410" s="136"/>
      <c r="V410" s="136"/>
      <c r="W410" s="136"/>
    </row>
    <row r="411" spans="1:23" x14ac:dyDescent="0.2">
      <c r="A411" s="138"/>
      <c r="B411" s="138"/>
      <c r="C411" s="494"/>
      <c r="D411" s="494"/>
      <c r="E411" s="494"/>
      <c r="F411" s="493"/>
      <c r="G411" s="493"/>
      <c r="H411" s="493"/>
      <c r="I411" s="493"/>
      <c r="J411" s="493"/>
      <c r="K411" s="493"/>
      <c r="L411" s="495" t="s">
        <v>601</v>
      </c>
      <c r="M411" s="533"/>
      <c r="N411" s="493"/>
      <c r="O411" s="94"/>
      <c r="P411" s="94"/>
      <c r="Q411" s="136"/>
      <c r="R411" s="136"/>
      <c r="S411" s="136"/>
      <c r="T411" s="136"/>
      <c r="U411" s="136"/>
      <c r="V411" s="136"/>
      <c r="W411" s="136"/>
    </row>
    <row r="412" spans="1:23" x14ac:dyDescent="0.2">
      <c r="A412" s="138"/>
      <c r="B412" s="138"/>
      <c r="C412" s="494"/>
      <c r="D412" s="494"/>
      <c r="E412" s="494"/>
      <c r="F412" s="493"/>
      <c r="G412" s="493"/>
      <c r="H412" s="493"/>
      <c r="I412" s="493"/>
      <c r="J412" s="493"/>
      <c r="K412" s="493"/>
      <c r="L412" s="495" t="s">
        <v>602</v>
      </c>
      <c r="M412" s="533"/>
      <c r="N412" s="493"/>
      <c r="O412" s="94"/>
      <c r="P412" s="94"/>
      <c r="Q412" s="136"/>
      <c r="R412" s="136"/>
      <c r="S412" s="136"/>
      <c r="T412" s="136"/>
      <c r="U412" s="136"/>
      <c r="V412" s="136"/>
      <c r="W412" s="136"/>
    </row>
    <row r="413" spans="1:23" x14ac:dyDescent="0.2">
      <c r="A413" s="138"/>
      <c r="B413" s="138"/>
      <c r="C413" s="494"/>
      <c r="D413" s="494"/>
      <c r="E413" s="494"/>
      <c r="F413" s="493"/>
      <c r="G413" s="493"/>
      <c r="H413" s="493"/>
      <c r="I413" s="493"/>
      <c r="J413" s="493"/>
      <c r="K413" s="493"/>
      <c r="L413" s="495" t="s">
        <v>694</v>
      </c>
      <c r="M413" s="533"/>
      <c r="N413" s="493"/>
      <c r="O413" s="94"/>
      <c r="P413" s="94"/>
      <c r="Q413" s="136"/>
      <c r="R413" s="136"/>
      <c r="S413" s="136"/>
      <c r="T413" s="136"/>
      <c r="U413" s="136"/>
      <c r="V413" s="136"/>
      <c r="W413" s="136"/>
    </row>
    <row r="414" spans="1:23" x14ac:dyDescent="0.2">
      <c r="A414" s="138"/>
      <c r="B414" s="138"/>
      <c r="C414" s="494"/>
      <c r="D414" s="494"/>
      <c r="E414" s="494"/>
      <c r="F414" s="493"/>
      <c r="G414" s="493"/>
      <c r="H414" s="493"/>
      <c r="I414" s="493"/>
      <c r="J414" s="493"/>
      <c r="K414" s="493"/>
      <c r="L414" s="493"/>
      <c r="M414" s="493"/>
      <c r="N414" s="493"/>
      <c r="O414" s="94"/>
      <c r="P414" s="94"/>
      <c r="Q414" s="136"/>
      <c r="R414" s="136"/>
      <c r="S414" s="136"/>
      <c r="T414" s="136"/>
      <c r="U414" s="136"/>
      <c r="V414" s="136"/>
      <c r="W414" s="136"/>
    </row>
    <row r="415" spans="1:23" ht="15.75" x14ac:dyDescent="0.2">
      <c r="A415" s="140"/>
      <c r="B415" s="140"/>
      <c r="C415" s="132"/>
      <c r="D415" s="141"/>
      <c r="E415" s="141"/>
      <c r="F415" s="141"/>
      <c r="G415" s="141"/>
      <c r="H415" s="141"/>
      <c r="I415" s="141"/>
      <c r="J415" s="141"/>
      <c r="K415" s="141"/>
      <c r="L415" s="141"/>
      <c r="M415" s="141"/>
      <c r="N415" s="141"/>
      <c r="O415" s="141"/>
      <c r="P415" s="141"/>
      <c r="Q415" s="141"/>
      <c r="R415" s="141"/>
      <c r="S415" s="141"/>
      <c r="T415" s="141"/>
      <c r="U415" s="140"/>
      <c r="V415" s="140"/>
      <c r="W415" s="140"/>
    </row>
    <row r="416" spans="1:23" x14ac:dyDescent="0.2">
      <c r="A416" s="138"/>
      <c r="B416" s="138"/>
      <c r="C416" s="142"/>
      <c r="D416" s="142"/>
      <c r="E416" s="142"/>
      <c r="F416" s="142"/>
      <c r="G416" s="142"/>
      <c r="H416" s="142"/>
      <c r="I416" s="142"/>
      <c r="J416" s="142"/>
      <c r="K416" s="142"/>
      <c r="L416" s="142"/>
      <c r="M416" s="142"/>
      <c r="N416" s="142"/>
      <c r="O416" s="142"/>
      <c r="P416" s="142"/>
      <c r="Q416" s="142"/>
      <c r="R416" s="142"/>
      <c r="S416" s="142"/>
      <c r="T416" s="142"/>
      <c r="U416" s="138"/>
      <c r="V416" s="138"/>
      <c r="W416" s="138"/>
    </row>
    <row r="417" spans="1:23" x14ac:dyDescent="0.2">
      <c r="A417" s="138"/>
      <c r="B417" s="138"/>
      <c r="C417" s="137"/>
      <c r="D417" s="137"/>
      <c r="E417" s="136"/>
      <c r="F417" s="136"/>
      <c r="G417" s="136"/>
      <c r="H417" s="136"/>
      <c r="I417" s="136"/>
      <c r="J417" s="136"/>
      <c r="K417" s="136"/>
      <c r="L417" s="136"/>
      <c r="M417" s="136"/>
      <c r="N417" s="136"/>
      <c r="O417" s="138"/>
      <c r="P417" s="138"/>
      <c r="Q417" s="138"/>
      <c r="R417" s="138"/>
      <c r="S417" s="138"/>
      <c r="T417" s="138"/>
      <c r="U417" s="138"/>
      <c r="V417" s="138"/>
      <c r="W417" s="138"/>
    </row>
    <row r="418" spans="1:23" x14ac:dyDescent="0.2">
      <c r="A418" s="138"/>
      <c r="B418" s="138"/>
      <c r="C418" s="137"/>
      <c r="D418" s="137"/>
      <c r="E418" s="136"/>
      <c r="F418" s="136"/>
      <c r="G418" s="136"/>
      <c r="H418" s="136"/>
      <c r="I418" s="136"/>
      <c r="J418" s="136"/>
      <c r="K418" s="136"/>
      <c r="L418" s="136"/>
      <c r="M418" s="136"/>
      <c r="N418" s="136"/>
      <c r="O418" s="138"/>
      <c r="P418" s="138"/>
      <c r="Q418" s="138"/>
      <c r="R418" s="138"/>
      <c r="S418" s="138"/>
      <c r="T418" s="138"/>
      <c r="U418" s="138"/>
      <c r="V418" s="138"/>
      <c r="W418" s="138"/>
    </row>
    <row r="419" spans="1:23" ht="12.75" customHeight="1" x14ac:dyDescent="0.2">
      <c r="P419" s="503"/>
    </row>
    <row r="420" spans="1:23" ht="12.75" customHeight="1" x14ac:dyDescent="0.2">
      <c r="P420" s="503"/>
    </row>
    <row r="421" spans="1:23" ht="12.75" customHeight="1" x14ac:dyDescent="0.2">
      <c r="P421" s="503"/>
    </row>
    <row r="422" spans="1:23" ht="12.75" customHeight="1" x14ac:dyDescent="0.2">
      <c r="P422" s="503"/>
    </row>
    <row r="423" spans="1:23" ht="12.75" customHeight="1" x14ac:dyDescent="0.2">
      <c r="P423" s="503"/>
    </row>
    <row r="424" spans="1:23" ht="12.75" customHeight="1" x14ac:dyDescent="0.2">
      <c r="P424" s="503"/>
    </row>
    <row r="425" spans="1:23" ht="12.75" customHeight="1" x14ac:dyDescent="0.2">
      <c r="P425" s="503"/>
    </row>
    <row r="426" spans="1:23" ht="12.75" customHeight="1" x14ac:dyDescent="0.2">
      <c r="P426" s="503"/>
    </row>
    <row r="427" spans="1:23" ht="12.75" customHeight="1" x14ac:dyDescent="0.2">
      <c r="P427" s="503"/>
    </row>
    <row r="428" spans="1:23" ht="12.75" customHeight="1" x14ac:dyDescent="0.2">
      <c r="P428" s="503"/>
    </row>
    <row r="429" spans="1:23" ht="12.75" customHeight="1" x14ac:dyDescent="0.2">
      <c r="P429" s="503"/>
    </row>
    <row r="430" spans="1:23" ht="12.75" customHeight="1" x14ac:dyDescent="0.2">
      <c r="P430" s="503"/>
    </row>
    <row r="431" spans="1:23" ht="12.75" customHeight="1" x14ac:dyDescent="0.2">
      <c r="P431" s="503"/>
    </row>
    <row r="432" spans="1:23" ht="12.75" customHeight="1" x14ac:dyDescent="0.2">
      <c r="P432" s="503"/>
    </row>
    <row r="433" spans="16:16" ht="12.75" customHeight="1" x14ac:dyDescent="0.2">
      <c r="P433" s="503"/>
    </row>
    <row r="434" spans="16:16" ht="12.75" customHeight="1" x14ac:dyDescent="0.2">
      <c r="P434" s="503"/>
    </row>
    <row r="435" spans="16:16" ht="12.75" customHeight="1" x14ac:dyDescent="0.2">
      <c r="P435" s="503"/>
    </row>
    <row r="436" spans="16:16" ht="12.75" customHeight="1" x14ac:dyDescent="0.2">
      <c r="P436" s="503"/>
    </row>
    <row r="437" spans="16:16" ht="12.75" customHeight="1" x14ac:dyDescent="0.2">
      <c r="P437" s="503"/>
    </row>
    <row r="438" spans="16:16" ht="12.75" customHeight="1" x14ac:dyDescent="0.2">
      <c r="P438" s="503"/>
    </row>
    <row r="439" spans="16:16" ht="12.75" customHeight="1" x14ac:dyDescent="0.2">
      <c r="P439" s="503"/>
    </row>
    <row r="440" spans="16:16" ht="12.75" customHeight="1" x14ac:dyDescent="0.2">
      <c r="P440" s="503"/>
    </row>
    <row r="441" spans="16:16" ht="12.75" customHeight="1" x14ac:dyDescent="0.2">
      <c r="P441" s="503"/>
    </row>
    <row r="442" spans="16:16" ht="12.75" customHeight="1" x14ac:dyDescent="0.2">
      <c r="P442" s="503"/>
    </row>
    <row r="443" spans="16:16" ht="12.75" customHeight="1" x14ac:dyDescent="0.2">
      <c r="P443" s="503"/>
    </row>
    <row r="444" spans="16:16" ht="12.75" customHeight="1" x14ac:dyDescent="0.2">
      <c r="P444" s="503"/>
    </row>
    <row r="445" spans="16:16" ht="12.75" customHeight="1" x14ac:dyDescent="0.2">
      <c r="P445" s="503"/>
    </row>
    <row r="446" spans="16:16" ht="12.75" customHeight="1" x14ac:dyDescent="0.2">
      <c r="P446" s="503"/>
    </row>
    <row r="447" spans="16:16" ht="12.75" customHeight="1" x14ac:dyDescent="0.2">
      <c r="P447" s="503"/>
    </row>
    <row r="448" spans="16:16" ht="12.75" customHeight="1" x14ac:dyDescent="0.2">
      <c r="P448" s="503"/>
    </row>
    <row r="449" spans="16:16" ht="12.75" customHeight="1" x14ac:dyDescent="0.2">
      <c r="P449" s="503"/>
    </row>
    <row r="450" spans="16:16" ht="12.75" customHeight="1" x14ac:dyDescent="0.2">
      <c r="P450" s="503"/>
    </row>
    <row r="451" spans="16:16" ht="12.75" customHeight="1" x14ac:dyDescent="0.2">
      <c r="P451" s="503"/>
    </row>
    <row r="452" spans="16:16" ht="12.75" customHeight="1" x14ac:dyDescent="0.2">
      <c r="P452" s="503"/>
    </row>
    <row r="453" spans="16:16" ht="12.75" customHeight="1" x14ac:dyDescent="0.2">
      <c r="P453" s="503"/>
    </row>
    <row r="454" spans="16:16" ht="12.75" customHeight="1" x14ac:dyDescent="0.2">
      <c r="P454" s="503"/>
    </row>
    <row r="455" spans="16:16" ht="12.75" customHeight="1" x14ac:dyDescent="0.2">
      <c r="P455" s="503"/>
    </row>
    <row r="456" spans="16:16" ht="12.75" customHeight="1" x14ac:dyDescent="0.2">
      <c r="P456" s="503"/>
    </row>
    <row r="457" spans="16:16" ht="12.75" customHeight="1" x14ac:dyDescent="0.2">
      <c r="P457" s="503"/>
    </row>
    <row r="458" spans="16:16" ht="12.75" customHeight="1" x14ac:dyDescent="0.2">
      <c r="P458" s="503"/>
    </row>
    <row r="459" spans="16:16" ht="12.75" customHeight="1" x14ac:dyDescent="0.2">
      <c r="P459" s="503"/>
    </row>
    <row r="460" spans="16:16" ht="12.75" customHeight="1" x14ac:dyDescent="0.2">
      <c r="P460" s="503"/>
    </row>
    <row r="461" spans="16:16" ht="12.75" customHeight="1" x14ac:dyDescent="0.2">
      <c r="P461" s="503"/>
    </row>
    <row r="462" spans="16:16" ht="12.75" customHeight="1" x14ac:dyDescent="0.2">
      <c r="P462" s="503"/>
    </row>
    <row r="463" spans="16:16" ht="12.75" customHeight="1" x14ac:dyDescent="0.2">
      <c r="P463" s="503"/>
    </row>
    <row r="464" spans="16:16" ht="12.75" customHeight="1" x14ac:dyDescent="0.2">
      <c r="P464" s="503"/>
    </row>
    <row r="465" spans="16:16" ht="12.75" customHeight="1" x14ac:dyDescent="0.2">
      <c r="P465" s="503"/>
    </row>
    <row r="466" spans="16:16" ht="12.75" customHeight="1" x14ac:dyDescent="0.2">
      <c r="P466" s="503"/>
    </row>
    <row r="467" spans="16:16" ht="12.75" customHeight="1" x14ac:dyDescent="0.2">
      <c r="P467" s="503"/>
    </row>
    <row r="468" spans="16:16" ht="12.75" customHeight="1" x14ac:dyDescent="0.2">
      <c r="P468" s="503"/>
    </row>
    <row r="469" spans="16:16" ht="12.75" customHeight="1" x14ac:dyDescent="0.2">
      <c r="P469" s="503"/>
    </row>
    <row r="470" spans="16:16" ht="12.75" customHeight="1" x14ac:dyDescent="0.2">
      <c r="P470" s="503"/>
    </row>
    <row r="471" spans="16:16" ht="12.75" customHeight="1" x14ac:dyDescent="0.2">
      <c r="P471" s="503"/>
    </row>
    <row r="472" spans="16:16" ht="12.75" customHeight="1" x14ac:dyDescent="0.2">
      <c r="P472" s="503"/>
    </row>
    <row r="473" spans="16:16" ht="12.75" customHeight="1" x14ac:dyDescent="0.2">
      <c r="P473" s="503"/>
    </row>
    <row r="474" spans="16:16" ht="12.75" customHeight="1" x14ac:dyDescent="0.2">
      <c r="P474" s="503"/>
    </row>
    <row r="475" spans="16:16" ht="12.75" customHeight="1" x14ac:dyDescent="0.2">
      <c r="P475" s="503"/>
    </row>
    <row r="476" spans="16:16" ht="12.75" customHeight="1" x14ac:dyDescent="0.2">
      <c r="P476" s="503"/>
    </row>
    <row r="477" spans="16:16" ht="12.75" customHeight="1" x14ac:dyDescent="0.2">
      <c r="P477" s="503"/>
    </row>
    <row r="478" spans="16:16" ht="12.75" customHeight="1" x14ac:dyDescent="0.2">
      <c r="P478" s="503"/>
    </row>
    <row r="479" spans="16:16" ht="12.75" customHeight="1" x14ac:dyDescent="0.2">
      <c r="P479" s="503"/>
    </row>
    <row r="480" spans="16:16" ht="12.75" customHeight="1" x14ac:dyDescent="0.2">
      <c r="P480" s="503"/>
    </row>
    <row r="481" spans="16:16" ht="12.75" customHeight="1" x14ac:dyDescent="0.2">
      <c r="P481" s="503"/>
    </row>
    <row r="482" spans="16:16" ht="12.75" customHeight="1" x14ac:dyDescent="0.2">
      <c r="P482" s="503"/>
    </row>
    <row r="483" spans="16:16" ht="12.75" customHeight="1" x14ac:dyDescent="0.2">
      <c r="P483" s="503"/>
    </row>
    <row r="484" spans="16:16" ht="12.75" customHeight="1" x14ac:dyDescent="0.2">
      <c r="P484" s="503"/>
    </row>
    <row r="485" spans="16:16" ht="12.75" customHeight="1" x14ac:dyDescent="0.2">
      <c r="P485" s="503"/>
    </row>
    <row r="486" spans="16:16" ht="12.75" customHeight="1" x14ac:dyDescent="0.2">
      <c r="P486" s="503"/>
    </row>
    <row r="487" spans="16:16" ht="12.75" customHeight="1" x14ac:dyDescent="0.2">
      <c r="P487" s="503"/>
    </row>
    <row r="488" spans="16:16" ht="12.75" customHeight="1" x14ac:dyDescent="0.2">
      <c r="P488" s="503"/>
    </row>
    <row r="489" spans="16:16" ht="12.75" customHeight="1" x14ac:dyDescent="0.2">
      <c r="P489" s="503"/>
    </row>
    <row r="490" spans="16:16" ht="12.75" customHeight="1" x14ac:dyDescent="0.2">
      <c r="P490" s="503"/>
    </row>
    <row r="491" spans="16:16" ht="12.75" customHeight="1" x14ac:dyDescent="0.2">
      <c r="P491" s="503"/>
    </row>
    <row r="492" spans="16:16" ht="12.75" customHeight="1" x14ac:dyDescent="0.2">
      <c r="P492" s="503"/>
    </row>
    <row r="493" spans="16:16" ht="12.75" customHeight="1" x14ac:dyDescent="0.2">
      <c r="P493" s="503"/>
    </row>
    <row r="494" spans="16:16" ht="12.75" customHeight="1" x14ac:dyDescent="0.2">
      <c r="P494" s="503"/>
    </row>
    <row r="495" spans="16:16" ht="12.75" customHeight="1" x14ac:dyDescent="0.2">
      <c r="P495" s="503"/>
    </row>
    <row r="496" spans="16:16" ht="12.75" customHeight="1" x14ac:dyDescent="0.2">
      <c r="P496" s="503"/>
    </row>
    <row r="497" spans="16:16" ht="12.75" customHeight="1" x14ac:dyDescent="0.2">
      <c r="P497" s="503"/>
    </row>
    <row r="498" spans="16:16" ht="12.75" customHeight="1" x14ac:dyDescent="0.2">
      <c r="P498" s="503"/>
    </row>
    <row r="499" spans="16:16" ht="12.75" customHeight="1" x14ac:dyDescent="0.2">
      <c r="P499" s="503"/>
    </row>
    <row r="500" spans="16:16" ht="12.75" customHeight="1" x14ac:dyDescent="0.2">
      <c r="P500" s="503"/>
    </row>
    <row r="501" spans="16:16" ht="12.75" customHeight="1" x14ac:dyDescent="0.2">
      <c r="P501" s="503"/>
    </row>
    <row r="502" spans="16:16" ht="12.75" customHeight="1" x14ac:dyDescent="0.2">
      <c r="P502" s="503"/>
    </row>
    <row r="503" spans="16:16" ht="12.75" customHeight="1" x14ac:dyDescent="0.2">
      <c r="P503" s="503"/>
    </row>
    <row r="504" spans="16:16" ht="12.75" customHeight="1" x14ac:dyDescent="0.2">
      <c r="P504" s="503"/>
    </row>
    <row r="505" spans="16:16" ht="12.75" customHeight="1" x14ac:dyDescent="0.2">
      <c r="P505" s="503"/>
    </row>
    <row r="506" spans="16:16" ht="12.75" customHeight="1" x14ac:dyDescent="0.2">
      <c r="P506" s="503"/>
    </row>
    <row r="507" spans="16:16" ht="12.75" customHeight="1" x14ac:dyDescent="0.2">
      <c r="P507" s="503"/>
    </row>
    <row r="508" spans="16:16" ht="12.75" customHeight="1" x14ac:dyDescent="0.2">
      <c r="P508" s="503"/>
    </row>
    <row r="509" spans="16:16" ht="12.75" customHeight="1" x14ac:dyDescent="0.2">
      <c r="P509" s="503"/>
    </row>
    <row r="510" spans="16:16" ht="12.75" customHeight="1" x14ac:dyDescent="0.2">
      <c r="P510" s="503"/>
    </row>
    <row r="511" spans="16:16" ht="12.75" customHeight="1" x14ac:dyDescent="0.2">
      <c r="P511" s="503"/>
    </row>
    <row r="512" spans="16:16" ht="12.75" customHeight="1" x14ac:dyDescent="0.2">
      <c r="P512" s="503"/>
    </row>
    <row r="513" spans="16:16" ht="12.75" customHeight="1" x14ac:dyDescent="0.2">
      <c r="P513" s="503"/>
    </row>
    <row r="514" spans="16:16" ht="12.75" customHeight="1" x14ac:dyDescent="0.2">
      <c r="P514" s="503"/>
    </row>
    <row r="515" spans="16:16" ht="12.75" customHeight="1" x14ac:dyDescent="0.2">
      <c r="P515" s="503"/>
    </row>
    <row r="516" spans="16:16" ht="12.75" customHeight="1" x14ac:dyDescent="0.2">
      <c r="P516" s="503"/>
    </row>
    <row r="517" spans="16:16" ht="12.75" customHeight="1" x14ac:dyDescent="0.2">
      <c r="P517" s="503"/>
    </row>
    <row r="518" spans="16:16" ht="12.75" customHeight="1" x14ac:dyDescent="0.2">
      <c r="P518" s="503"/>
    </row>
    <row r="519" spans="16:16" ht="12.75" customHeight="1" x14ac:dyDescent="0.2">
      <c r="P519" s="503"/>
    </row>
  </sheetData>
  <sheetProtection selectLockedCells="1"/>
  <mergeCells count="240">
    <mergeCell ref="C324:D324"/>
    <mergeCell ref="C340:D340"/>
    <mergeCell ref="C341:D341"/>
    <mergeCell ref="C342:D342"/>
    <mergeCell ref="C343:D343"/>
    <mergeCell ref="C344:D344"/>
    <mergeCell ref="C345:D345"/>
    <mergeCell ref="C346:D346"/>
    <mergeCell ref="C325:D325"/>
    <mergeCell ref="C326:D326"/>
    <mergeCell ref="C327:D327"/>
    <mergeCell ref="C328:D328"/>
    <mergeCell ref="C329:D329"/>
    <mergeCell ref="C330:D330"/>
    <mergeCell ref="C331:D331"/>
    <mergeCell ref="C334:E334"/>
    <mergeCell ref="C339:D339"/>
    <mergeCell ref="C309:D309"/>
    <mergeCell ref="C310:D310"/>
    <mergeCell ref="C311:D311"/>
    <mergeCell ref="C312:D312"/>
    <mergeCell ref="C313:D313"/>
    <mergeCell ref="C314:D314"/>
    <mergeCell ref="C315:D315"/>
    <mergeCell ref="C316:D316"/>
    <mergeCell ref="C319:E319"/>
    <mergeCell ref="C294:D294"/>
    <mergeCell ref="C295:D295"/>
    <mergeCell ref="C296:D296"/>
    <mergeCell ref="C297:D297"/>
    <mergeCell ref="C298:D298"/>
    <mergeCell ref="C299:D299"/>
    <mergeCell ref="C300:D300"/>
    <mergeCell ref="C301:D301"/>
    <mergeCell ref="C304:E304"/>
    <mergeCell ref="C279:D279"/>
    <mergeCell ref="C280:D280"/>
    <mergeCell ref="C281:D281"/>
    <mergeCell ref="C282:D282"/>
    <mergeCell ref="C283:D283"/>
    <mergeCell ref="C284:D284"/>
    <mergeCell ref="C285:D285"/>
    <mergeCell ref="C286:D286"/>
    <mergeCell ref="C289:E289"/>
    <mergeCell ref="C264:D264"/>
    <mergeCell ref="C265:D265"/>
    <mergeCell ref="C266:D266"/>
    <mergeCell ref="C267:D267"/>
    <mergeCell ref="C268:D268"/>
    <mergeCell ref="C269:D269"/>
    <mergeCell ref="C270:D270"/>
    <mergeCell ref="C271:D271"/>
    <mergeCell ref="C274:E274"/>
    <mergeCell ref="L402:M402"/>
    <mergeCell ref="L15:M15"/>
    <mergeCell ref="C361:D361"/>
    <mergeCell ref="C366:D366"/>
    <mergeCell ref="H366:I366"/>
    <mergeCell ref="C389:D389"/>
    <mergeCell ref="C381:D381"/>
    <mergeCell ref="C382:D382"/>
    <mergeCell ref="C383:D383"/>
    <mergeCell ref="C384:D384"/>
    <mergeCell ref="C359:D359"/>
    <mergeCell ref="C360:D360"/>
    <mergeCell ref="C374:D374"/>
    <mergeCell ref="G380:M380"/>
    <mergeCell ref="G381:M381"/>
    <mergeCell ref="G382:M382"/>
    <mergeCell ref="G374:M374"/>
    <mergeCell ref="G379:M379"/>
    <mergeCell ref="C390:D390"/>
    <mergeCell ref="H390:I390"/>
    <mergeCell ref="G383:M383"/>
    <mergeCell ref="G384:M384"/>
    <mergeCell ref="C235:D235"/>
    <mergeCell ref="C236:D236"/>
    <mergeCell ref="C225:D225"/>
    <mergeCell ref="C226:D226"/>
    <mergeCell ref="C349:E349"/>
    <mergeCell ref="C355:D355"/>
    <mergeCell ref="C356:D356"/>
    <mergeCell ref="C357:D357"/>
    <mergeCell ref="C358:D358"/>
    <mergeCell ref="C395:D395"/>
    <mergeCell ref="C402:D402"/>
    <mergeCell ref="C237:D237"/>
    <mergeCell ref="C238:D238"/>
    <mergeCell ref="C239:D239"/>
    <mergeCell ref="C240:D240"/>
    <mergeCell ref="C241:D241"/>
    <mergeCell ref="C244:E244"/>
    <mergeCell ref="C249:D249"/>
    <mergeCell ref="C250:D250"/>
    <mergeCell ref="C251:D251"/>
    <mergeCell ref="C252:D252"/>
    <mergeCell ref="C253:D253"/>
    <mergeCell ref="C254:D254"/>
    <mergeCell ref="C255:D255"/>
    <mergeCell ref="C256:D256"/>
    <mergeCell ref="C259:E259"/>
    <mergeCell ref="G375:M375"/>
    <mergeCell ref="G376:M376"/>
    <mergeCell ref="C379:D379"/>
    <mergeCell ref="C380:D380"/>
    <mergeCell ref="C229:E229"/>
    <mergeCell ref="C207:D207"/>
    <mergeCell ref="G377:M377"/>
    <mergeCell ref="G378:M378"/>
    <mergeCell ref="C190:D190"/>
    <mergeCell ref="C191:D191"/>
    <mergeCell ref="C192:D192"/>
    <mergeCell ref="C193:D193"/>
    <mergeCell ref="C211:D211"/>
    <mergeCell ref="C214:E214"/>
    <mergeCell ref="C196:D196"/>
    <mergeCell ref="C199:E199"/>
    <mergeCell ref="C204:D204"/>
    <mergeCell ref="C205:D205"/>
    <mergeCell ref="C206:D206"/>
    <mergeCell ref="C208:D208"/>
    <mergeCell ref="C209:D209"/>
    <mergeCell ref="C210:D210"/>
    <mergeCell ref="C194:D194"/>
    <mergeCell ref="C195:D195"/>
    <mergeCell ref="C375:D375"/>
    <mergeCell ref="C376:D376"/>
    <mergeCell ref="C377:D377"/>
    <mergeCell ref="C378:D378"/>
    <mergeCell ref="C234:D234"/>
    <mergeCell ref="C189:D189"/>
    <mergeCell ref="C174:D174"/>
    <mergeCell ref="C175:D175"/>
    <mergeCell ref="C176:D176"/>
    <mergeCell ref="C177:D177"/>
    <mergeCell ref="C178:D178"/>
    <mergeCell ref="C179:D179"/>
    <mergeCell ref="C180:D180"/>
    <mergeCell ref="C181:D181"/>
    <mergeCell ref="C184:E184"/>
    <mergeCell ref="C219:D219"/>
    <mergeCell ref="C220:D220"/>
    <mergeCell ref="C221:D221"/>
    <mergeCell ref="C222:D222"/>
    <mergeCell ref="C223:D223"/>
    <mergeCell ref="C354:D354"/>
    <mergeCell ref="E373:M373"/>
    <mergeCell ref="H371:I371"/>
    <mergeCell ref="C224:D224"/>
    <mergeCell ref="C131:D131"/>
    <mergeCell ref="C132:D132"/>
    <mergeCell ref="C133:D133"/>
    <mergeCell ref="C159:D159"/>
    <mergeCell ref="C160:D160"/>
    <mergeCell ref="C161:D161"/>
    <mergeCell ref="C145:D145"/>
    <mergeCell ref="C146:D146"/>
    <mergeCell ref="C147:D147"/>
    <mergeCell ref="C148:D148"/>
    <mergeCell ref="C149:D149"/>
    <mergeCell ref="C150:D150"/>
    <mergeCell ref="C151:D151"/>
    <mergeCell ref="C154:E154"/>
    <mergeCell ref="C97:D97"/>
    <mergeCell ref="C84:D84"/>
    <mergeCell ref="C85:D85"/>
    <mergeCell ref="C86:D86"/>
    <mergeCell ref="C87:D87"/>
    <mergeCell ref="C90:D90"/>
    <mergeCell ref="C91:D91"/>
    <mergeCell ref="C94:E94"/>
    <mergeCell ref="C64:E64"/>
    <mergeCell ref="C67:D67"/>
    <mergeCell ref="C69:D69"/>
    <mergeCell ref="C70:D70"/>
    <mergeCell ref="C71:D71"/>
    <mergeCell ref="C75:D75"/>
    <mergeCell ref="C76:D76"/>
    <mergeCell ref="C33:D33"/>
    <mergeCell ref="C34:D34"/>
    <mergeCell ref="H45:I45"/>
    <mergeCell ref="C7:D7"/>
    <mergeCell ref="C9:D9"/>
    <mergeCell ref="C29:D29"/>
    <mergeCell ref="C30:D30"/>
    <mergeCell ref="C31:D31"/>
    <mergeCell ref="C32:D32"/>
    <mergeCell ref="C8:D8"/>
    <mergeCell ref="H15:I15"/>
    <mergeCell ref="C44:D44"/>
    <mergeCell ref="C45:D45"/>
    <mergeCell ref="H44:I44"/>
    <mergeCell ref="C162:D162"/>
    <mergeCell ref="C163:D163"/>
    <mergeCell ref="C164:D164"/>
    <mergeCell ref="C165:D165"/>
    <mergeCell ref="C166:D166"/>
    <mergeCell ref="C169:E169"/>
    <mergeCell ref="C102:D102"/>
    <mergeCell ref="C124:E124"/>
    <mergeCell ref="C106:D106"/>
    <mergeCell ref="C109:E109"/>
    <mergeCell ref="C120:D120"/>
    <mergeCell ref="C121:D121"/>
    <mergeCell ref="C103:D103"/>
    <mergeCell ref="C104:D104"/>
    <mergeCell ref="C144:D144"/>
    <mergeCell ref="C114:D114"/>
    <mergeCell ref="C115:D115"/>
    <mergeCell ref="C116:D116"/>
    <mergeCell ref="C134:D134"/>
    <mergeCell ref="C135:D135"/>
    <mergeCell ref="C136:D136"/>
    <mergeCell ref="C139:E139"/>
    <mergeCell ref="C129:D129"/>
    <mergeCell ref="C130:D130"/>
    <mergeCell ref="L408:M408"/>
    <mergeCell ref="C56:D56"/>
    <mergeCell ref="C72:D72"/>
    <mergeCell ref="C50:D50"/>
    <mergeCell ref="C51:D51"/>
    <mergeCell ref="C52:D52"/>
    <mergeCell ref="C53:D53"/>
    <mergeCell ref="C54:D54"/>
    <mergeCell ref="C55:D55"/>
    <mergeCell ref="C82:D82"/>
    <mergeCell ref="C73:D73"/>
    <mergeCell ref="C74:D74"/>
    <mergeCell ref="C79:E79"/>
    <mergeCell ref="C99:D99"/>
    <mergeCell ref="C88:D88"/>
    <mergeCell ref="C89:D89"/>
    <mergeCell ref="C404:D404"/>
    <mergeCell ref="C406:D406"/>
    <mergeCell ref="C105:D105"/>
    <mergeCell ref="C117:D117"/>
    <mergeCell ref="C118:D118"/>
    <mergeCell ref="C119:D119"/>
    <mergeCell ref="C100:D100"/>
    <mergeCell ref="C101:D101"/>
  </mergeCells>
  <conditionalFormatting sqref="M395:M396 I18">
    <cfRule type="cellIs" dxfId="1276" priority="294" operator="equal">
      <formula>"Yes"</formula>
    </cfRule>
  </conditionalFormatting>
  <conditionalFormatting sqref="M7">
    <cfRule type="cellIs" dxfId="1275" priority="293" operator="equal">
      <formula>"Yes"</formula>
    </cfRule>
  </conditionalFormatting>
  <conditionalFormatting sqref="E366">
    <cfRule type="expression" dxfId="1274" priority="289">
      <formula>OR($I$65="New",$I$80="New")</formula>
    </cfRule>
  </conditionalFormatting>
  <conditionalFormatting sqref="I16">
    <cfRule type="cellIs" dxfId="1273" priority="285" operator="equal">
      <formula>"High save"</formula>
    </cfRule>
    <cfRule type="cellIs" dxfId="1272" priority="286" operator="equal">
      <formula>"Minor save"</formula>
    </cfRule>
    <cfRule type="cellIs" dxfId="1271" priority="287" operator="equal">
      <formula>"Minor cost"</formula>
    </cfRule>
    <cfRule type="cellIs" dxfId="1270" priority="288" operator="equal">
      <formula>"High cost"</formula>
    </cfRule>
  </conditionalFormatting>
  <conditionalFormatting sqref="I20:I21 I17">
    <cfRule type="cellIs" dxfId="1269" priority="282" operator="equal">
      <formula>"Nil"</formula>
    </cfRule>
    <cfRule type="cellIs" dxfId="1268" priority="283" operator="equal">
      <formula>"Save"</formula>
    </cfRule>
    <cfRule type="cellIs" dxfId="1267" priority="284" operator="equal">
      <formula>"Cost"</formula>
    </cfRule>
  </conditionalFormatting>
  <conditionalFormatting sqref="I22">
    <cfRule type="cellIs" dxfId="1266" priority="281" operator="equal">
      <formula>"Yes"</formula>
    </cfRule>
  </conditionalFormatting>
  <conditionalFormatting sqref="E395">
    <cfRule type="expression" dxfId="1265" priority="268">
      <formula>$I$396&lt;&gt;"Cost-minimisation"</formula>
    </cfRule>
  </conditionalFormatting>
  <conditionalFormatting sqref="E402 E404 I402 I404 I406 E406">
    <cfRule type="expression" dxfId="1264" priority="141">
      <formula>$I$396="Price change"</formula>
    </cfRule>
  </conditionalFormatting>
  <conditionalFormatting sqref="E45">
    <cfRule type="expression" dxfId="1263" priority="304">
      <formula>OR($M$7="No",$M$7="")</formula>
    </cfRule>
  </conditionalFormatting>
  <conditionalFormatting sqref="M397">
    <cfRule type="expression" dxfId="1262" priority="77">
      <formula>$M$396&lt;&gt;"Yes"</formula>
    </cfRule>
    <cfRule type="expression" dxfId="1261" priority="145">
      <formula>AND($M$397="Yes",$M$396="No")</formula>
    </cfRule>
    <cfRule type="cellIs" dxfId="1260" priority="242" operator="equal">
      <formula>"Yes"</formula>
    </cfRule>
  </conditionalFormatting>
  <conditionalFormatting sqref="I23">
    <cfRule type="cellIs" dxfId="1259" priority="143" operator="equal">
      <formula>"Complex"</formula>
    </cfRule>
    <cfRule type="cellIs" dxfId="1258" priority="144" operator="equal">
      <formula>"Additional data"</formula>
    </cfRule>
  </conditionalFormatting>
  <conditionalFormatting sqref="E406">
    <cfRule type="expression" dxfId="1257" priority="142">
      <formula>$I$65="Price change"</formula>
    </cfRule>
  </conditionalFormatting>
  <conditionalFormatting sqref="I402">
    <cfRule type="expression" dxfId="1256" priority="267">
      <formula>$I$395&lt;&gt;"Epidemiology"</formula>
    </cfRule>
  </conditionalFormatting>
  <conditionalFormatting sqref="L402:M402">
    <cfRule type="expression" dxfId="1255" priority="140">
      <formula>$L$402&lt;&gt;""</formula>
    </cfRule>
  </conditionalFormatting>
  <conditionalFormatting sqref="I62">
    <cfRule type="cellIs" dxfId="1254" priority="139" operator="equal">
      <formula>"Yes"</formula>
    </cfRule>
  </conditionalFormatting>
  <conditionalFormatting sqref="E31">
    <cfRule type="expression" dxfId="1253" priority="306">
      <formula>OR($J$16="N",I65="Price change")</formula>
    </cfRule>
  </conditionalFormatting>
  <conditionalFormatting sqref="E32">
    <cfRule type="expression" dxfId="1252" priority="307">
      <formula>OR($J$17="N",I65="Price change")</formula>
    </cfRule>
  </conditionalFormatting>
  <conditionalFormatting sqref="E33">
    <cfRule type="expression" dxfId="1251" priority="308">
      <formula>$J$20="N"</formula>
    </cfRule>
  </conditionalFormatting>
  <conditionalFormatting sqref="E34">
    <cfRule type="expression" dxfId="1250" priority="309">
      <formula>$J$21="N"</formula>
    </cfRule>
  </conditionalFormatting>
  <conditionalFormatting sqref="D80">
    <cfRule type="expression" dxfId="1249" priority="138">
      <formula>AND($E$65="",#REF!="")</formula>
    </cfRule>
  </conditionalFormatting>
  <conditionalFormatting sqref="E67:E76 E65 I65:I68 L66">
    <cfRule type="expression" dxfId="1248" priority="137">
      <formula>$D$65=""</formula>
    </cfRule>
  </conditionalFormatting>
  <conditionalFormatting sqref="E82:E91 E80 I80:I83 L81">
    <cfRule type="expression" dxfId="1247" priority="136">
      <formula>$D$80=""</formula>
    </cfRule>
  </conditionalFormatting>
  <conditionalFormatting sqref="E97:E106 E95 I95:I98 L96">
    <cfRule type="expression" dxfId="1246" priority="135">
      <formula>$D$95=""</formula>
    </cfRule>
  </conditionalFormatting>
  <conditionalFormatting sqref="D95">
    <cfRule type="expression" dxfId="1245" priority="134">
      <formula>AND($E$65="",#REF!="")</formula>
    </cfRule>
  </conditionalFormatting>
  <conditionalFormatting sqref="D110">
    <cfRule type="expression" dxfId="1244" priority="133">
      <formula>AND($E$65="",#REF!="")</formula>
    </cfRule>
  </conditionalFormatting>
  <conditionalFormatting sqref="D125">
    <cfRule type="expression" dxfId="1243" priority="132">
      <formula>AND($E$65="",#REF!="")</formula>
    </cfRule>
  </conditionalFormatting>
  <conditionalFormatting sqref="D140">
    <cfRule type="expression" dxfId="1242" priority="131">
      <formula>AND($E$65="",#REF!="")</formula>
    </cfRule>
  </conditionalFormatting>
  <conditionalFormatting sqref="D155">
    <cfRule type="expression" dxfId="1241" priority="130">
      <formula>AND($E$65="",#REF!="")</formula>
    </cfRule>
  </conditionalFormatting>
  <conditionalFormatting sqref="D170 D185 D200 D215 D350">
    <cfRule type="expression" dxfId="1240" priority="129">
      <formula>AND($E$65="",#REF!="")</formula>
    </cfRule>
  </conditionalFormatting>
  <conditionalFormatting sqref="M406 M17">
    <cfRule type="expression" dxfId="1239" priority="124">
      <formula>$M$395&lt;&gt;"Yes"</formula>
    </cfRule>
  </conditionalFormatting>
  <conditionalFormatting sqref="E112:E121 E110 I110:I113 L111">
    <cfRule type="expression" dxfId="1238" priority="122">
      <formula>$D$110=""</formula>
    </cfRule>
  </conditionalFormatting>
  <conditionalFormatting sqref="E140 E142:E151 I140:I143 L141">
    <cfRule type="expression" dxfId="1237" priority="120">
      <formula>$D$140=""</formula>
    </cfRule>
  </conditionalFormatting>
  <conditionalFormatting sqref="E155 E157:E166 I155:I158 L156">
    <cfRule type="expression" dxfId="1236" priority="119">
      <formula>$D$155=""</formula>
    </cfRule>
  </conditionalFormatting>
  <conditionalFormatting sqref="E170 E172:E181 I170:I173 L171">
    <cfRule type="expression" dxfId="1235" priority="118">
      <formula>$D$170=""</formula>
    </cfRule>
  </conditionalFormatting>
  <conditionalFormatting sqref="E185 E187:E196 I185:I188 L186">
    <cfRule type="expression" dxfId="1234" priority="117">
      <formula>$D$185=""</formula>
    </cfRule>
  </conditionalFormatting>
  <conditionalFormatting sqref="E200 E202:E211 I200:I203 L201">
    <cfRule type="expression" dxfId="1233" priority="116">
      <formula>$D$200=""</formula>
    </cfRule>
  </conditionalFormatting>
  <conditionalFormatting sqref="E215 E217:E226 I215:I218 L216">
    <cfRule type="expression" dxfId="1232" priority="115">
      <formula>$D$215=""</formula>
    </cfRule>
  </conditionalFormatting>
  <conditionalFormatting sqref="E350 E352:E361 I350:I353 L351">
    <cfRule type="expression" dxfId="1231" priority="114">
      <formula>$D$350=""</formula>
    </cfRule>
  </conditionalFormatting>
  <conditionalFormatting sqref="H45:I45">
    <cfRule type="expression" dxfId="1230" priority="75">
      <formula>$J$45=1</formula>
    </cfRule>
    <cfRule type="expression" dxfId="1229" priority="112">
      <formula>$J$45=2</formula>
    </cfRule>
  </conditionalFormatting>
  <conditionalFormatting sqref="H390:I390">
    <cfRule type="expression" dxfId="1228" priority="110">
      <formula>$H$390&lt;&gt;""</formula>
    </cfRule>
  </conditionalFormatting>
  <conditionalFormatting sqref="E61">
    <cfRule type="expression" dxfId="1227" priority="109">
      <formula>$E$61&lt;&gt;""</formula>
    </cfRule>
  </conditionalFormatting>
  <conditionalFormatting sqref="E62">
    <cfRule type="expression" dxfId="1226" priority="108">
      <formula>$E$62&lt;&gt;""</formula>
    </cfRule>
  </conditionalFormatting>
  <conditionalFormatting sqref="C381:M384 C375:C380 E375:M380">
    <cfRule type="expression" dxfId="1225" priority="91">
      <formula>$I$62&lt;&gt;"Yes"</formula>
    </cfRule>
  </conditionalFormatting>
  <conditionalFormatting sqref="I24">
    <cfRule type="expression" dxfId="1224" priority="87">
      <formula>$I$24="Yes"</formula>
    </cfRule>
  </conditionalFormatting>
  <conditionalFormatting sqref="E127:E136 E125 I125:I128 L126">
    <cfRule type="expression" dxfId="1223" priority="86">
      <formula>$D$125=""</formula>
    </cfRule>
  </conditionalFormatting>
  <conditionalFormatting sqref="M409">
    <cfRule type="cellIs" dxfId="1222" priority="85" operator="equal">
      <formula>"No"</formula>
    </cfRule>
  </conditionalFormatting>
  <conditionalFormatting sqref="M410">
    <cfRule type="cellIs" dxfId="1221" priority="83" operator="equal">
      <formula>"No"</formula>
    </cfRule>
  </conditionalFormatting>
  <conditionalFormatting sqref="M411">
    <cfRule type="cellIs" dxfId="1220" priority="81" operator="equal">
      <formula>"No"</formula>
    </cfRule>
  </conditionalFormatting>
  <conditionalFormatting sqref="M412:M413">
    <cfRule type="cellIs" dxfId="1219" priority="79" operator="equal">
      <formula>"No"</formula>
    </cfRule>
  </conditionalFormatting>
  <conditionalFormatting sqref="H44:I44">
    <cfRule type="expression" dxfId="1218" priority="76">
      <formula>$H$44&lt;&gt;""</formula>
    </cfRule>
  </conditionalFormatting>
  <conditionalFormatting sqref="H371:I371">
    <cfRule type="expression" dxfId="1217" priority="73">
      <formula>$J$371=1</formula>
    </cfRule>
    <cfRule type="expression" dxfId="1216" priority="74">
      <formula>$J$371=2</formula>
    </cfRule>
  </conditionalFormatting>
  <conditionalFormatting sqref="D230">
    <cfRule type="expression" dxfId="1215" priority="59">
      <formula>AND($E$65="",#REF!="")</formula>
    </cfRule>
  </conditionalFormatting>
  <conditionalFormatting sqref="E230 E232:E241 I230:I233 L231">
    <cfRule type="expression" dxfId="1214" priority="58">
      <formula>$D$230=""</formula>
    </cfRule>
  </conditionalFormatting>
  <conditionalFormatting sqref="D245">
    <cfRule type="expression" dxfId="1213" priority="57">
      <formula>AND($E$65="",#REF!="")</formula>
    </cfRule>
  </conditionalFormatting>
  <conditionalFormatting sqref="D260">
    <cfRule type="expression" dxfId="1212" priority="56">
      <formula>AND($E$65="",#REF!="")</formula>
    </cfRule>
  </conditionalFormatting>
  <conditionalFormatting sqref="D275 D290 D305 D320">
    <cfRule type="expression" dxfId="1211" priority="55">
      <formula>AND($E$65="",#REF!="")</formula>
    </cfRule>
  </conditionalFormatting>
  <conditionalFormatting sqref="E245 E247:E256 I245:I248 L246">
    <cfRule type="expression" dxfId="1210" priority="54">
      <formula>$D$245=""</formula>
    </cfRule>
  </conditionalFormatting>
  <conditionalFormatting sqref="E260 E262:E271 I260:I263 L261">
    <cfRule type="expression" dxfId="1209" priority="53">
      <formula>$D$260=""</formula>
    </cfRule>
  </conditionalFormatting>
  <conditionalFormatting sqref="E275 E277:E286 I275:I278 L276">
    <cfRule type="expression" dxfId="1208" priority="52">
      <formula>$D$275=""</formula>
    </cfRule>
  </conditionalFormatting>
  <conditionalFormatting sqref="E290 E292:E301 I290:I293 L291">
    <cfRule type="expression" dxfId="1207" priority="51">
      <formula>$D$290=""</formula>
    </cfRule>
  </conditionalFormatting>
  <conditionalFormatting sqref="E305 E307:E316 I305:I308 L306">
    <cfRule type="expression" dxfId="1206" priority="50">
      <formula>$D$305=""</formula>
    </cfRule>
  </conditionalFormatting>
  <conditionalFormatting sqref="E320 E322:E331 I320:I323 L321">
    <cfRule type="expression" dxfId="1205" priority="49">
      <formula>$D$320=""</formula>
    </cfRule>
  </conditionalFormatting>
  <conditionalFormatting sqref="D335">
    <cfRule type="expression" dxfId="1204" priority="48">
      <formula>AND($E$65="",#REF!="")</formula>
    </cfRule>
  </conditionalFormatting>
  <conditionalFormatting sqref="E335 E337:E346 I335:I338 L336">
    <cfRule type="expression" dxfId="1203" priority="47">
      <formula>$D$335=""</formula>
    </cfRule>
  </conditionalFormatting>
  <conditionalFormatting sqref="E402">
    <cfRule type="expression" dxfId="1202" priority="24">
      <formula>$L$402=""</formula>
    </cfRule>
  </conditionalFormatting>
  <conditionalFormatting sqref="H366:I366">
    <cfRule type="expression" dxfId="1201" priority="22">
      <formula>$J$366&gt;0</formula>
    </cfRule>
  </conditionalFormatting>
  <conditionalFormatting sqref="L67">
    <cfRule type="expression" dxfId="1200" priority="20">
      <formula>$N$66&lt;2</formula>
    </cfRule>
  </conditionalFormatting>
  <conditionalFormatting sqref="L82">
    <cfRule type="expression" dxfId="1199" priority="19">
      <formula>$N$81&lt;2</formula>
    </cfRule>
  </conditionalFormatting>
  <conditionalFormatting sqref="L97">
    <cfRule type="expression" dxfId="1198" priority="18">
      <formula>$N$96&lt;2</formula>
    </cfRule>
  </conditionalFormatting>
  <conditionalFormatting sqref="L112">
    <cfRule type="expression" dxfId="1197" priority="17">
      <formula>$N$111&lt;2</formula>
    </cfRule>
  </conditionalFormatting>
  <conditionalFormatting sqref="L127">
    <cfRule type="expression" dxfId="1196" priority="16">
      <formula>$N$126&lt;2</formula>
    </cfRule>
  </conditionalFormatting>
  <conditionalFormatting sqref="L142">
    <cfRule type="expression" dxfId="1195" priority="15">
      <formula>$N$141&lt;2</formula>
    </cfRule>
  </conditionalFormatting>
  <conditionalFormatting sqref="L157">
    <cfRule type="expression" dxfId="1194" priority="14">
      <formula>$N$156&lt;2</formula>
    </cfRule>
  </conditionalFormatting>
  <conditionalFormatting sqref="L172">
    <cfRule type="expression" dxfId="1193" priority="13">
      <formula>$N$171&lt;2</formula>
    </cfRule>
  </conditionalFormatting>
  <conditionalFormatting sqref="L187">
    <cfRule type="expression" dxfId="1192" priority="12">
      <formula>$N$186&lt;2</formula>
    </cfRule>
  </conditionalFormatting>
  <conditionalFormatting sqref="L202">
    <cfRule type="expression" dxfId="1191" priority="11">
      <formula>$N$201&lt;2</formula>
    </cfRule>
  </conditionalFormatting>
  <conditionalFormatting sqref="L217">
    <cfRule type="expression" dxfId="1190" priority="10">
      <formula>$N$216&lt;2</formula>
    </cfRule>
  </conditionalFormatting>
  <conditionalFormatting sqref="L232">
    <cfRule type="expression" dxfId="1189" priority="9">
      <formula>$N$231&lt;2</formula>
    </cfRule>
  </conditionalFormatting>
  <conditionalFormatting sqref="L247">
    <cfRule type="expression" dxfId="1188" priority="8">
      <formula>$N$246&lt;2</formula>
    </cfRule>
  </conditionalFormatting>
  <conditionalFormatting sqref="L262">
    <cfRule type="expression" dxfId="1187" priority="7">
      <formula>$N$261&lt;2</formula>
    </cfRule>
  </conditionalFormatting>
  <conditionalFormatting sqref="L277">
    <cfRule type="expression" dxfId="1186" priority="6">
      <formula>$N$276&lt;2</formula>
    </cfRule>
  </conditionalFormatting>
  <conditionalFormatting sqref="L292">
    <cfRule type="expression" dxfId="1185" priority="5">
      <formula>$N$291&lt;2</formula>
    </cfRule>
  </conditionalFormatting>
  <conditionalFormatting sqref="L307">
    <cfRule type="expression" dxfId="1184" priority="4">
      <formula>$N$306&lt;2</formula>
    </cfRule>
  </conditionalFormatting>
  <conditionalFormatting sqref="L322">
    <cfRule type="expression" dxfId="1183" priority="3">
      <formula>$N$321&lt;2</formula>
    </cfRule>
  </conditionalFormatting>
  <conditionalFormatting sqref="L337">
    <cfRule type="expression" dxfId="1182" priority="2">
      <formula>$N$336&lt;2</formula>
    </cfRule>
  </conditionalFormatting>
  <conditionalFormatting sqref="L352">
    <cfRule type="expression" dxfId="1181" priority="1">
      <formula>$N$351&lt;2</formula>
    </cfRule>
  </conditionalFormatting>
  <dataValidations count="14">
    <dataValidation type="list" allowBlank="1" showInputMessage="1" showErrorMessage="1" sqref="D65 D80 D95 D110 D125 D140 D155 D170 D185 D200 D215 D350 D230 D245 D260 D275 D290 D305 D320 D335">
      <formula1>Programme</formula1>
    </dataValidation>
    <dataValidation type="list" allowBlank="1" showInputMessage="1" showErrorMessage="1" sqref="M19 I23">
      <formula1>Reporting</formula1>
    </dataValidation>
    <dataValidation type="list" allowBlank="1" showInputMessage="1" showErrorMessage="1" sqref="I7">
      <formula1>PBACMeetingDate</formula1>
    </dataValidation>
    <dataValidation type="list" allowBlank="1" showInputMessage="1" showErrorMessage="1" sqref="M8">
      <formula1>CalendarYear</formula1>
    </dataValidation>
    <dataValidation type="list" allowBlank="1" showInputMessage="1" showErrorMessage="1" sqref="I9">
      <formula1>SubmissionType</formula1>
    </dataValidation>
    <dataValidation type="list" allowBlank="1" showInputMessage="1" showErrorMessage="1" sqref="I396">
      <formula1>EconomicAnalysis</formula1>
    </dataValidation>
    <dataValidation type="list" allowBlank="1" showInputMessage="1" showErrorMessage="1" sqref="I65 I80 I95 I215 I110 I125 I140 I155 I170 I185 I200 I350 I230 I320 I245 I260 I275 I290 I305 I335">
      <formula1>ListingType</formula1>
    </dataValidation>
    <dataValidation type="list" allowBlank="1" showInputMessage="1" showErrorMessage="1" sqref="M7 I62 I18 M395:M397 M409:M413">
      <formula1>Switch</formula1>
    </dataValidation>
    <dataValidation type="list" allowBlank="1" showInputMessage="1" showErrorMessage="1" sqref="E111">
      <formula1>ProgrammeLong</formula1>
    </dataValidation>
    <dataValidation type="list" allowBlank="1" showInputMessage="1" showErrorMessage="1" sqref="M366:N366">
      <formula1>"Yes,No"</formula1>
    </dataValidation>
    <dataValidation type="list" allowBlank="1" showInputMessage="1" showErrorMessage="1" sqref="I404">
      <formula1>CalculationMethod</formula1>
    </dataValidation>
    <dataValidation type="list" allowBlank="1" showInputMessage="1" showErrorMessage="1" sqref="E67 E82 E97 E112 E127 E142 E157 E172 E187 E202 E217 E352 E232 E247 E262 E277 E292 E307 E322 E337">
      <formula1>TPLong</formula1>
    </dataValidation>
    <dataValidation type="list" allowBlank="1" showInputMessage="1" showErrorMessage="1" sqref="L66 L81 L96 L111 L126 L141 L156 L171 L186 L201 L216 L231 L246 L261 L276 L291 L306 L321 L336 L351">
      <formula1>Authority</formula1>
    </dataValidation>
    <dataValidation type="list" allowBlank="1" showInputMessage="1" showErrorMessage="1" sqref="L67 L82 L97 L112 L127 L142 L157 L172 L187 L202 L217 L232 L247 L262 L277 L292 L307 L322 L337 L352">
      <formula1>Electronic</formula1>
    </dataValidation>
  </dataValidations>
  <pageMargins left="3.937007874015748E-2" right="3.937007874015748E-2" top="0.55118110236220474" bottom="0.74803149606299213" header="0.31496062992125984" footer="0.31496062992125984"/>
  <pageSetup paperSize="9" scale="4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A1:X131"/>
  <sheetViews>
    <sheetView showGridLines="0" workbookViewId="0"/>
  </sheetViews>
  <sheetFormatPr defaultRowHeight="12.75" customHeight="1" outlineLevelRow="1" x14ac:dyDescent="0.2"/>
  <cols>
    <col min="1" max="1" width="3.7109375" customWidth="1"/>
    <col min="2" max="2" width="3.7109375" style="570" hidden="1" customWidth="1"/>
    <col min="3" max="3" width="3.7109375" hidden="1" customWidth="1"/>
    <col min="4" max="4" width="35.7109375" customWidth="1"/>
    <col min="5" max="26" width="10.7109375" customWidth="1"/>
  </cols>
  <sheetData>
    <row r="1" spans="1:24" ht="23.25" x14ac:dyDescent="0.2">
      <c r="A1" s="144">
        <f>IF((SUM(E8:J12)&lt;&gt;0),2,0)</f>
        <v>0</v>
      </c>
      <c r="B1" s="144"/>
      <c r="C1" s="168"/>
      <c r="D1" s="167" t="s">
        <v>110</v>
      </c>
      <c r="E1" s="168"/>
      <c r="F1" s="168"/>
      <c r="G1" s="168"/>
      <c r="H1" s="168"/>
      <c r="I1" s="168"/>
      <c r="J1" s="168"/>
      <c r="K1" s="168"/>
      <c r="L1" s="168"/>
      <c r="M1" s="370"/>
      <c r="N1" s="370"/>
      <c r="O1" s="370"/>
      <c r="P1" s="370"/>
      <c r="Q1" s="370"/>
      <c r="R1" s="370"/>
      <c r="S1" s="370"/>
      <c r="T1" s="370"/>
      <c r="U1" s="370"/>
      <c r="V1" s="773" t="str">
        <f>IF(A1=0,MsgNotUsed,"")</f>
        <v>** NOT USED **</v>
      </c>
      <c r="W1" s="773"/>
      <c r="X1" s="773"/>
    </row>
    <row r="2" spans="1:24" ht="15.75" x14ac:dyDescent="0.2">
      <c r="A2" s="168"/>
      <c r="B2" s="168"/>
      <c r="C2" s="168"/>
      <c r="D2" s="147" t="str">
        <f>CONCATENATE("Name of medicine: ", MedicineBrand)</f>
        <v>Name of medicine:  (®)</v>
      </c>
      <c r="E2" s="168"/>
      <c r="F2" s="168"/>
      <c r="G2" s="168"/>
      <c r="H2" s="168"/>
      <c r="I2" s="168"/>
      <c r="J2" s="168"/>
      <c r="K2" s="168"/>
      <c r="L2" s="168"/>
      <c r="M2" s="370"/>
      <c r="N2" s="370"/>
      <c r="O2" s="370"/>
      <c r="P2" s="370"/>
      <c r="Q2" s="370"/>
      <c r="R2" s="370"/>
      <c r="S2" s="370"/>
      <c r="T2" s="370"/>
      <c r="U2" s="370"/>
      <c r="V2" s="370"/>
      <c r="W2" s="370"/>
      <c r="X2" s="370"/>
    </row>
    <row r="3" spans="1:24" ht="15.75" x14ac:dyDescent="0.2">
      <c r="A3" s="168"/>
      <c r="B3" s="168"/>
      <c r="C3" s="168"/>
      <c r="D3" s="147" t="str">
        <f>CONCATENATE("Indication: ",Indication)</f>
        <v xml:space="preserve">Indication: </v>
      </c>
      <c r="E3" s="168"/>
      <c r="F3" s="168"/>
      <c r="G3" s="168"/>
      <c r="H3" s="168"/>
      <c r="I3" s="168"/>
      <c r="J3" s="168"/>
      <c r="K3" s="168"/>
      <c r="L3" s="168"/>
      <c r="M3" s="370"/>
      <c r="N3" s="370"/>
      <c r="O3" s="370"/>
      <c r="P3" s="370"/>
      <c r="Q3" s="370"/>
      <c r="R3" s="370"/>
      <c r="S3" s="370"/>
      <c r="T3" s="370"/>
      <c r="U3" s="370"/>
      <c r="V3" s="370"/>
      <c r="W3" s="370"/>
      <c r="X3" s="370"/>
    </row>
    <row r="4" spans="1:24" s="575" customFormat="1" ht="12.75" customHeight="1" x14ac:dyDescent="0.2"/>
    <row r="5" spans="1:24" ht="15.75" x14ac:dyDescent="0.2">
      <c r="A5" s="171"/>
      <c r="B5" s="592"/>
      <c r="C5" s="171"/>
      <c r="D5" s="174" t="s">
        <v>956</v>
      </c>
      <c r="E5" s="178"/>
      <c r="F5" s="178"/>
      <c r="G5" s="178"/>
      <c r="H5" s="178"/>
      <c r="I5" s="178"/>
      <c r="J5" s="178"/>
      <c r="K5" s="178"/>
      <c r="L5" s="178"/>
      <c r="M5" s="178"/>
      <c r="N5" s="178"/>
      <c r="O5" s="178"/>
      <c r="P5" s="178"/>
      <c r="Q5" s="178"/>
      <c r="R5" s="178"/>
      <c r="S5" s="178"/>
      <c r="T5" s="178"/>
      <c r="U5" s="178"/>
      <c r="V5" s="178"/>
      <c r="W5" s="178"/>
      <c r="X5" s="178"/>
    </row>
    <row r="6" spans="1:24" s="575" customFormat="1" x14ac:dyDescent="0.2">
      <c r="A6" s="572"/>
      <c r="B6" s="572"/>
      <c r="C6" s="572"/>
      <c r="D6" s="572"/>
      <c r="E6" s="572"/>
      <c r="F6" s="572"/>
      <c r="G6" s="572"/>
      <c r="H6" s="572"/>
      <c r="I6" s="572"/>
      <c r="J6" s="572"/>
      <c r="K6" s="572"/>
      <c r="L6" s="572"/>
      <c r="M6" s="572"/>
      <c r="N6" s="572"/>
      <c r="O6" s="572"/>
      <c r="P6" s="572"/>
      <c r="Q6" s="572"/>
      <c r="R6" s="572"/>
      <c r="S6" s="572"/>
      <c r="T6" s="572"/>
      <c r="U6" s="572"/>
      <c r="V6" s="572"/>
      <c r="W6" s="572"/>
      <c r="X6" s="572"/>
    </row>
    <row r="7" spans="1:24" hidden="1" x14ac:dyDescent="0.2">
      <c r="A7" s="171"/>
      <c r="B7" s="592"/>
      <c r="C7" s="171"/>
      <c r="D7" s="266"/>
      <c r="E7" s="108">
        <f>FirstYear</f>
        <v>0</v>
      </c>
      <c r="F7" s="432">
        <f>E7+1</f>
        <v>1</v>
      </c>
      <c r="G7" s="432">
        <f>F7+1</f>
        <v>2</v>
      </c>
      <c r="H7" s="432">
        <f>G7+1</f>
        <v>3</v>
      </c>
      <c r="I7" s="432">
        <f>H7+1</f>
        <v>4</v>
      </c>
      <c r="J7" s="432">
        <f>I7+1</f>
        <v>5</v>
      </c>
      <c r="K7" s="220"/>
      <c r="L7" s="220"/>
      <c r="M7" s="220"/>
      <c r="N7" s="220"/>
      <c r="O7" s="220"/>
      <c r="P7" s="220"/>
      <c r="R7" s="570"/>
      <c r="S7" s="570"/>
      <c r="T7" s="570"/>
      <c r="U7" s="570"/>
      <c r="V7" s="570"/>
      <c r="W7" s="570"/>
      <c r="X7" s="570"/>
    </row>
    <row r="8" spans="1:24" hidden="1" x14ac:dyDescent="0.2">
      <c r="A8" s="171"/>
      <c r="B8" s="592"/>
      <c r="C8" s="171"/>
      <c r="D8" s="180">
        <v>1</v>
      </c>
      <c r="E8" s="267">
        <f>K35</f>
        <v>0</v>
      </c>
      <c r="F8" s="267">
        <f t="shared" ref="F8:J8" si="0">L35</f>
        <v>0</v>
      </c>
      <c r="G8" s="267">
        <f t="shared" si="0"/>
        <v>0</v>
      </c>
      <c r="H8" s="267">
        <f t="shared" si="0"/>
        <v>0</v>
      </c>
      <c r="I8" s="267">
        <f t="shared" si="0"/>
        <v>0</v>
      </c>
      <c r="J8" s="267">
        <f t="shared" si="0"/>
        <v>0</v>
      </c>
      <c r="K8" s="220"/>
      <c r="L8" s="220"/>
      <c r="M8" s="220"/>
      <c r="N8" s="220"/>
      <c r="O8" s="220"/>
      <c r="P8" s="220"/>
      <c r="R8" s="570"/>
      <c r="S8" s="570"/>
      <c r="T8" s="570"/>
      <c r="U8" s="570"/>
      <c r="V8" s="570"/>
      <c r="W8" s="570"/>
      <c r="X8" s="570"/>
    </row>
    <row r="9" spans="1:24" hidden="1" x14ac:dyDescent="0.2">
      <c r="A9" s="171"/>
      <c r="B9" s="592"/>
      <c r="C9" s="171"/>
      <c r="D9" s="180">
        <v>2</v>
      </c>
      <c r="E9" s="267">
        <f>K59</f>
        <v>0</v>
      </c>
      <c r="F9" s="267">
        <f t="shared" ref="F9:J9" si="1">L59</f>
        <v>0</v>
      </c>
      <c r="G9" s="267">
        <f t="shared" si="1"/>
        <v>0</v>
      </c>
      <c r="H9" s="267">
        <f t="shared" si="1"/>
        <v>0</v>
      </c>
      <c r="I9" s="267">
        <f t="shared" si="1"/>
        <v>0</v>
      </c>
      <c r="J9" s="267">
        <f t="shared" si="1"/>
        <v>0</v>
      </c>
      <c r="K9" s="220"/>
      <c r="L9" s="220"/>
      <c r="M9" s="220"/>
      <c r="N9" s="220"/>
      <c r="O9" s="220"/>
      <c r="P9" s="220"/>
      <c r="R9" s="570"/>
      <c r="S9" s="570"/>
      <c r="T9" s="570"/>
      <c r="U9" s="570"/>
      <c r="V9" s="570"/>
      <c r="W9" s="570"/>
      <c r="X9" s="570"/>
    </row>
    <row r="10" spans="1:24" hidden="1" x14ac:dyDescent="0.2">
      <c r="A10" s="171"/>
      <c r="B10" s="592"/>
      <c r="C10" s="171"/>
      <c r="D10" s="180">
        <v>3</v>
      </c>
      <c r="E10" s="267">
        <f>K83</f>
        <v>0</v>
      </c>
      <c r="F10" s="267">
        <f t="shared" ref="F10:J10" si="2">L83</f>
        <v>0</v>
      </c>
      <c r="G10" s="267">
        <f t="shared" si="2"/>
        <v>0</v>
      </c>
      <c r="H10" s="267">
        <f t="shared" si="2"/>
        <v>0</v>
      </c>
      <c r="I10" s="267">
        <f t="shared" si="2"/>
        <v>0</v>
      </c>
      <c r="J10" s="267">
        <f t="shared" si="2"/>
        <v>0</v>
      </c>
      <c r="K10" s="220"/>
      <c r="L10" s="220"/>
      <c r="M10" s="220"/>
      <c r="N10" s="220"/>
      <c r="O10" s="220"/>
      <c r="P10" s="220"/>
      <c r="R10" s="570"/>
      <c r="S10" s="570"/>
      <c r="T10" s="570"/>
      <c r="U10" s="570"/>
      <c r="V10" s="570"/>
      <c r="W10" s="570"/>
      <c r="X10" s="570"/>
    </row>
    <row r="11" spans="1:24" hidden="1" x14ac:dyDescent="0.2">
      <c r="A11" s="171"/>
      <c r="B11" s="592"/>
      <c r="C11" s="171"/>
      <c r="D11" s="180">
        <v>4</v>
      </c>
      <c r="E11" s="267">
        <f>K107</f>
        <v>0</v>
      </c>
      <c r="F11" s="267">
        <f t="shared" ref="F11:J11" si="3">L107</f>
        <v>0</v>
      </c>
      <c r="G11" s="267">
        <f t="shared" si="3"/>
        <v>0</v>
      </c>
      <c r="H11" s="267">
        <f t="shared" si="3"/>
        <v>0</v>
      </c>
      <c r="I11" s="267">
        <f t="shared" si="3"/>
        <v>0</v>
      </c>
      <c r="J11" s="267">
        <f t="shared" si="3"/>
        <v>0</v>
      </c>
      <c r="K11" s="220"/>
      <c r="L11" s="220"/>
      <c r="M11" s="220"/>
      <c r="N11" s="220"/>
      <c r="O11" s="220"/>
      <c r="P11" s="220"/>
      <c r="R11" s="570"/>
      <c r="S11" s="570"/>
      <c r="T11" s="570"/>
      <c r="U11" s="570"/>
      <c r="V11" s="570"/>
      <c r="W11" s="570"/>
      <c r="X11" s="570"/>
    </row>
    <row r="12" spans="1:24" hidden="1" x14ac:dyDescent="0.2">
      <c r="A12" s="171"/>
      <c r="B12" s="592"/>
      <c r="C12" s="171"/>
      <c r="D12" s="180">
        <v>5</v>
      </c>
      <c r="E12" s="267">
        <f>K131</f>
        <v>0</v>
      </c>
      <c r="F12" s="267">
        <f t="shared" ref="F12:J12" si="4">L131</f>
        <v>0</v>
      </c>
      <c r="G12" s="267">
        <f t="shared" si="4"/>
        <v>0</v>
      </c>
      <c r="H12" s="267">
        <f t="shared" si="4"/>
        <v>0</v>
      </c>
      <c r="I12" s="267">
        <f t="shared" si="4"/>
        <v>0</v>
      </c>
      <c r="J12" s="267">
        <f t="shared" si="4"/>
        <v>0</v>
      </c>
      <c r="K12" s="220"/>
      <c r="L12" s="220"/>
      <c r="M12" s="220"/>
      <c r="N12" s="220"/>
      <c r="O12" s="220"/>
      <c r="P12" s="220"/>
      <c r="R12" s="570"/>
      <c r="S12" s="570"/>
      <c r="T12" s="570"/>
      <c r="U12" s="570"/>
      <c r="V12" s="570"/>
      <c r="W12" s="570"/>
      <c r="X12" s="570"/>
    </row>
    <row r="13" spans="1:24" hidden="1" x14ac:dyDescent="0.2">
      <c r="A13" s="171"/>
      <c r="B13" s="592"/>
      <c r="C13" s="171"/>
      <c r="D13" s="180"/>
      <c r="E13" s="447"/>
      <c r="F13" s="447"/>
      <c r="G13" s="447"/>
      <c r="H13" s="447"/>
      <c r="I13" s="447"/>
      <c r="J13" s="447"/>
      <c r="K13" s="220"/>
      <c r="L13" s="220"/>
      <c r="M13" s="220"/>
      <c r="N13" s="220"/>
      <c r="O13" s="220"/>
      <c r="P13" s="220"/>
      <c r="R13" s="570"/>
      <c r="S13" s="570"/>
      <c r="T13" s="570"/>
      <c r="U13" s="570"/>
      <c r="V13" s="570"/>
      <c r="W13" s="570"/>
      <c r="X13" s="570"/>
    </row>
    <row r="14" spans="1:24" ht="15.75" x14ac:dyDescent="0.2">
      <c r="A14" s="287"/>
      <c r="B14" s="83">
        <f>IF(F16&lt;&gt;"",1,0)</f>
        <v>0</v>
      </c>
      <c r="C14" s="83">
        <v>1</v>
      </c>
      <c r="D14" s="110" t="str">
        <f>IF(B14=0,MsgNotUsed, CONCATENATE("Prevalent pool ", C14, ": ", F16, " (", E22, "-", P22, ")"))</f>
        <v>** NOT USED **</v>
      </c>
      <c r="E14" s="178"/>
      <c r="F14" s="178"/>
      <c r="G14" s="178"/>
      <c r="H14" s="178"/>
      <c r="I14" s="268"/>
      <c r="J14" s="178"/>
      <c r="K14" s="178"/>
      <c r="L14" s="178"/>
      <c r="M14" s="371"/>
      <c r="N14" s="371"/>
      <c r="O14" s="371"/>
      <c r="P14" s="371"/>
      <c r="Q14" s="371"/>
      <c r="R14" s="371"/>
      <c r="S14" s="371"/>
      <c r="T14" s="371"/>
      <c r="U14" s="371"/>
      <c r="V14" s="371"/>
      <c r="W14" s="371"/>
      <c r="X14" s="371"/>
    </row>
    <row r="15" spans="1:24" ht="12.75" customHeight="1" outlineLevel="1" x14ac:dyDescent="0.2">
      <c r="R15" s="570"/>
      <c r="S15" s="570"/>
      <c r="T15" s="570"/>
      <c r="U15" s="570"/>
      <c r="V15" s="570"/>
      <c r="W15" s="570"/>
      <c r="X15" s="570"/>
    </row>
    <row r="16" spans="1:24" ht="12.75" customHeight="1" outlineLevel="1" x14ac:dyDescent="0.2">
      <c r="E16" s="58" t="s">
        <v>529</v>
      </c>
      <c r="F16" s="870"/>
      <c r="G16" s="848"/>
      <c r="H16" s="848"/>
      <c r="I16" s="848"/>
      <c r="J16" s="848"/>
      <c r="K16" s="849"/>
      <c r="R16" s="570"/>
      <c r="S16" s="570"/>
      <c r="T16" s="570"/>
      <c r="U16" s="570"/>
      <c r="V16" s="570"/>
      <c r="W16" s="570"/>
      <c r="X16" s="570"/>
    </row>
    <row r="17" spans="4:24" ht="12.75" customHeight="1" outlineLevel="1" x14ac:dyDescent="0.2">
      <c r="R17" s="570"/>
      <c r="S17" s="570"/>
      <c r="T17" s="570"/>
      <c r="U17" s="570"/>
      <c r="V17" s="570"/>
      <c r="W17" s="570"/>
      <c r="X17" s="570"/>
    </row>
    <row r="18" spans="4:24" ht="12.75" customHeight="1" outlineLevel="1" x14ac:dyDescent="0.2">
      <c r="E18" s="58" t="s">
        <v>292</v>
      </c>
      <c r="F18" s="870"/>
      <c r="G18" s="848"/>
      <c r="H18" s="848"/>
      <c r="I18" s="848"/>
      <c r="J18" s="848"/>
      <c r="K18" s="849"/>
      <c r="R18" s="570"/>
      <c r="S18" s="570"/>
      <c r="T18" s="570"/>
      <c r="U18" s="570"/>
      <c r="V18" s="570"/>
      <c r="W18" s="570"/>
      <c r="X18" s="570"/>
    </row>
    <row r="19" spans="4:24" ht="12.75" customHeight="1" outlineLevel="1" x14ac:dyDescent="0.2">
      <c r="R19" s="570"/>
      <c r="S19" s="570"/>
      <c r="T19" s="570"/>
      <c r="U19" s="570"/>
      <c r="V19" s="570"/>
      <c r="W19" s="570"/>
      <c r="X19" s="570"/>
    </row>
    <row r="20" spans="4:24" ht="12.75" customHeight="1" outlineLevel="1" x14ac:dyDescent="0.2">
      <c r="E20" s="58" t="s">
        <v>522</v>
      </c>
      <c r="F20" s="448"/>
      <c r="R20" s="570"/>
      <c r="S20" s="570"/>
      <c r="T20" s="570"/>
      <c r="U20" s="570"/>
      <c r="V20" s="570"/>
      <c r="W20" s="570"/>
      <c r="X20" s="570"/>
    </row>
    <row r="21" spans="4:24" ht="12.75" customHeight="1" outlineLevel="1" x14ac:dyDescent="0.2">
      <c r="R21" s="570"/>
      <c r="S21" s="570"/>
      <c r="T21" s="570"/>
      <c r="U21" s="570"/>
      <c r="V21" s="570"/>
      <c r="W21" s="570"/>
      <c r="X21" s="570"/>
    </row>
    <row r="22" spans="4:24" ht="12.75" customHeight="1" outlineLevel="1" x14ac:dyDescent="0.2">
      <c r="D22" s="444"/>
      <c r="E22" s="432">
        <f t="shared" ref="E22:I22" si="5">F22-1</f>
        <v>-6</v>
      </c>
      <c r="F22" s="432">
        <f t="shared" si="5"/>
        <v>-5</v>
      </c>
      <c r="G22" s="432">
        <f t="shared" si="5"/>
        <v>-4</v>
      </c>
      <c r="H22" s="432">
        <f t="shared" si="5"/>
        <v>-3</v>
      </c>
      <c r="I22" s="432">
        <f t="shared" si="5"/>
        <v>-2</v>
      </c>
      <c r="J22" s="432">
        <f>K22-1</f>
        <v>-1</v>
      </c>
      <c r="K22" s="432">
        <f>FirstYear</f>
        <v>0</v>
      </c>
      <c r="L22" s="432">
        <f>K22+1</f>
        <v>1</v>
      </c>
      <c r="M22" s="432">
        <f>L22+1</f>
        <v>2</v>
      </c>
      <c r="N22" s="432">
        <f>M22+1</f>
        <v>3</v>
      </c>
      <c r="O22" s="432">
        <f>N22+1</f>
        <v>4</v>
      </c>
      <c r="P22" s="432">
        <f>O22+1</f>
        <v>5</v>
      </c>
      <c r="R22" s="570"/>
      <c r="S22" s="570"/>
      <c r="T22" s="570"/>
      <c r="U22" s="570"/>
      <c r="V22" s="570"/>
      <c r="W22" s="570"/>
      <c r="X22" s="570"/>
    </row>
    <row r="23" spans="4:24" ht="12.75" customHeight="1" outlineLevel="1" x14ac:dyDescent="0.2">
      <c r="D23" s="58" t="s">
        <v>317</v>
      </c>
      <c r="E23" s="450"/>
      <c r="F23" s="452">
        <f t="shared" ref="F23:P23" si="6">E23*$F$20</f>
        <v>0</v>
      </c>
      <c r="G23" s="452">
        <f t="shared" si="6"/>
        <v>0</v>
      </c>
      <c r="H23" s="452">
        <f t="shared" si="6"/>
        <v>0</v>
      </c>
      <c r="I23" s="452">
        <f t="shared" si="6"/>
        <v>0</v>
      </c>
      <c r="J23" s="452">
        <f t="shared" si="6"/>
        <v>0</v>
      </c>
      <c r="K23" s="452">
        <f t="shared" si="6"/>
        <v>0</v>
      </c>
      <c r="L23" s="452">
        <f t="shared" si="6"/>
        <v>0</v>
      </c>
      <c r="M23" s="452">
        <f t="shared" si="6"/>
        <v>0</v>
      </c>
      <c r="N23" s="452">
        <f t="shared" si="6"/>
        <v>0</v>
      </c>
      <c r="O23" s="452">
        <f t="shared" si="6"/>
        <v>0</v>
      </c>
      <c r="P23" s="452">
        <f t="shared" si="6"/>
        <v>0</v>
      </c>
      <c r="R23" s="570"/>
      <c r="S23" s="570"/>
      <c r="T23" s="570"/>
      <c r="U23" s="570"/>
      <c r="V23" s="570"/>
      <c r="W23" s="570"/>
      <c r="X23" s="570"/>
    </row>
    <row r="24" spans="4:24" ht="12.75" customHeight="1" outlineLevel="1" x14ac:dyDescent="0.2">
      <c r="D24" s="58" t="s">
        <v>318</v>
      </c>
      <c r="E24" s="445"/>
      <c r="F24" s="450"/>
      <c r="G24" s="452">
        <f t="shared" ref="G24:P24" si="7">F24*$F$20</f>
        <v>0</v>
      </c>
      <c r="H24" s="452">
        <f t="shared" si="7"/>
        <v>0</v>
      </c>
      <c r="I24" s="452">
        <f t="shared" si="7"/>
        <v>0</v>
      </c>
      <c r="J24" s="452">
        <f t="shared" si="7"/>
        <v>0</v>
      </c>
      <c r="K24" s="452">
        <f t="shared" si="7"/>
        <v>0</v>
      </c>
      <c r="L24" s="452">
        <f t="shared" si="7"/>
        <v>0</v>
      </c>
      <c r="M24" s="452">
        <f t="shared" si="7"/>
        <v>0</v>
      </c>
      <c r="N24" s="452">
        <f t="shared" si="7"/>
        <v>0</v>
      </c>
      <c r="O24" s="452">
        <f t="shared" si="7"/>
        <v>0</v>
      </c>
      <c r="P24" s="452">
        <f t="shared" si="7"/>
        <v>0</v>
      </c>
      <c r="R24" s="570"/>
      <c r="S24" s="570"/>
      <c r="T24" s="570"/>
      <c r="U24" s="570"/>
      <c r="V24" s="570"/>
      <c r="W24" s="570"/>
      <c r="X24" s="570"/>
    </row>
    <row r="25" spans="4:24" ht="12.75" customHeight="1" outlineLevel="1" x14ac:dyDescent="0.2">
      <c r="D25" s="58" t="s">
        <v>319</v>
      </c>
      <c r="E25" s="445"/>
      <c r="F25" s="445"/>
      <c r="G25" s="450"/>
      <c r="H25" s="452">
        <f t="shared" ref="H25:P25" si="8">G25*$F$20</f>
        <v>0</v>
      </c>
      <c r="I25" s="452">
        <f t="shared" si="8"/>
        <v>0</v>
      </c>
      <c r="J25" s="452">
        <f t="shared" si="8"/>
        <v>0</v>
      </c>
      <c r="K25" s="452">
        <f t="shared" si="8"/>
        <v>0</v>
      </c>
      <c r="L25" s="452">
        <f t="shared" si="8"/>
        <v>0</v>
      </c>
      <c r="M25" s="452">
        <f t="shared" si="8"/>
        <v>0</v>
      </c>
      <c r="N25" s="452">
        <f t="shared" si="8"/>
        <v>0</v>
      </c>
      <c r="O25" s="452">
        <f t="shared" si="8"/>
        <v>0</v>
      </c>
      <c r="P25" s="452">
        <f t="shared" si="8"/>
        <v>0</v>
      </c>
      <c r="R25" s="570"/>
      <c r="S25" s="570"/>
      <c r="T25" s="570"/>
      <c r="U25" s="570"/>
      <c r="V25" s="570"/>
      <c r="W25" s="570"/>
      <c r="X25" s="570"/>
    </row>
    <row r="26" spans="4:24" ht="12.75" customHeight="1" outlineLevel="1" x14ac:dyDescent="0.2">
      <c r="D26" s="58" t="s">
        <v>320</v>
      </c>
      <c r="E26" s="445"/>
      <c r="F26" s="445"/>
      <c r="G26" s="445"/>
      <c r="H26" s="450"/>
      <c r="I26" s="452">
        <f t="shared" ref="I26:P26" si="9">H26*$F$20</f>
        <v>0</v>
      </c>
      <c r="J26" s="452">
        <f t="shared" si="9"/>
        <v>0</v>
      </c>
      <c r="K26" s="452">
        <f t="shared" si="9"/>
        <v>0</v>
      </c>
      <c r="L26" s="452">
        <f t="shared" si="9"/>
        <v>0</v>
      </c>
      <c r="M26" s="452">
        <f t="shared" si="9"/>
        <v>0</v>
      </c>
      <c r="N26" s="452">
        <f t="shared" si="9"/>
        <v>0</v>
      </c>
      <c r="O26" s="452">
        <f t="shared" si="9"/>
        <v>0</v>
      </c>
      <c r="P26" s="452">
        <f t="shared" si="9"/>
        <v>0</v>
      </c>
      <c r="R26" s="570"/>
      <c r="S26" s="570"/>
      <c r="T26" s="570"/>
      <c r="U26" s="570"/>
      <c r="V26" s="570"/>
      <c r="W26" s="570"/>
      <c r="X26" s="570"/>
    </row>
    <row r="27" spans="4:24" ht="12.75" customHeight="1" outlineLevel="1" x14ac:dyDescent="0.2">
      <c r="D27" s="58" t="s">
        <v>321</v>
      </c>
      <c r="E27" s="445"/>
      <c r="F27" s="445"/>
      <c r="G27" s="445"/>
      <c r="H27" s="445"/>
      <c r="I27" s="450"/>
      <c r="J27" s="452">
        <f t="shared" ref="J27:P27" si="10">I27*$F$20</f>
        <v>0</v>
      </c>
      <c r="K27" s="452">
        <f t="shared" si="10"/>
        <v>0</v>
      </c>
      <c r="L27" s="452">
        <f t="shared" si="10"/>
        <v>0</v>
      </c>
      <c r="M27" s="452">
        <f t="shared" si="10"/>
        <v>0</v>
      </c>
      <c r="N27" s="452">
        <f t="shared" si="10"/>
        <v>0</v>
      </c>
      <c r="O27" s="452">
        <f t="shared" si="10"/>
        <v>0</v>
      </c>
      <c r="P27" s="452">
        <f t="shared" si="10"/>
        <v>0</v>
      </c>
      <c r="R27" s="570"/>
      <c r="S27" s="570"/>
      <c r="T27" s="570"/>
      <c r="U27" s="570"/>
      <c r="V27" s="570"/>
      <c r="W27" s="570"/>
      <c r="X27" s="570"/>
    </row>
    <row r="28" spans="4:24" ht="12.75" customHeight="1" outlineLevel="1" x14ac:dyDescent="0.2">
      <c r="D28" s="58" t="s">
        <v>322</v>
      </c>
      <c r="E28" s="445"/>
      <c r="F28" s="445"/>
      <c r="G28" s="445"/>
      <c r="H28" s="445"/>
      <c r="I28" s="445"/>
      <c r="J28" s="450"/>
      <c r="K28" s="452">
        <f t="shared" ref="K28:P28" si="11">J28*$F$20</f>
        <v>0</v>
      </c>
      <c r="L28" s="452">
        <f t="shared" si="11"/>
        <v>0</v>
      </c>
      <c r="M28" s="452">
        <f t="shared" si="11"/>
        <v>0</v>
      </c>
      <c r="N28" s="452">
        <f t="shared" si="11"/>
        <v>0</v>
      </c>
      <c r="O28" s="452">
        <f t="shared" si="11"/>
        <v>0</v>
      </c>
      <c r="P28" s="452">
        <f t="shared" si="11"/>
        <v>0</v>
      </c>
      <c r="R28" s="570"/>
      <c r="S28" s="570"/>
      <c r="T28" s="570"/>
      <c r="U28" s="570"/>
      <c r="V28" s="570"/>
      <c r="W28" s="570"/>
      <c r="X28" s="570"/>
    </row>
    <row r="29" spans="4:24" ht="12.75" customHeight="1" outlineLevel="1" x14ac:dyDescent="0.2">
      <c r="D29" s="58" t="s">
        <v>523</v>
      </c>
      <c r="E29" s="445"/>
      <c r="F29" s="445"/>
      <c r="G29" s="445"/>
      <c r="H29" s="445"/>
      <c r="I29" s="445"/>
      <c r="J29" s="445"/>
      <c r="K29" s="450"/>
      <c r="L29" s="452">
        <f>K29*$F$20</f>
        <v>0</v>
      </c>
      <c r="M29" s="452">
        <f>L29*$F$20</f>
        <v>0</v>
      </c>
      <c r="N29" s="452">
        <f>M29*$F$20</f>
        <v>0</v>
      </c>
      <c r="O29" s="452">
        <f>N29*$F$20</f>
        <v>0</v>
      </c>
      <c r="P29" s="452">
        <f>O29*$F$20</f>
        <v>0</v>
      </c>
      <c r="R29" s="570"/>
      <c r="S29" s="570"/>
      <c r="T29" s="570"/>
      <c r="U29" s="570"/>
      <c r="V29" s="570"/>
      <c r="W29" s="570"/>
      <c r="X29" s="570"/>
    </row>
    <row r="30" spans="4:24" ht="12.75" customHeight="1" outlineLevel="1" x14ac:dyDescent="0.2">
      <c r="D30" s="58" t="s">
        <v>524</v>
      </c>
      <c r="E30" s="445"/>
      <c r="F30" s="445"/>
      <c r="G30" s="445"/>
      <c r="H30" s="445"/>
      <c r="I30" s="445"/>
      <c r="J30" s="445"/>
      <c r="K30" s="445"/>
      <c r="L30" s="450"/>
      <c r="M30" s="452">
        <f>L30*$F$20</f>
        <v>0</v>
      </c>
      <c r="N30" s="452">
        <f>M30*$F$20</f>
        <v>0</v>
      </c>
      <c r="O30" s="452">
        <f>N30*$F$20</f>
        <v>0</v>
      </c>
      <c r="P30" s="452">
        <f>O30*$F$20</f>
        <v>0</v>
      </c>
      <c r="R30" s="570"/>
      <c r="S30" s="570"/>
      <c r="T30" s="570"/>
      <c r="U30" s="570"/>
      <c r="V30" s="570"/>
      <c r="W30" s="570"/>
      <c r="X30" s="570"/>
    </row>
    <row r="31" spans="4:24" ht="12.75" customHeight="1" outlineLevel="1" x14ac:dyDescent="0.2">
      <c r="D31" s="58" t="s">
        <v>525</v>
      </c>
      <c r="E31" s="445"/>
      <c r="F31" s="445"/>
      <c r="G31" s="445"/>
      <c r="H31" s="445"/>
      <c r="I31" s="445"/>
      <c r="J31" s="445"/>
      <c r="K31" s="445"/>
      <c r="L31" s="445"/>
      <c r="M31" s="450"/>
      <c r="N31" s="452">
        <f>M31*$F$20</f>
        <v>0</v>
      </c>
      <c r="O31" s="452">
        <f>N31*$F$20</f>
        <v>0</v>
      </c>
      <c r="P31" s="452">
        <f>O31*$F$20</f>
        <v>0</v>
      </c>
      <c r="R31" s="570"/>
      <c r="S31" s="570"/>
      <c r="T31" s="570"/>
      <c r="U31" s="570"/>
      <c r="V31" s="570"/>
      <c r="W31" s="570"/>
      <c r="X31" s="570"/>
    </row>
    <row r="32" spans="4:24" ht="12.75" customHeight="1" outlineLevel="1" x14ac:dyDescent="0.2">
      <c r="D32" s="58" t="s">
        <v>526</v>
      </c>
      <c r="E32" s="445"/>
      <c r="F32" s="445"/>
      <c r="G32" s="445"/>
      <c r="H32" s="445"/>
      <c r="I32" s="445"/>
      <c r="J32" s="445"/>
      <c r="K32" s="445"/>
      <c r="L32" s="445"/>
      <c r="M32" s="445"/>
      <c r="N32" s="449"/>
      <c r="O32" s="452">
        <f>N32*$F$20</f>
        <v>0</v>
      </c>
      <c r="P32" s="452">
        <f>O32*$F$20</f>
        <v>0</v>
      </c>
      <c r="R32" s="570"/>
      <c r="S32" s="570"/>
      <c r="T32" s="570"/>
      <c r="U32" s="570"/>
      <c r="V32" s="570"/>
      <c r="W32" s="570"/>
      <c r="X32" s="570"/>
    </row>
    <row r="33" spans="1:24" ht="12.75" customHeight="1" outlineLevel="1" x14ac:dyDescent="0.2">
      <c r="D33" s="58" t="s">
        <v>527</v>
      </c>
      <c r="E33" s="445"/>
      <c r="F33" s="445"/>
      <c r="G33" s="445"/>
      <c r="H33" s="445"/>
      <c r="I33" s="445"/>
      <c r="J33" s="445"/>
      <c r="K33" s="445"/>
      <c r="L33" s="445"/>
      <c r="M33" s="445"/>
      <c r="N33" s="446"/>
      <c r="O33" s="449"/>
      <c r="P33" s="452">
        <f>O33*$F$20</f>
        <v>0</v>
      </c>
      <c r="R33" s="570"/>
      <c r="S33" s="570"/>
      <c r="T33" s="570"/>
      <c r="U33" s="570"/>
      <c r="V33" s="570"/>
      <c r="W33" s="570"/>
      <c r="X33" s="570"/>
    </row>
    <row r="34" spans="1:24" ht="12.75" customHeight="1" outlineLevel="1" x14ac:dyDescent="0.2">
      <c r="D34" s="58" t="s">
        <v>528</v>
      </c>
      <c r="E34" s="445"/>
      <c r="F34" s="445"/>
      <c r="G34" s="445"/>
      <c r="H34" s="445"/>
      <c r="I34" s="445"/>
      <c r="J34" s="445"/>
      <c r="K34" s="445"/>
      <c r="L34" s="445"/>
      <c r="M34" s="445"/>
      <c r="N34" s="446"/>
      <c r="O34" s="446"/>
      <c r="P34" s="449"/>
      <c r="R34" s="570"/>
      <c r="S34" s="570"/>
      <c r="T34" s="570"/>
      <c r="U34" s="570"/>
      <c r="V34" s="570"/>
      <c r="W34" s="570"/>
      <c r="X34" s="570"/>
    </row>
    <row r="35" spans="1:24" ht="12.75" customHeight="1" outlineLevel="1" x14ac:dyDescent="0.2">
      <c r="J35" s="441" t="s">
        <v>76</v>
      </c>
      <c r="K35" s="451">
        <f>SUM(K23:K28)</f>
        <v>0</v>
      </c>
      <c r="L35" s="451">
        <f>SUM(L23:L29)</f>
        <v>0</v>
      </c>
      <c r="M35" s="451">
        <f>SUM(M23:M30)</f>
        <v>0</v>
      </c>
      <c r="N35" s="451">
        <f>SUM(N23:N31)</f>
        <v>0</v>
      </c>
      <c r="O35" s="451">
        <f>SUM(O23:O32)</f>
        <v>0</v>
      </c>
      <c r="P35" s="451">
        <f>SUM(P23:P33)</f>
        <v>0</v>
      </c>
      <c r="R35" s="570"/>
      <c r="S35" s="570"/>
      <c r="T35" s="570"/>
      <c r="U35" s="570"/>
      <c r="V35" s="570"/>
      <c r="W35" s="570"/>
      <c r="X35" s="570"/>
    </row>
    <row r="36" spans="1:24" ht="12.75" customHeight="1" outlineLevel="1" x14ac:dyDescent="0.2">
      <c r="R36" s="570"/>
      <c r="S36" s="570"/>
      <c r="T36" s="570"/>
      <c r="U36" s="570"/>
      <c r="V36" s="570"/>
      <c r="W36" s="570"/>
      <c r="X36" s="570"/>
    </row>
    <row r="37" spans="1:24" s="570" customFormat="1" ht="12.75" customHeight="1" x14ac:dyDescent="0.2"/>
    <row r="38" spans="1:24" ht="15.75" x14ac:dyDescent="0.2">
      <c r="A38" s="287"/>
      <c r="B38" s="83">
        <f>IF(F40&lt;&gt;"",1,0)</f>
        <v>0</v>
      </c>
      <c r="C38" s="83">
        <v>2</v>
      </c>
      <c r="D38" s="110" t="str">
        <f>IF(B38=0,MsgNotUsed, CONCATENATE("Prevalent pool ", C38, ": ", F40, " (", E46, "-", P46, ")"))</f>
        <v>** NOT USED **</v>
      </c>
      <c r="E38" s="178"/>
      <c r="F38" s="178"/>
      <c r="G38" s="178"/>
      <c r="H38" s="178"/>
      <c r="I38" s="268"/>
      <c r="J38" s="178"/>
      <c r="K38" s="178"/>
      <c r="L38" s="178"/>
      <c r="M38" s="371"/>
      <c r="N38" s="371"/>
      <c r="O38" s="371"/>
      <c r="P38" s="371"/>
      <c r="Q38" s="371"/>
      <c r="R38" s="371"/>
      <c r="S38" s="371"/>
      <c r="T38" s="371"/>
      <c r="U38" s="371"/>
      <c r="V38" s="371"/>
      <c r="W38" s="371"/>
      <c r="X38" s="371"/>
    </row>
    <row r="39" spans="1:24" ht="12.75" customHeight="1" outlineLevel="1" x14ac:dyDescent="0.2">
      <c r="R39" s="570"/>
      <c r="S39" s="570"/>
      <c r="T39" s="570"/>
      <c r="U39" s="570"/>
      <c r="V39" s="570"/>
      <c r="W39" s="570"/>
      <c r="X39" s="570"/>
    </row>
    <row r="40" spans="1:24" ht="12.75" customHeight="1" outlineLevel="1" x14ac:dyDescent="0.2">
      <c r="E40" s="58" t="s">
        <v>529</v>
      </c>
      <c r="F40" s="870"/>
      <c r="G40" s="848"/>
      <c r="H40" s="848"/>
      <c r="I40" s="848"/>
      <c r="J40" s="848"/>
      <c r="K40" s="849"/>
      <c r="R40" s="570"/>
      <c r="S40" s="570"/>
      <c r="T40" s="570"/>
      <c r="U40" s="570"/>
      <c r="V40" s="570"/>
      <c r="W40" s="570"/>
      <c r="X40" s="570"/>
    </row>
    <row r="41" spans="1:24" ht="12.75" customHeight="1" outlineLevel="1" x14ac:dyDescent="0.2">
      <c r="R41" s="570"/>
      <c r="S41" s="570"/>
      <c r="T41" s="570"/>
      <c r="U41" s="570"/>
      <c r="V41" s="570"/>
      <c r="W41" s="570"/>
      <c r="X41" s="570"/>
    </row>
    <row r="42" spans="1:24" ht="12.75" customHeight="1" outlineLevel="1" x14ac:dyDescent="0.2">
      <c r="E42" s="58" t="s">
        <v>292</v>
      </c>
      <c r="F42" s="870"/>
      <c r="G42" s="848"/>
      <c r="H42" s="848"/>
      <c r="I42" s="848"/>
      <c r="J42" s="848"/>
      <c r="K42" s="849"/>
      <c r="R42" s="570"/>
      <c r="S42" s="570"/>
      <c r="T42" s="570"/>
      <c r="U42" s="570"/>
      <c r="V42" s="570"/>
      <c r="W42" s="570"/>
      <c r="X42" s="570"/>
    </row>
    <row r="43" spans="1:24" ht="12.75" customHeight="1" outlineLevel="1" x14ac:dyDescent="0.2">
      <c r="R43" s="570"/>
      <c r="S43" s="570"/>
      <c r="T43" s="570"/>
      <c r="U43" s="570"/>
      <c r="V43" s="570"/>
      <c r="W43" s="570"/>
      <c r="X43" s="570"/>
    </row>
    <row r="44" spans="1:24" ht="12.75" customHeight="1" outlineLevel="1" x14ac:dyDescent="0.2">
      <c r="E44" s="58" t="s">
        <v>522</v>
      </c>
      <c r="F44" s="448"/>
      <c r="R44" s="570"/>
      <c r="S44" s="570"/>
      <c r="T44" s="570"/>
      <c r="U44" s="570"/>
      <c r="V44" s="570"/>
      <c r="W44" s="570"/>
      <c r="X44" s="570"/>
    </row>
    <row r="45" spans="1:24" ht="12.75" customHeight="1" outlineLevel="1" x14ac:dyDescent="0.2">
      <c r="R45" s="570"/>
      <c r="S45" s="570"/>
      <c r="T45" s="570"/>
      <c r="U45" s="570"/>
      <c r="V45" s="570"/>
      <c r="W45" s="570"/>
      <c r="X45" s="570"/>
    </row>
    <row r="46" spans="1:24" ht="12.75" customHeight="1" outlineLevel="1" x14ac:dyDescent="0.2">
      <c r="D46" s="444"/>
      <c r="E46" s="432">
        <f t="shared" ref="E46" si="12">F46-1</f>
        <v>-6</v>
      </c>
      <c r="F46" s="432">
        <f t="shared" ref="F46" si="13">G46-1</f>
        <v>-5</v>
      </c>
      <c r="G46" s="432">
        <f t="shared" ref="G46" si="14">H46-1</f>
        <v>-4</v>
      </c>
      <c r="H46" s="432">
        <f t="shared" ref="H46" si="15">I46-1</f>
        <v>-3</v>
      </c>
      <c r="I46" s="432">
        <f t="shared" ref="I46" si="16">J46-1</f>
        <v>-2</v>
      </c>
      <c r="J46" s="432">
        <f>K46-1</f>
        <v>-1</v>
      </c>
      <c r="K46" s="432">
        <f>FirstYear</f>
        <v>0</v>
      </c>
      <c r="L46" s="432">
        <f>K46+1</f>
        <v>1</v>
      </c>
      <c r="M46" s="432">
        <f>L46+1</f>
        <v>2</v>
      </c>
      <c r="N46" s="432">
        <f>M46+1</f>
        <v>3</v>
      </c>
      <c r="O46" s="432">
        <f>N46+1</f>
        <v>4</v>
      </c>
      <c r="P46" s="432">
        <f>O46+1</f>
        <v>5</v>
      </c>
      <c r="R46" s="570"/>
      <c r="S46" s="570"/>
      <c r="T46" s="570"/>
      <c r="U46" s="570"/>
      <c r="V46" s="570"/>
      <c r="W46" s="570"/>
      <c r="X46" s="570"/>
    </row>
    <row r="47" spans="1:24" ht="12.75" customHeight="1" outlineLevel="1" x14ac:dyDescent="0.2">
      <c r="D47" s="58" t="s">
        <v>317</v>
      </c>
      <c r="E47" s="450"/>
      <c r="F47" s="452">
        <f>E47*$F$44</f>
        <v>0</v>
      </c>
      <c r="G47" s="452">
        <f t="shared" ref="G47:P57" si="17">F47*$F$44</f>
        <v>0</v>
      </c>
      <c r="H47" s="452">
        <f t="shared" si="17"/>
        <v>0</v>
      </c>
      <c r="I47" s="452">
        <f t="shared" si="17"/>
        <v>0</v>
      </c>
      <c r="J47" s="452">
        <f t="shared" si="17"/>
        <v>0</v>
      </c>
      <c r="K47" s="452">
        <f t="shared" si="17"/>
        <v>0</v>
      </c>
      <c r="L47" s="452">
        <f t="shared" si="17"/>
        <v>0</v>
      </c>
      <c r="M47" s="452">
        <f t="shared" si="17"/>
        <v>0</v>
      </c>
      <c r="N47" s="452">
        <f t="shared" si="17"/>
        <v>0</v>
      </c>
      <c r="O47" s="452">
        <f t="shared" si="17"/>
        <v>0</v>
      </c>
      <c r="P47" s="452">
        <f t="shared" si="17"/>
        <v>0</v>
      </c>
      <c r="R47" s="570"/>
      <c r="S47" s="570"/>
      <c r="T47" s="570"/>
      <c r="U47" s="570"/>
      <c r="V47" s="570"/>
      <c r="W47" s="570"/>
      <c r="X47" s="570"/>
    </row>
    <row r="48" spans="1:24" ht="12.75" customHeight="1" outlineLevel="1" x14ac:dyDescent="0.2">
      <c r="D48" s="58" t="s">
        <v>318</v>
      </c>
      <c r="E48" s="445"/>
      <c r="F48" s="450"/>
      <c r="G48" s="452">
        <f t="shared" si="17"/>
        <v>0</v>
      </c>
      <c r="H48" s="452">
        <f t="shared" si="17"/>
        <v>0</v>
      </c>
      <c r="I48" s="452">
        <f t="shared" si="17"/>
        <v>0</v>
      </c>
      <c r="J48" s="452">
        <f t="shared" si="17"/>
        <v>0</v>
      </c>
      <c r="K48" s="452">
        <f t="shared" si="17"/>
        <v>0</v>
      </c>
      <c r="L48" s="452">
        <f t="shared" si="17"/>
        <v>0</v>
      </c>
      <c r="M48" s="452">
        <f t="shared" si="17"/>
        <v>0</v>
      </c>
      <c r="N48" s="452">
        <f t="shared" si="17"/>
        <v>0</v>
      </c>
      <c r="O48" s="452">
        <f t="shared" si="17"/>
        <v>0</v>
      </c>
      <c r="P48" s="452">
        <f t="shared" si="17"/>
        <v>0</v>
      </c>
      <c r="R48" s="570"/>
      <c r="S48" s="570"/>
      <c r="T48" s="570"/>
      <c r="U48" s="570"/>
      <c r="V48" s="570"/>
      <c r="W48" s="570"/>
      <c r="X48" s="570"/>
    </row>
    <row r="49" spans="1:24" ht="12.75" customHeight="1" outlineLevel="1" x14ac:dyDescent="0.2">
      <c r="D49" s="58" t="s">
        <v>319</v>
      </c>
      <c r="E49" s="445"/>
      <c r="F49" s="445"/>
      <c r="G49" s="450"/>
      <c r="H49" s="452">
        <f t="shared" si="17"/>
        <v>0</v>
      </c>
      <c r="I49" s="452">
        <f t="shared" si="17"/>
        <v>0</v>
      </c>
      <c r="J49" s="452">
        <f t="shared" si="17"/>
        <v>0</v>
      </c>
      <c r="K49" s="452">
        <f t="shared" si="17"/>
        <v>0</v>
      </c>
      <c r="L49" s="452">
        <f t="shared" si="17"/>
        <v>0</v>
      </c>
      <c r="M49" s="452">
        <f t="shared" si="17"/>
        <v>0</v>
      </c>
      <c r="N49" s="452">
        <f t="shared" si="17"/>
        <v>0</v>
      </c>
      <c r="O49" s="452">
        <f t="shared" si="17"/>
        <v>0</v>
      </c>
      <c r="P49" s="452">
        <f t="shared" si="17"/>
        <v>0</v>
      </c>
      <c r="R49" s="570"/>
      <c r="S49" s="570"/>
      <c r="T49" s="570"/>
      <c r="U49" s="570"/>
      <c r="V49" s="570"/>
      <c r="W49" s="570"/>
      <c r="X49" s="570"/>
    </row>
    <row r="50" spans="1:24" ht="12.75" customHeight="1" outlineLevel="1" x14ac:dyDescent="0.2">
      <c r="D50" s="58" t="s">
        <v>320</v>
      </c>
      <c r="E50" s="445"/>
      <c r="F50" s="445"/>
      <c r="G50" s="445"/>
      <c r="H50" s="450"/>
      <c r="I50" s="452">
        <f t="shared" si="17"/>
        <v>0</v>
      </c>
      <c r="J50" s="452">
        <f t="shared" si="17"/>
        <v>0</v>
      </c>
      <c r="K50" s="452">
        <f t="shared" si="17"/>
        <v>0</v>
      </c>
      <c r="L50" s="452">
        <f t="shared" si="17"/>
        <v>0</v>
      </c>
      <c r="M50" s="452">
        <f t="shared" si="17"/>
        <v>0</v>
      </c>
      <c r="N50" s="452">
        <f t="shared" si="17"/>
        <v>0</v>
      </c>
      <c r="O50" s="452">
        <f t="shared" si="17"/>
        <v>0</v>
      </c>
      <c r="P50" s="452">
        <f t="shared" si="17"/>
        <v>0</v>
      </c>
      <c r="R50" s="570"/>
      <c r="S50" s="570"/>
      <c r="T50" s="570"/>
      <c r="U50" s="570"/>
      <c r="V50" s="570"/>
      <c r="W50" s="570"/>
      <c r="X50" s="570"/>
    </row>
    <row r="51" spans="1:24" ht="12.75" customHeight="1" outlineLevel="1" x14ac:dyDescent="0.2">
      <c r="D51" s="58" t="s">
        <v>321</v>
      </c>
      <c r="E51" s="445"/>
      <c r="F51" s="445"/>
      <c r="G51" s="445"/>
      <c r="H51" s="445"/>
      <c r="I51" s="450"/>
      <c r="J51" s="452">
        <f t="shared" si="17"/>
        <v>0</v>
      </c>
      <c r="K51" s="452">
        <f t="shared" si="17"/>
        <v>0</v>
      </c>
      <c r="L51" s="452">
        <f t="shared" si="17"/>
        <v>0</v>
      </c>
      <c r="M51" s="452">
        <f t="shared" si="17"/>
        <v>0</v>
      </c>
      <c r="N51" s="452">
        <f t="shared" si="17"/>
        <v>0</v>
      </c>
      <c r="O51" s="452">
        <f t="shared" si="17"/>
        <v>0</v>
      </c>
      <c r="P51" s="452">
        <f t="shared" si="17"/>
        <v>0</v>
      </c>
      <c r="R51" s="570"/>
      <c r="S51" s="570"/>
      <c r="T51" s="570"/>
      <c r="U51" s="570"/>
      <c r="V51" s="570"/>
      <c r="W51" s="570"/>
      <c r="X51" s="570"/>
    </row>
    <row r="52" spans="1:24" ht="12.75" customHeight="1" outlineLevel="1" x14ac:dyDescent="0.2">
      <c r="D52" s="58" t="s">
        <v>322</v>
      </c>
      <c r="E52" s="445"/>
      <c r="F52" s="445"/>
      <c r="G52" s="445"/>
      <c r="H52" s="445"/>
      <c r="I52" s="445"/>
      <c r="J52" s="450"/>
      <c r="K52" s="452">
        <f t="shared" si="17"/>
        <v>0</v>
      </c>
      <c r="L52" s="452">
        <f t="shared" si="17"/>
        <v>0</v>
      </c>
      <c r="M52" s="452">
        <f t="shared" si="17"/>
        <v>0</v>
      </c>
      <c r="N52" s="452">
        <f t="shared" si="17"/>
        <v>0</v>
      </c>
      <c r="O52" s="452">
        <f t="shared" si="17"/>
        <v>0</v>
      </c>
      <c r="P52" s="452">
        <f t="shared" si="17"/>
        <v>0</v>
      </c>
      <c r="R52" s="570"/>
      <c r="S52" s="570"/>
      <c r="T52" s="570"/>
      <c r="U52" s="570"/>
      <c r="V52" s="570"/>
      <c r="W52" s="570"/>
      <c r="X52" s="570"/>
    </row>
    <row r="53" spans="1:24" ht="12.75" customHeight="1" outlineLevel="1" x14ac:dyDescent="0.2">
      <c r="D53" s="58" t="s">
        <v>523</v>
      </c>
      <c r="E53" s="445"/>
      <c r="F53" s="445"/>
      <c r="G53" s="445"/>
      <c r="H53" s="445"/>
      <c r="I53" s="445"/>
      <c r="J53" s="445"/>
      <c r="K53" s="450"/>
      <c r="L53" s="452">
        <f t="shared" si="17"/>
        <v>0</v>
      </c>
      <c r="M53" s="452">
        <f t="shared" si="17"/>
        <v>0</v>
      </c>
      <c r="N53" s="452">
        <f t="shared" si="17"/>
        <v>0</v>
      </c>
      <c r="O53" s="452">
        <f t="shared" si="17"/>
        <v>0</v>
      </c>
      <c r="P53" s="452">
        <f t="shared" si="17"/>
        <v>0</v>
      </c>
      <c r="R53" s="570"/>
      <c r="S53" s="570"/>
      <c r="T53" s="570"/>
      <c r="U53" s="570"/>
      <c r="V53" s="570"/>
      <c r="W53" s="570"/>
      <c r="X53" s="570"/>
    </row>
    <row r="54" spans="1:24" ht="12.75" customHeight="1" outlineLevel="1" x14ac:dyDescent="0.2">
      <c r="D54" s="58" t="s">
        <v>524</v>
      </c>
      <c r="E54" s="445"/>
      <c r="F54" s="445"/>
      <c r="G54" s="445"/>
      <c r="H54" s="445"/>
      <c r="I54" s="445"/>
      <c r="J54" s="445"/>
      <c r="K54" s="445"/>
      <c r="L54" s="450"/>
      <c r="M54" s="452">
        <f t="shared" si="17"/>
        <v>0</v>
      </c>
      <c r="N54" s="452">
        <f t="shared" si="17"/>
        <v>0</v>
      </c>
      <c r="O54" s="452">
        <f t="shared" si="17"/>
        <v>0</v>
      </c>
      <c r="P54" s="452">
        <f t="shared" si="17"/>
        <v>0</v>
      </c>
      <c r="R54" s="570"/>
      <c r="S54" s="570"/>
      <c r="T54" s="570"/>
      <c r="U54" s="570"/>
      <c r="V54" s="570"/>
      <c r="W54" s="570"/>
      <c r="X54" s="570"/>
    </row>
    <row r="55" spans="1:24" ht="12.75" customHeight="1" outlineLevel="1" x14ac:dyDescent="0.2">
      <c r="D55" s="58" t="s">
        <v>525</v>
      </c>
      <c r="E55" s="445"/>
      <c r="F55" s="445"/>
      <c r="G55" s="445"/>
      <c r="H55" s="445"/>
      <c r="I55" s="445"/>
      <c r="J55" s="445"/>
      <c r="K55" s="445"/>
      <c r="L55" s="445"/>
      <c r="M55" s="450"/>
      <c r="N55" s="452">
        <f t="shared" si="17"/>
        <v>0</v>
      </c>
      <c r="O55" s="452">
        <f t="shared" si="17"/>
        <v>0</v>
      </c>
      <c r="P55" s="452">
        <f t="shared" si="17"/>
        <v>0</v>
      </c>
      <c r="R55" s="570"/>
      <c r="S55" s="570"/>
      <c r="T55" s="570"/>
      <c r="U55" s="570"/>
      <c r="V55" s="570"/>
      <c r="W55" s="570"/>
      <c r="X55" s="570"/>
    </row>
    <row r="56" spans="1:24" ht="12.75" customHeight="1" outlineLevel="1" x14ac:dyDescent="0.2">
      <c r="D56" s="58" t="s">
        <v>526</v>
      </c>
      <c r="E56" s="445"/>
      <c r="F56" s="445"/>
      <c r="G56" s="445"/>
      <c r="H56" s="445"/>
      <c r="I56" s="445"/>
      <c r="J56" s="445"/>
      <c r="K56" s="445"/>
      <c r="L56" s="445"/>
      <c r="M56" s="445"/>
      <c r="N56" s="449"/>
      <c r="O56" s="452">
        <f t="shared" si="17"/>
        <v>0</v>
      </c>
      <c r="P56" s="452">
        <f t="shared" si="17"/>
        <v>0</v>
      </c>
      <c r="R56" s="570"/>
      <c r="S56" s="570"/>
      <c r="T56" s="570"/>
      <c r="U56" s="570"/>
      <c r="V56" s="570"/>
      <c r="W56" s="570"/>
      <c r="X56" s="570"/>
    </row>
    <row r="57" spans="1:24" ht="12.75" customHeight="1" outlineLevel="1" x14ac:dyDescent="0.2">
      <c r="D57" s="58" t="s">
        <v>527</v>
      </c>
      <c r="E57" s="445"/>
      <c r="F57" s="445"/>
      <c r="G57" s="445"/>
      <c r="H57" s="445"/>
      <c r="I57" s="445"/>
      <c r="J57" s="445"/>
      <c r="K57" s="445"/>
      <c r="L57" s="445"/>
      <c r="M57" s="445"/>
      <c r="N57" s="446"/>
      <c r="O57" s="449"/>
      <c r="P57" s="452">
        <f t="shared" si="17"/>
        <v>0</v>
      </c>
      <c r="R57" s="570"/>
      <c r="S57" s="570"/>
      <c r="T57" s="570"/>
      <c r="U57" s="570"/>
      <c r="V57" s="570"/>
      <c r="W57" s="570"/>
      <c r="X57" s="570"/>
    </row>
    <row r="58" spans="1:24" ht="12.75" customHeight="1" outlineLevel="1" x14ac:dyDescent="0.2">
      <c r="D58" s="58" t="s">
        <v>528</v>
      </c>
      <c r="E58" s="445"/>
      <c r="F58" s="445"/>
      <c r="G58" s="445"/>
      <c r="H58" s="445"/>
      <c r="I58" s="445"/>
      <c r="J58" s="445"/>
      <c r="K58" s="445"/>
      <c r="L58" s="445"/>
      <c r="M58" s="445"/>
      <c r="N58" s="446"/>
      <c r="O58" s="446"/>
      <c r="P58" s="449"/>
      <c r="R58" s="570"/>
      <c r="S58" s="570"/>
      <c r="T58" s="570"/>
      <c r="U58" s="570"/>
      <c r="V58" s="570"/>
      <c r="W58" s="570"/>
      <c r="X58" s="570"/>
    </row>
    <row r="59" spans="1:24" ht="12.75" customHeight="1" outlineLevel="1" x14ac:dyDescent="0.2">
      <c r="J59" s="441" t="s">
        <v>76</v>
      </c>
      <c r="K59" s="451">
        <f>SUM(K47:K52)</f>
        <v>0</v>
      </c>
      <c r="L59" s="451">
        <f>SUM(L47:L53)</f>
        <v>0</v>
      </c>
      <c r="M59" s="451">
        <f>SUM(M47:M54)</f>
        <v>0</v>
      </c>
      <c r="N59" s="451">
        <f>SUM(N47:N55)</f>
        <v>0</v>
      </c>
      <c r="O59" s="451">
        <f>SUM(O47:O56)</f>
        <v>0</v>
      </c>
      <c r="P59" s="451">
        <f>SUM(P47:P57)</f>
        <v>0</v>
      </c>
      <c r="R59" s="570"/>
      <c r="S59" s="570"/>
      <c r="T59" s="570"/>
      <c r="U59" s="570"/>
      <c r="V59" s="570"/>
      <c r="W59" s="570"/>
      <c r="X59" s="570"/>
    </row>
    <row r="60" spans="1:24" ht="12.75" customHeight="1" outlineLevel="1" x14ac:dyDescent="0.2">
      <c r="R60" s="570"/>
      <c r="S60" s="570"/>
      <c r="T60" s="570"/>
      <c r="U60" s="570"/>
      <c r="V60" s="570"/>
      <c r="W60" s="570"/>
      <c r="X60" s="570"/>
    </row>
    <row r="61" spans="1:24" s="570" customFormat="1" ht="12.75" customHeight="1" x14ac:dyDescent="0.2"/>
    <row r="62" spans="1:24" ht="15.75" x14ac:dyDescent="0.2">
      <c r="A62" s="287"/>
      <c r="B62" s="83">
        <f>IF(F64&lt;&gt;"",1,0)</f>
        <v>0</v>
      </c>
      <c r="C62" s="83">
        <v>3</v>
      </c>
      <c r="D62" s="110" t="str">
        <f>IF(B62=0,MsgNotUsed, CONCATENATE("Prevalent pool ", C62, ": ", F64, " (", E70, "-", P70, ")"))</f>
        <v>** NOT USED **</v>
      </c>
      <c r="E62" s="178"/>
      <c r="F62" s="178"/>
      <c r="G62" s="178"/>
      <c r="H62" s="178"/>
      <c r="I62" s="268"/>
      <c r="J62" s="178"/>
      <c r="K62" s="178"/>
      <c r="L62" s="178"/>
      <c r="M62" s="371"/>
      <c r="N62" s="371"/>
      <c r="O62" s="371"/>
      <c r="P62" s="371"/>
      <c r="Q62" s="371"/>
      <c r="R62" s="371"/>
      <c r="S62" s="371"/>
      <c r="T62" s="371"/>
      <c r="U62" s="371"/>
      <c r="V62" s="371"/>
      <c r="W62" s="371"/>
      <c r="X62" s="371"/>
    </row>
    <row r="63" spans="1:24" ht="12.75" customHeight="1" outlineLevel="1" x14ac:dyDescent="0.2">
      <c r="R63" s="570"/>
      <c r="S63" s="570"/>
      <c r="T63" s="570"/>
      <c r="U63" s="570"/>
      <c r="V63" s="570"/>
      <c r="W63" s="570"/>
      <c r="X63" s="570"/>
    </row>
    <row r="64" spans="1:24" ht="12.75" customHeight="1" outlineLevel="1" x14ac:dyDescent="0.2">
      <c r="E64" s="58" t="s">
        <v>529</v>
      </c>
      <c r="F64" s="870"/>
      <c r="G64" s="848"/>
      <c r="H64" s="848"/>
      <c r="I64" s="848"/>
      <c r="J64" s="848"/>
      <c r="K64" s="849"/>
      <c r="R64" s="570"/>
      <c r="S64" s="570"/>
      <c r="T64" s="570"/>
      <c r="U64" s="570"/>
      <c r="V64" s="570"/>
      <c r="W64" s="570"/>
      <c r="X64" s="570"/>
    </row>
    <row r="65" spans="4:24" ht="12.75" customHeight="1" outlineLevel="1" x14ac:dyDescent="0.2">
      <c r="R65" s="570"/>
      <c r="S65" s="570"/>
      <c r="T65" s="570"/>
      <c r="U65" s="570"/>
      <c r="V65" s="570"/>
      <c r="W65" s="570"/>
      <c r="X65" s="570"/>
    </row>
    <row r="66" spans="4:24" ht="12.75" customHeight="1" outlineLevel="1" x14ac:dyDescent="0.2">
      <c r="E66" s="58" t="s">
        <v>292</v>
      </c>
      <c r="F66" s="870"/>
      <c r="G66" s="848"/>
      <c r="H66" s="848"/>
      <c r="I66" s="848"/>
      <c r="J66" s="848"/>
      <c r="K66" s="849"/>
      <c r="R66" s="570"/>
      <c r="S66" s="570"/>
      <c r="T66" s="570"/>
      <c r="U66" s="570"/>
      <c r="V66" s="570"/>
      <c r="W66" s="570"/>
      <c r="X66" s="570"/>
    </row>
    <row r="67" spans="4:24" ht="12.75" customHeight="1" outlineLevel="1" x14ac:dyDescent="0.2">
      <c r="R67" s="570"/>
      <c r="S67" s="570"/>
      <c r="T67" s="570"/>
      <c r="U67" s="570"/>
      <c r="V67" s="570"/>
      <c r="W67" s="570"/>
      <c r="X67" s="570"/>
    </row>
    <row r="68" spans="4:24" ht="12.75" customHeight="1" outlineLevel="1" x14ac:dyDescent="0.2">
      <c r="E68" s="58" t="s">
        <v>522</v>
      </c>
      <c r="F68" s="448"/>
      <c r="R68" s="570"/>
      <c r="S68" s="570"/>
      <c r="T68" s="570"/>
      <c r="U68" s="570"/>
      <c r="V68" s="570"/>
      <c r="W68" s="570"/>
      <c r="X68" s="570"/>
    </row>
    <row r="69" spans="4:24" ht="12.75" customHeight="1" outlineLevel="1" x14ac:dyDescent="0.2">
      <c r="R69" s="570"/>
      <c r="S69" s="570"/>
      <c r="T69" s="570"/>
      <c r="U69" s="570"/>
      <c r="V69" s="570"/>
      <c r="W69" s="570"/>
      <c r="X69" s="570"/>
    </row>
    <row r="70" spans="4:24" ht="12.75" customHeight="1" outlineLevel="1" x14ac:dyDescent="0.2">
      <c r="D70" s="444"/>
      <c r="E70" s="432">
        <f t="shared" ref="E70" si="18">F70-1</f>
        <v>-6</v>
      </c>
      <c r="F70" s="432">
        <f t="shared" ref="F70" si="19">G70-1</f>
        <v>-5</v>
      </c>
      <c r="G70" s="432">
        <f t="shared" ref="G70" si="20">H70-1</f>
        <v>-4</v>
      </c>
      <c r="H70" s="432">
        <f t="shared" ref="H70" si="21">I70-1</f>
        <v>-3</v>
      </c>
      <c r="I70" s="432">
        <f t="shared" ref="I70" si="22">J70-1</f>
        <v>-2</v>
      </c>
      <c r="J70" s="432">
        <f>K70-1</f>
        <v>-1</v>
      </c>
      <c r="K70" s="432">
        <f>FirstYear</f>
        <v>0</v>
      </c>
      <c r="L70" s="432">
        <f>K70+1</f>
        <v>1</v>
      </c>
      <c r="M70" s="432">
        <f>L70+1</f>
        <v>2</v>
      </c>
      <c r="N70" s="432">
        <f>M70+1</f>
        <v>3</v>
      </c>
      <c r="O70" s="432">
        <f>N70+1</f>
        <v>4</v>
      </c>
      <c r="P70" s="432">
        <f>O70+1</f>
        <v>5</v>
      </c>
      <c r="R70" s="570"/>
      <c r="S70" s="570"/>
      <c r="T70" s="570"/>
      <c r="U70" s="570"/>
      <c r="V70" s="570"/>
      <c r="W70" s="570"/>
      <c r="X70" s="570"/>
    </row>
    <row r="71" spans="4:24" ht="12.75" customHeight="1" outlineLevel="1" x14ac:dyDescent="0.2">
      <c r="D71" s="58" t="s">
        <v>317</v>
      </c>
      <c r="E71" s="450"/>
      <c r="F71" s="452">
        <f t="shared" ref="F71:P71" si="23">E71*$F$68</f>
        <v>0</v>
      </c>
      <c r="G71" s="452">
        <f t="shared" si="23"/>
        <v>0</v>
      </c>
      <c r="H71" s="452">
        <f t="shared" si="23"/>
        <v>0</v>
      </c>
      <c r="I71" s="452">
        <f t="shared" si="23"/>
        <v>0</v>
      </c>
      <c r="J71" s="452">
        <f t="shared" si="23"/>
        <v>0</v>
      </c>
      <c r="K71" s="452">
        <f t="shared" si="23"/>
        <v>0</v>
      </c>
      <c r="L71" s="452">
        <f t="shared" si="23"/>
        <v>0</v>
      </c>
      <c r="M71" s="452">
        <f t="shared" si="23"/>
        <v>0</v>
      </c>
      <c r="N71" s="452">
        <f t="shared" si="23"/>
        <v>0</v>
      </c>
      <c r="O71" s="452">
        <f t="shared" si="23"/>
        <v>0</v>
      </c>
      <c r="P71" s="452">
        <f t="shared" si="23"/>
        <v>0</v>
      </c>
      <c r="R71" s="570"/>
      <c r="S71" s="570"/>
      <c r="T71" s="570"/>
      <c r="U71" s="570"/>
      <c r="V71" s="570"/>
      <c r="W71" s="570"/>
      <c r="X71" s="570"/>
    </row>
    <row r="72" spans="4:24" ht="12.75" customHeight="1" outlineLevel="1" x14ac:dyDescent="0.2">
      <c r="D72" s="58" t="s">
        <v>318</v>
      </c>
      <c r="E72" s="445"/>
      <c r="F72" s="450"/>
      <c r="G72" s="452">
        <f>F72*$F$68</f>
        <v>0</v>
      </c>
      <c r="H72" s="452">
        <f t="shared" ref="H72" si="24">G72*$F$68</f>
        <v>0</v>
      </c>
      <c r="I72" s="452">
        <f t="shared" ref="I72" si="25">H72*$F$68</f>
        <v>0</v>
      </c>
      <c r="J72" s="452">
        <f t="shared" ref="J72" si="26">I72*$F$68</f>
        <v>0</v>
      </c>
      <c r="K72" s="452">
        <f t="shared" ref="K72" si="27">J72*$F$68</f>
        <v>0</v>
      </c>
      <c r="L72" s="452">
        <f t="shared" ref="L72" si="28">K72*$F$68</f>
        <v>0</v>
      </c>
      <c r="M72" s="452">
        <f t="shared" ref="M72" si="29">L72*$F$68</f>
        <v>0</v>
      </c>
      <c r="N72" s="452">
        <f t="shared" ref="N72" si="30">M72*$F$68</f>
        <v>0</v>
      </c>
      <c r="O72" s="452">
        <f t="shared" ref="O72" si="31">N72*$F$68</f>
        <v>0</v>
      </c>
      <c r="P72" s="452">
        <f t="shared" ref="P72" si="32">O72*$F$68</f>
        <v>0</v>
      </c>
      <c r="R72" s="570"/>
      <c r="S72" s="570"/>
      <c r="T72" s="570"/>
      <c r="U72" s="570"/>
      <c r="V72" s="570"/>
      <c r="W72" s="570"/>
      <c r="X72" s="570"/>
    </row>
    <row r="73" spans="4:24" ht="12.75" customHeight="1" outlineLevel="1" x14ac:dyDescent="0.2">
      <c r="D73" s="58" t="s">
        <v>319</v>
      </c>
      <c r="E73" s="445"/>
      <c r="F73" s="445"/>
      <c r="G73" s="450"/>
      <c r="H73" s="452">
        <f t="shared" ref="H73" si="33">G73*$F$68</f>
        <v>0</v>
      </c>
      <c r="I73" s="452">
        <f t="shared" ref="I73" si="34">H73*$F$68</f>
        <v>0</v>
      </c>
      <c r="J73" s="452">
        <f t="shared" ref="J73" si="35">I73*$F$68</f>
        <v>0</v>
      </c>
      <c r="K73" s="452">
        <f t="shared" ref="K73" si="36">J73*$F$68</f>
        <v>0</v>
      </c>
      <c r="L73" s="452">
        <f t="shared" ref="L73" si="37">K73*$F$68</f>
        <v>0</v>
      </c>
      <c r="M73" s="452">
        <f t="shared" ref="M73" si="38">L73*$F$68</f>
        <v>0</v>
      </c>
      <c r="N73" s="452">
        <f t="shared" ref="N73" si="39">M73*$F$68</f>
        <v>0</v>
      </c>
      <c r="O73" s="452">
        <f t="shared" ref="O73" si="40">N73*$F$68</f>
        <v>0</v>
      </c>
      <c r="P73" s="452">
        <f t="shared" ref="P73" si="41">O73*$F$68</f>
        <v>0</v>
      </c>
      <c r="R73" s="570"/>
      <c r="S73" s="570"/>
      <c r="T73" s="570"/>
      <c r="U73" s="570"/>
      <c r="V73" s="570"/>
      <c r="W73" s="570"/>
      <c r="X73" s="570"/>
    </row>
    <row r="74" spans="4:24" ht="12.75" customHeight="1" outlineLevel="1" x14ac:dyDescent="0.2">
      <c r="D74" s="58" t="s">
        <v>320</v>
      </c>
      <c r="E74" s="445"/>
      <c r="F74" s="445"/>
      <c r="G74" s="445"/>
      <c r="H74" s="450"/>
      <c r="I74" s="452">
        <f t="shared" ref="I74" si="42">H74*$F$68</f>
        <v>0</v>
      </c>
      <c r="J74" s="452">
        <f t="shared" ref="J74" si="43">I74*$F$68</f>
        <v>0</v>
      </c>
      <c r="K74" s="452">
        <f t="shared" ref="K74" si="44">J74*$F$68</f>
        <v>0</v>
      </c>
      <c r="L74" s="452">
        <f t="shared" ref="L74" si="45">K74*$F$68</f>
        <v>0</v>
      </c>
      <c r="M74" s="452">
        <f t="shared" ref="M74" si="46">L74*$F$68</f>
        <v>0</v>
      </c>
      <c r="N74" s="452">
        <f t="shared" ref="N74" si="47">M74*$F$68</f>
        <v>0</v>
      </c>
      <c r="O74" s="452">
        <f t="shared" ref="O74" si="48">N74*$F$68</f>
        <v>0</v>
      </c>
      <c r="P74" s="452">
        <f t="shared" ref="P74" si="49">O74*$F$68</f>
        <v>0</v>
      </c>
      <c r="R74" s="570"/>
      <c r="S74" s="570"/>
      <c r="T74" s="570"/>
      <c r="U74" s="570"/>
      <c r="V74" s="570"/>
      <c r="W74" s="570"/>
      <c r="X74" s="570"/>
    </row>
    <row r="75" spans="4:24" ht="12.75" customHeight="1" outlineLevel="1" x14ac:dyDescent="0.2">
      <c r="D75" s="58" t="s">
        <v>321</v>
      </c>
      <c r="E75" s="445"/>
      <c r="F75" s="445"/>
      <c r="G75" s="445"/>
      <c r="H75" s="445"/>
      <c r="I75" s="450"/>
      <c r="J75" s="452">
        <f t="shared" ref="J75" si="50">I75*$F$68</f>
        <v>0</v>
      </c>
      <c r="K75" s="452">
        <f t="shared" ref="K75" si="51">J75*$F$68</f>
        <v>0</v>
      </c>
      <c r="L75" s="452">
        <f t="shared" ref="L75" si="52">K75*$F$68</f>
        <v>0</v>
      </c>
      <c r="M75" s="452">
        <f t="shared" ref="M75" si="53">L75*$F$68</f>
        <v>0</v>
      </c>
      <c r="N75" s="452">
        <f t="shared" ref="N75" si="54">M75*$F$68</f>
        <v>0</v>
      </c>
      <c r="O75" s="452">
        <f t="shared" ref="O75" si="55">N75*$F$68</f>
        <v>0</v>
      </c>
      <c r="P75" s="452">
        <f t="shared" ref="P75" si="56">O75*$F$68</f>
        <v>0</v>
      </c>
      <c r="R75" s="570"/>
      <c r="S75" s="570"/>
      <c r="T75" s="570"/>
      <c r="U75" s="570"/>
      <c r="V75" s="570"/>
      <c r="W75" s="570"/>
      <c r="X75" s="570"/>
    </row>
    <row r="76" spans="4:24" ht="12.75" customHeight="1" outlineLevel="1" x14ac:dyDescent="0.2">
      <c r="D76" s="58" t="s">
        <v>322</v>
      </c>
      <c r="E76" s="445"/>
      <c r="F76" s="445"/>
      <c r="G76" s="445"/>
      <c r="H76" s="445"/>
      <c r="I76" s="445"/>
      <c r="J76" s="450"/>
      <c r="K76" s="452">
        <f t="shared" ref="K76" si="57">J76*$F$68</f>
        <v>0</v>
      </c>
      <c r="L76" s="452">
        <f t="shared" ref="L76" si="58">K76*$F$68</f>
        <v>0</v>
      </c>
      <c r="M76" s="452">
        <f t="shared" ref="M76" si="59">L76*$F$68</f>
        <v>0</v>
      </c>
      <c r="N76" s="452">
        <f t="shared" ref="N76" si="60">M76*$F$68</f>
        <v>0</v>
      </c>
      <c r="O76" s="452">
        <f t="shared" ref="O76" si="61">N76*$F$68</f>
        <v>0</v>
      </c>
      <c r="P76" s="452">
        <f t="shared" ref="P76" si="62">O76*$F$68</f>
        <v>0</v>
      </c>
      <c r="R76" s="570"/>
      <c r="S76" s="570"/>
      <c r="T76" s="570"/>
      <c r="U76" s="570"/>
      <c r="V76" s="570"/>
      <c r="W76" s="570"/>
      <c r="X76" s="570"/>
    </row>
    <row r="77" spans="4:24" ht="12.75" customHeight="1" outlineLevel="1" x14ac:dyDescent="0.2">
      <c r="D77" s="58" t="s">
        <v>523</v>
      </c>
      <c r="E77" s="445"/>
      <c r="F77" s="445"/>
      <c r="G77" s="445"/>
      <c r="H77" s="445"/>
      <c r="I77" s="445"/>
      <c r="J77" s="445"/>
      <c r="K77" s="450"/>
      <c r="L77" s="452">
        <f t="shared" ref="L77" si="63">K77*$F$68</f>
        <v>0</v>
      </c>
      <c r="M77" s="452">
        <f t="shared" ref="M77" si="64">L77*$F$68</f>
        <v>0</v>
      </c>
      <c r="N77" s="452">
        <f t="shared" ref="N77" si="65">M77*$F$68</f>
        <v>0</v>
      </c>
      <c r="O77" s="452">
        <f t="shared" ref="O77" si="66">N77*$F$68</f>
        <v>0</v>
      </c>
      <c r="P77" s="452">
        <f t="shared" ref="P77" si="67">O77*$F$68</f>
        <v>0</v>
      </c>
      <c r="R77" s="570"/>
      <c r="S77" s="570"/>
      <c r="T77" s="570"/>
      <c r="U77" s="570"/>
      <c r="V77" s="570"/>
      <c r="W77" s="570"/>
      <c r="X77" s="570"/>
    </row>
    <row r="78" spans="4:24" ht="12.75" customHeight="1" outlineLevel="1" x14ac:dyDescent="0.2">
      <c r="D78" s="58" t="s">
        <v>524</v>
      </c>
      <c r="E78" s="445"/>
      <c r="F78" s="445"/>
      <c r="G78" s="445"/>
      <c r="H78" s="445"/>
      <c r="I78" s="445"/>
      <c r="J78" s="445"/>
      <c r="K78" s="445"/>
      <c r="L78" s="450"/>
      <c r="M78" s="452">
        <f t="shared" ref="M78" si="68">L78*$F$68</f>
        <v>0</v>
      </c>
      <c r="N78" s="452">
        <f t="shared" ref="N78" si="69">M78*$F$68</f>
        <v>0</v>
      </c>
      <c r="O78" s="452">
        <f t="shared" ref="O78" si="70">N78*$F$68</f>
        <v>0</v>
      </c>
      <c r="P78" s="452">
        <f t="shared" ref="P78" si="71">O78*$F$68</f>
        <v>0</v>
      </c>
      <c r="R78" s="570"/>
      <c r="S78" s="570"/>
      <c r="T78" s="570"/>
      <c r="U78" s="570"/>
      <c r="V78" s="570"/>
      <c r="W78" s="570"/>
      <c r="X78" s="570"/>
    </row>
    <row r="79" spans="4:24" ht="12.75" customHeight="1" outlineLevel="1" x14ac:dyDescent="0.2">
      <c r="D79" s="58" t="s">
        <v>525</v>
      </c>
      <c r="E79" s="445"/>
      <c r="F79" s="445"/>
      <c r="G79" s="445"/>
      <c r="H79" s="445"/>
      <c r="I79" s="445"/>
      <c r="J79" s="445"/>
      <c r="K79" s="445"/>
      <c r="L79" s="445"/>
      <c r="M79" s="450"/>
      <c r="N79" s="452">
        <f t="shared" ref="N79" si="72">M79*$F$68</f>
        <v>0</v>
      </c>
      <c r="O79" s="452">
        <f t="shared" ref="O79" si="73">N79*$F$68</f>
        <v>0</v>
      </c>
      <c r="P79" s="452">
        <f t="shared" ref="P79" si="74">O79*$F$68</f>
        <v>0</v>
      </c>
      <c r="R79" s="570"/>
      <c r="S79" s="570"/>
      <c r="T79" s="570"/>
      <c r="U79" s="570"/>
      <c r="V79" s="570"/>
      <c r="W79" s="570"/>
      <c r="X79" s="570"/>
    </row>
    <row r="80" spans="4:24" ht="12.75" customHeight="1" outlineLevel="1" x14ac:dyDescent="0.2">
      <c r="D80" s="58" t="s">
        <v>526</v>
      </c>
      <c r="E80" s="445"/>
      <c r="F80" s="445"/>
      <c r="G80" s="445"/>
      <c r="H80" s="445"/>
      <c r="I80" s="445"/>
      <c r="J80" s="445"/>
      <c r="K80" s="445"/>
      <c r="L80" s="445"/>
      <c r="M80" s="445"/>
      <c r="N80" s="449"/>
      <c r="O80" s="452">
        <f t="shared" ref="O80" si="75">N80*$F$68</f>
        <v>0</v>
      </c>
      <c r="P80" s="452">
        <f t="shared" ref="P80" si="76">O80*$F$68</f>
        <v>0</v>
      </c>
      <c r="R80" s="570"/>
      <c r="S80" s="570"/>
      <c r="T80" s="570"/>
      <c r="U80" s="570"/>
      <c r="V80" s="570"/>
      <c r="W80" s="570"/>
      <c r="X80" s="570"/>
    </row>
    <row r="81" spans="1:24" ht="12.75" customHeight="1" outlineLevel="1" x14ac:dyDescent="0.2">
      <c r="D81" s="58" t="s">
        <v>527</v>
      </c>
      <c r="E81" s="445"/>
      <c r="F81" s="445"/>
      <c r="G81" s="445"/>
      <c r="H81" s="445"/>
      <c r="I81" s="445"/>
      <c r="J81" s="445"/>
      <c r="K81" s="445"/>
      <c r="L81" s="445"/>
      <c r="M81" s="445"/>
      <c r="N81" s="446"/>
      <c r="O81" s="449"/>
      <c r="P81" s="452">
        <f t="shared" ref="P81" si="77">O81*$F$68</f>
        <v>0</v>
      </c>
      <c r="R81" s="570"/>
      <c r="S81" s="570"/>
      <c r="T81" s="570"/>
      <c r="U81" s="570"/>
      <c r="V81" s="570"/>
      <c r="W81" s="570"/>
      <c r="X81" s="570"/>
    </row>
    <row r="82" spans="1:24" ht="12.75" customHeight="1" outlineLevel="1" x14ac:dyDescent="0.2">
      <c r="D82" s="58" t="s">
        <v>528</v>
      </c>
      <c r="E82" s="445"/>
      <c r="F82" s="445"/>
      <c r="G82" s="445"/>
      <c r="H82" s="445"/>
      <c r="I82" s="445"/>
      <c r="J82" s="445"/>
      <c r="K82" s="445"/>
      <c r="L82" s="445"/>
      <c r="M82" s="445"/>
      <c r="N82" s="446"/>
      <c r="O82" s="446"/>
      <c r="P82" s="449"/>
      <c r="R82" s="570"/>
      <c r="S82" s="570"/>
      <c r="T82" s="570"/>
      <c r="U82" s="570"/>
      <c r="V82" s="570"/>
      <c r="W82" s="570"/>
      <c r="X82" s="570"/>
    </row>
    <row r="83" spans="1:24" ht="12.75" customHeight="1" outlineLevel="1" x14ac:dyDescent="0.2">
      <c r="J83" s="441" t="s">
        <v>76</v>
      </c>
      <c r="K83" s="451">
        <f>SUM(K71:K76)</f>
        <v>0</v>
      </c>
      <c r="L83" s="451">
        <f>SUM(L71:L77)</f>
        <v>0</v>
      </c>
      <c r="M83" s="451">
        <f>SUM(M71:M78)</f>
        <v>0</v>
      </c>
      <c r="N83" s="451">
        <f>SUM(N71:N79)</f>
        <v>0</v>
      </c>
      <c r="O83" s="451">
        <f>SUM(O71:O80)</f>
        <v>0</v>
      </c>
      <c r="P83" s="451">
        <f>SUM(P71:P81)</f>
        <v>0</v>
      </c>
      <c r="R83" s="570"/>
      <c r="S83" s="570"/>
      <c r="T83" s="570"/>
      <c r="U83" s="570"/>
      <c r="V83" s="570"/>
      <c r="W83" s="570"/>
      <c r="X83" s="570"/>
    </row>
    <row r="84" spans="1:24" ht="12.75" customHeight="1" outlineLevel="1" x14ac:dyDescent="0.2">
      <c r="R84" s="570"/>
      <c r="S84" s="570"/>
      <c r="T84" s="570"/>
      <c r="U84" s="570"/>
      <c r="V84" s="570"/>
      <c r="W84" s="570"/>
      <c r="X84" s="570"/>
    </row>
    <row r="85" spans="1:24" s="570" customFormat="1" ht="12.75" customHeight="1" x14ac:dyDescent="0.2"/>
    <row r="86" spans="1:24" ht="15.75" x14ac:dyDescent="0.2">
      <c r="A86" s="287"/>
      <c r="B86" s="83">
        <f>IF(F88&lt;&gt;"",1,0)</f>
        <v>0</v>
      </c>
      <c r="C86" s="83">
        <v>4</v>
      </c>
      <c r="D86" s="110" t="str">
        <f>IF(B86=0,MsgNotUsed, CONCATENATE("Prevalent pool ", C86, ": ", F88, " (", E94, "-", P94, ")"))</f>
        <v>** NOT USED **</v>
      </c>
      <c r="E86" s="178"/>
      <c r="F86" s="178"/>
      <c r="G86" s="178"/>
      <c r="H86" s="178"/>
      <c r="I86" s="268"/>
      <c r="J86" s="178"/>
      <c r="K86" s="178"/>
      <c r="L86" s="178"/>
      <c r="M86" s="371"/>
      <c r="N86" s="371"/>
      <c r="O86" s="371"/>
      <c r="P86" s="371"/>
      <c r="Q86" s="371"/>
      <c r="R86" s="371"/>
      <c r="S86" s="371"/>
      <c r="T86" s="371"/>
      <c r="U86" s="371"/>
      <c r="V86" s="371"/>
      <c r="W86" s="371"/>
      <c r="X86" s="371"/>
    </row>
    <row r="87" spans="1:24" ht="12.75" customHeight="1" outlineLevel="1" x14ac:dyDescent="0.2">
      <c r="R87" s="570"/>
      <c r="S87" s="570"/>
      <c r="T87" s="570"/>
      <c r="U87" s="570"/>
      <c r="V87" s="570"/>
      <c r="W87" s="570"/>
      <c r="X87" s="570"/>
    </row>
    <row r="88" spans="1:24" ht="12.75" customHeight="1" outlineLevel="1" x14ac:dyDescent="0.2">
      <c r="E88" s="58" t="s">
        <v>529</v>
      </c>
      <c r="F88" s="870"/>
      <c r="G88" s="848"/>
      <c r="H88" s="848"/>
      <c r="I88" s="848"/>
      <c r="J88" s="848"/>
      <c r="K88" s="849"/>
      <c r="R88" s="570"/>
      <c r="S88" s="570"/>
      <c r="T88" s="570"/>
      <c r="U88" s="570"/>
      <c r="V88" s="570"/>
      <c r="W88" s="570"/>
      <c r="X88" s="570"/>
    </row>
    <row r="89" spans="1:24" ht="12.75" customHeight="1" outlineLevel="1" x14ac:dyDescent="0.2">
      <c r="R89" s="570"/>
      <c r="S89" s="570"/>
      <c r="T89" s="570"/>
      <c r="U89" s="570"/>
      <c r="V89" s="570"/>
      <c r="W89" s="570"/>
      <c r="X89" s="570"/>
    </row>
    <row r="90" spans="1:24" ht="12.75" customHeight="1" outlineLevel="1" x14ac:dyDescent="0.2">
      <c r="E90" s="58" t="s">
        <v>292</v>
      </c>
      <c r="F90" s="870"/>
      <c r="G90" s="848"/>
      <c r="H90" s="848"/>
      <c r="I90" s="848"/>
      <c r="J90" s="848"/>
      <c r="K90" s="849"/>
      <c r="R90" s="570"/>
      <c r="S90" s="570"/>
      <c r="T90" s="570"/>
      <c r="U90" s="570"/>
      <c r="V90" s="570"/>
      <c r="W90" s="570"/>
      <c r="X90" s="570"/>
    </row>
    <row r="91" spans="1:24" ht="12.75" customHeight="1" outlineLevel="1" x14ac:dyDescent="0.2">
      <c r="R91" s="570"/>
      <c r="S91" s="570"/>
      <c r="T91" s="570"/>
      <c r="U91" s="570"/>
      <c r="V91" s="570"/>
      <c r="W91" s="570"/>
      <c r="X91" s="570"/>
    </row>
    <row r="92" spans="1:24" ht="12.75" customHeight="1" outlineLevel="1" x14ac:dyDescent="0.2">
      <c r="E92" s="58" t="s">
        <v>522</v>
      </c>
      <c r="F92" s="448"/>
      <c r="R92" s="570"/>
      <c r="S92" s="570"/>
      <c r="T92" s="570"/>
      <c r="U92" s="570"/>
      <c r="V92" s="570"/>
      <c r="W92" s="570"/>
      <c r="X92" s="570"/>
    </row>
    <row r="93" spans="1:24" ht="12.75" customHeight="1" outlineLevel="1" x14ac:dyDescent="0.2">
      <c r="R93" s="570"/>
      <c r="S93" s="570"/>
      <c r="T93" s="570"/>
      <c r="U93" s="570"/>
      <c r="V93" s="570"/>
      <c r="W93" s="570"/>
      <c r="X93" s="570"/>
    </row>
    <row r="94" spans="1:24" ht="12.75" customHeight="1" outlineLevel="1" x14ac:dyDescent="0.2">
      <c r="D94" s="444"/>
      <c r="E94" s="432">
        <f t="shared" ref="E94" si="78">F94-1</f>
        <v>-6</v>
      </c>
      <c r="F94" s="432">
        <f t="shared" ref="F94" si="79">G94-1</f>
        <v>-5</v>
      </c>
      <c r="G94" s="432">
        <f t="shared" ref="G94" si="80">H94-1</f>
        <v>-4</v>
      </c>
      <c r="H94" s="432">
        <f t="shared" ref="H94" si="81">I94-1</f>
        <v>-3</v>
      </c>
      <c r="I94" s="432">
        <f t="shared" ref="I94" si="82">J94-1</f>
        <v>-2</v>
      </c>
      <c r="J94" s="432">
        <f>K94-1</f>
        <v>-1</v>
      </c>
      <c r="K94" s="432">
        <f>FirstYear</f>
        <v>0</v>
      </c>
      <c r="L94" s="432">
        <f>K94+1</f>
        <v>1</v>
      </c>
      <c r="M94" s="432">
        <f>L94+1</f>
        <v>2</v>
      </c>
      <c r="N94" s="432">
        <f>M94+1</f>
        <v>3</v>
      </c>
      <c r="O94" s="432">
        <f>N94+1</f>
        <v>4</v>
      </c>
      <c r="P94" s="432">
        <f>O94+1</f>
        <v>5</v>
      </c>
      <c r="R94" s="570"/>
      <c r="S94" s="570"/>
      <c r="T94" s="570"/>
      <c r="U94" s="570"/>
      <c r="V94" s="570"/>
      <c r="W94" s="570"/>
      <c r="X94" s="570"/>
    </row>
    <row r="95" spans="1:24" ht="12.75" customHeight="1" outlineLevel="1" x14ac:dyDescent="0.2">
      <c r="D95" s="58" t="s">
        <v>317</v>
      </c>
      <c r="E95" s="450"/>
      <c r="F95" s="452">
        <f>E95*$F$92</f>
        <v>0</v>
      </c>
      <c r="G95" s="452">
        <f t="shared" ref="G95:P96" si="83">F95*$F$92</f>
        <v>0</v>
      </c>
      <c r="H95" s="452">
        <f t="shared" si="83"/>
        <v>0</v>
      </c>
      <c r="I95" s="452">
        <f t="shared" si="83"/>
        <v>0</v>
      </c>
      <c r="J95" s="452">
        <f t="shared" si="83"/>
        <v>0</v>
      </c>
      <c r="K95" s="452">
        <f t="shared" si="83"/>
        <v>0</v>
      </c>
      <c r="L95" s="452">
        <f t="shared" si="83"/>
        <v>0</v>
      </c>
      <c r="M95" s="452">
        <f t="shared" si="83"/>
        <v>0</v>
      </c>
      <c r="N95" s="452">
        <f t="shared" si="83"/>
        <v>0</v>
      </c>
      <c r="O95" s="452">
        <f t="shared" si="83"/>
        <v>0</v>
      </c>
      <c r="P95" s="452">
        <f t="shared" si="83"/>
        <v>0</v>
      </c>
      <c r="R95" s="570"/>
      <c r="S95" s="570"/>
      <c r="T95" s="570"/>
      <c r="U95" s="570"/>
      <c r="V95" s="570"/>
      <c r="W95" s="570"/>
      <c r="X95" s="570"/>
    </row>
    <row r="96" spans="1:24" ht="12.75" customHeight="1" outlineLevel="1" x14ac:dyDescent="0.2">
      <c r="D96" s="58" t="s">
        <v>318</v>
      </c>
      <c r="E96" s="445"/>
      <c r="F96" s="450"/>
      <c r="G96" s="452">
        <f t="shared" si="83"/>
        <v>0</v>
      </c>
      <c r="H96" s="452">
        <f t="shared" ref="H96" si="84">G96*$F$92</f>
        <v>0</v>
      </c>
      <c r="I96" s="452">
        <f t="shared" ref="I96" si="85">H96*$F$92</f>
        <v>0</v>
      </c>
      <c r="J96" s="452">
        <f t="shared" ref="J96" si="86">I96*$F$92</f>
        <v>0</v>
      </c>
      <c r="K96" s="452">
        <f t="shared" ref="K96" si="87">J96*$F$92</f>
        <v>0</v>
      </c>
      <c r="L96" s="452">
        <f t="shared" ref="L96" si="88">K96*$F$92</f>
        <v>0</v>
      </c>
      <c r="M96" s="452">
        <f t="shared" ref="M96" si="89">L96*$F$92</f>
        <v>0</v>
      </c>
      <c r="N96" s="452">
        <f t="shared" ref="N96" si="90">M96*$F$92</f>
        <v>0</v>
      </c>
      <c r="O96" s="452">
        <f t="shared" ref="O96" si="91">N96*$F$92</f>
        <v>0</v>
      </c>
      <c r="P96" s="452">
        <f t="shared" ref="P96" si="92">O96*$F$92</f>
        <v>0</v>
      </c>
      <c r="R96" s="570"/>
      <c r="S96" s="570"/>
      <c r="T96" s="570"/>
      <c r="U96" s="570"/>
      <c r="V96" s="570"/>
      <c r="W96" s="570"/>
      <c r="X96" s="570"/>
    </row>
    <row r="97" spans="1:24" ht="12.75" customHeight="1" outlineLevel="1" x14ac:dyDescent="0.2">
      <c r="D97" s="58" t="s">
        <v>319</v>
      </c>
      <c r="E97" s="445"/>
      <c r="F97" s="445"/>
      <c r="G97" s="450"/>
      <c r="H97" s="452">
        <f t="shared" ref="H97" si="93">G97*$F$92</f>
        <v>0</v>
      </c>
      <c r="I97" s="452">
        <f t="shared" ref="I97" si="94">H97*$F$92</f>
        <v>0</v>
      </c>
      <c r="J97" s="452">
        <f t="shared" ref="J97" si="95">I97*$F$92</f>
        <v>0</v>
      </c>
      <c r="K97" s="452">
        <f t="shared" ref="K97" si="96">J97*$F$92</f>
        <v>0</v>
      </c>
      <c r="L97" s="452">
        <f t="shared" ref="L97" si="97">K97*$F$92</f>
        <v>0</v>
      </c>
      <c r="M97" s="452">
        <f t="shared" ref="M97" si="98">L97*$F$92</f>
        <v>0</v>
      </c>
      <c r="N97" s="452">
        <f t="shared" ref="N97" si="99">M97*$F$92</f>
        <v>0</v>
      </c>
      <c r="O97" s="452">
        <f t="shared" ref="O97" si="100">N97*$F$92</f>
        <v>0</v>
      </c>
      <c r="P97" s="452">
        <f t="shared" ref="P97" si="101">O97*$F$92</f>
        <v>0</v>
      </c>
      <c r="R97" s="570"/>
      <c r="S97" s="570"/>
      <c r="T97" s="570"/>
      <c r="U97" s="570"/>
      <c r="V97" s="570"/>
      <c r="W97" s="570"/>
      <c r="X97" s="570"/>
    </row>
    <row r="98" spans="1:24" ht="12.75" customHeight="1" outlineLevel="1" x14ac:dyDescent="0.2">
      <c r="D98" s="58" t="s">
        <v>320</v>
      </c>
      <c r="E98" s="445"/>
      <c r="F98" s="445"/>
      <c r="G98" s="445"/>
      <c r="H98" s="450"/>
      <c r="I98" s="452">
        <f t="shared" ref="I98" si="102">H98*$F$92</f>
        <v>0</v>
      </c>
      <c r="J98" s="452">
        <f t="shared" ref="J98" si="103">I98*$F$92</f>
        <v>0</v>
      </c>
      <c r="K98" s="452">
        <f t="shared" ref="K98" si="104">J98*$F$92</f>
        <v>0</v>
      </c>
      <c r="L98" s="452">
        <f t="shared" ref="L98" si="105">K98*$F$92</f>
        <v>0</v>
      </c>
      <c r="M98" s="452">
        <f t="shared" ref="M98" si="106">L98*$F$92</f>
        <v>0</v>
      </c>
      <c r="N98" s="452">
        <f t="shared" ref="N98" si="107">M98*$F$92</f>
        <v>0</v>
      </c>
      <c r="O98" s="452">
        <f t="shared" ref="O98" si="108">N98*$F$92</f>
        <v>0</v>
      </c>
      <c r="P98" s="452">
        <f t="shared" ref="P98" si="109">O98*$F$92</f>
        <v>0</v>
      </c>
      <c r="R98" s="570"/>
      <c r="S98" s="570"/>
      <c r="T98" s="570"/>
      <c r="U98" s="570"/>
      <c r="V98" s="570"/>
      <c r="W98" s="570"/>
      <c r="X98" s="570"/>
    </row>
    <row r="99" spans="1:24" ht="12.75" customHeight="1" outlineLevel="1" x14ac:dyDescent="0.2">
      <c r="D99" s="58" t="s">
        <v>321</v>
      </c>
      <c r="E99" s="445"/>
      <c r="F99" s="445"/>
      <c r="G99" s="445"/>
      <c r="H99" s="445"/>
      <c r="I99" s="450"/>
      <c r="J99" s="452">
        <f t="shared" ref="J99" si="110">I99*$F$92</f>
        <v>0</v>
      </c>
      <c r="K99" s="452">
        <f t="shared" ref="K99" si="111">J99*$F$92</f>
        <v>0</v>
      </c>
      <c r="L99" s="452">
        <f t="shared" ref="L99" si="112">K99*$F$92</f>
        <v>0</v>
      </c>
      <c r="M99" s="452">
        <f t="shared" ref="M99" si="113">L99*$F$92</f>
        <v>0</v>
      </c>
      <c r="N99" s="452">
        <f t="shared" ref="N99" si="114">M99*$F$92</f>
        <v>0</v>
      </c>
      <c r="O99" s="452">
        <f t="shared" ref="O99" si="115">N99*$F$92</f>
        <v>0</v>
      </c>
      <c r="P99" s="452">
        <f t="shared" ref="P99" si="116">O99*$F$92</f>
        <v>0</v>
      </c>
      <c r="R99" s="570"/>
      <c r="S99" s="570"/>
      <c r="T99" s="570"/>
      <c r="U99" s="570"/>
      <c r="V99" s="570"/>
      <c r="W99" s="570"/>
      <c r="X99" s="570"/>
    </row>
    <row r="100" spans="1:24" ht="12.75" customHeight="1" outlineLevel="1" x14ac:dyDescent="0.2">
      <c r="D100" s="58" t="s">
        <v>322</v>
      </c>
      <c r="E100" s="445"/>
      <c r="F100" s="445"/>
      <c r="G100" s="445"/>
      <c r="H100" s="445"/>
      <c r="I100" s="445"/>
      <c r="J100" s="450"/>
      <c r="K100" s="452">
        <f t="shared" ref="K100" si="117">J100*$F$92</f>
        <v>0</v>
      </c>
      <c r="L100" s="452">
        <f t="shared" ref="L100" si="118">K100*$F$92</f>
        <v>0</v>
      </c>
      <c r="M100" s="452">
        <f t="shared" ref="M100" si="119">L100*$F$92</f>
        <v>0</v>
      </c>
      <c r="N100" s="452">
        <f t="shared" ref="N100" si="120">M100*$F$92</f>
        <v>0</v>
      </c>
      <c r="O100" s="452">
        <f t="shared" ref="O100" si="121">N100*$F$92</f>
        <v>0</v>
      </c>
      <c r="P100" s="452">
        <f t="shared" ref="P100" si="122">O100*$F$92</f>
        <v>0</v>
      </c>
      <c r="R100" s="570"/>
      <c r="S100" s="570"/>
      <c r="T100" s="570"/>
      <c r="U100" s="570"/>
      <c r="V100" s="570"/>
      <c r="W100" s="570"/>
      <c r="X100" s="570"/>
    </row>
    <row r="101" spans="1:24" ht="12.75" customHeight="1" outlineLevel="1" x14ac:dyDescent="0.2">
      <c r="D101" s="58" t="s">
        <v>523</v>
      </c>
      <c r="E101" s="445"/>
      <c r="F101" s="445"/>
      <c r="G101" s="445"/>
      <c r="H101" s="445"/>
      <c r="I101" s="445"/>
      <c r="J101" s="445"/>
      <c r="K101" s="450"/>
      <c r="L101" s="452">
        <f t="shared" ref="L101" si="123">K101*$F$92</f>
        <v>0</v>
      </c>
      <c r="M101" s="452">
        <f t="shared" ref="M101" si="124">L101*$F$92</f>
        <v>0</v>
      </c>
      <c r="N101" s="452">
        <f t="shared" ref="N101" si="125">M101*$F$92</f>
        <v>0</v>
      </c>
      <c r="O101" s="452">
        <f t="shared" ref="O101" si="126">N101*$F$92</f>
        <v>0</v>
      </c>
      <c r="P101" s="452">
        <f t="shared" ref="P101" si="127">O101*$F$92</f>
        <v>0</v>
      </c>
      <c r="R101" s="570"/>
      <c r="S101" s="570"/>
      <c r="T101" s="570"/>
      <c r="U101" s="570"/>
      <c r="V101" s="570"/>
      <c r="W101" s="570"/>
      <c r="X101" s="570"/>
    </row>
    <row r="102" spans="1:24" ht="12.75" customHeight="1" outlineLevel="1" x14ac:dyDescent="0.2">
      <c r="D102" s="58" t="s">
        <v>524</v>
      </c>
      <c r="E102" s="445"/>
      <c r="F102" s="445"/>
      <c r="G102" s="445"/>
      <c r="H102" s="445"/>
      <c r="I102" s="445"/>
      <c r="J102" s="445"/>
      <c r="K102" s="445"/>
      <c r="L102" s="450"/>
      <c r="M102" s="452">
        <f t="shared" ref="M102" si="128">L102*$F$92</f>
        <v>0</v>
      </c>
      <c r="N102" s="452">
        <f t="shared" ref="N102" si="129">M102*$F$92</f>
        <v>0</v>
      </c>
      <c r="O102" s="452">
        <f t="shared" ref="O102" si="130">N102*$F$92</f>
        <v>0</v>
      </c>
      <c r="P102" s="452">
        <f t="shared" ref="P102" si="131">O102*$F$92</f>
        <v>0</v>
      </c>
      <c r="R102" s="570"/>
      <c r="S102" s="570"/>
      <c r="T102" s="570"/>
      <c r="U102" s="570"/>
      <c r="V102" s="570"/>
      <c r="W102" s="570"/>
      <c r="X102" s="570"/>
    </row>
    <row r="103" spans="1:24" ht="12.75" customHeight="1" outlineLevel="1" x14ac:dyDescent="0.2">
      <c r="D103" s="58" t="s">
        <v>525</v>
      </c>
      <c r="E103" s="445"/>
      <c r="F103" s="445"/>
      <c r="G103" s="445"/>
      <c r="H103" s="445"/>
      <c r="I103" s="445"/>
      <c r="J103" s="445"/>
      <c r="K103" s="445"/>
      <c r="L103" s="445"/>
      <c r="M103" s="450"/>
      <c r="N103" s="452">
        <f t="shared" ref="N103" si="132">M103*$F$92</f>
        <v>0</v>
      </c>
      <c r="O103" s="452">
        <f t="shared" ref="O103" si="133">N103*$F$92</f>
        <v>0</v>
      </c>
      <c r="P103" s="452">
        <f t="shared" ref="P103" si="134">O103*$F$92</f>
        <v>0</v>
      </c>
      <c r="R103" s="570"/>
      <c r="S103" s="570"/>
      <c r="T103" s="570"/>
      <c r="U103" s="570"/>
      <c r="V103" s="570"/>
      <c r="W103" s="570"/>
      <c r="X103" s="570"/>
    </row>
    <row r="104" spans="1:24" ht="12.75" customHeight="1" outlineLevel="1" x14ac:dyDescent="0.2">
      <c r="D104" s="58" t="s">
        <v>526</v>
      </c>
      <c r="E104" s="445"/>
      <c r="F104" s="445"/>
      <c r="G104" s="445"/>
      <c r="H104" s="445"/>
      <c r="I104" s="445"/>
      <c r="J104" s="445"/>
      <c r="K104" s="445"/>
      <c r="L104" s="445"/>
      <c r="M104" s="445"/>
      <c r="N104" s="449"/>
      <c r="O104" s="452">
        <f t="shared" ref="O104" si="135">N104*$F$92</f>
        <v>0</v>
      </c>
      <c r="P104" s="452">
        <f t="shared" ref="P104" si="136">O104*$F$92</f>
        <v>0</v>
      </c>
      <c r="R104" s="570"/>
      <c r="S104" s="570"/>
      <c r="T104" s="570"/>
      <c r="U104" s="570"/>
      <c r="V104" s="570"/>
      <c r="W104" s="570"/>
      <c r="X104" s="570"/>
    </row>
    <row r="105" spans="1:24" ht="12.75" customHeight="1" outlineLevel="1" x14ac:dyDescent="0.2">
      <c r="D105" s="58" t="s">
        <v>527</v>
      </c>
      <c r="E105" s="445"/>
      <c r="F105" s="445"/>
      <c r="G105" s="445"/>
      <c r="H105" s="445"/>
      <c r="I105" s="445"/>
      <c r="J105" s="445"/>
      <c r="K105" s="445"/>
      <c r="L105" s="445"/>
      <c r="M105" s="445"/>
      <c r="N105" s="446"/>
      <c r="O105" s="449"/>
      <c r="P105" s="452">
        <f t="shared" ref="P105" si="137">O105*$F$92</f>
        <v>0</v>
      </c>
      <c r="R105" s="570"/>
      <c r="S105" s="570"/>
      <c r="T105" s="570"/>
      <c r="U105" s="570"/>
      <c r="V105" s="570"/>
      <c r="W105" s="570"/>
      <c r="X105" s="570"/>
    </row>
    <row r="106" spans="1:24" ht="12.75" customHeight="1" outlineLevel="1" x14ac:dyDescent="0.2">
      <c r="D106" s="58" t="s">
        <v>528</v>
      </c>
      <c r="E106" s="445"/>
      <c r="F106" s="445"/>
      <c r="G106" s="445"/>
      <c r="H106" s="445"/>
      <c r="I106" s="445"/>
      <c r="J106" s="445"/>
      <c r="K106" s="445"/>
      <c r="L106" s="445"/>
      <c r="M106" s="445"/>
      <c r="N106" s="446"/>
      <c r="O106" s="446"/>
      <c r="P106" s="449"/>
      <c r="R106" s="570"/>
      <c r="S106" s="570"/>
      <c r="T106" s="570"/>
      <c r="U106" s="570"/>
      <c r="V106" s="570"/>
      <c r="W106" s="570"/>
      <c r="X106" s="570"/>
    </row>
    <row r="107" spans="1:24" ht="12.75" customHeight="1" outlineLevel="1" x14ac:dyDescent="0.2">
      <c r="J107" s="441" t="s">
        <v>76</v>
      </c>
      <c r="K107" s="451">
        <f>SUM(K95:K100)</f>
        <v>0</v>
      </c>
      <c r="L107" s="451">
        <f>SUM(L95:L101)</f>
        <v>0</v>
      </c>
      <c r="M107" s="451">
        <f>SUM(M95:M102)</f>
        <v>0</v>
      </c>
      <c r="N107" s="451">
        <f>SUM(N95:N103)</f>
        <v>0</v>
      </c>
      <c r="O107" s="451">
        <f>SUM(O95:O104)</f>
        <v>0</v>
      </c>
      <c r="P107" s="451">
        <f>SUM(P95:P105)</f>
        <v>0</v>
      </c>
      <c r="R107" s="570"/>
      <c r="S107" s="570"/>
      <c r="T107" s="570"/>
      <c r="U107" s="570"/>
      <c r="V107" s="570"/>
      <c r="W107" s="570"/>
      <c r="X107" s="570"/>
    </row>
    <row r="108" spans="1:24" ht="12.75" customHeight="1" outlineLevel="1" x14ac:dyDescent="0.2">
      <c r="R108" s="570"/>
      <c r="S108" s="570"/>
      <c r="T108" s="570"/>
      <c r="U108" s="570"/>
      <c r="V108" s="570"/>
      <c r="W108" s="570"/>
      <c r="X108" s="570"/>
    </row>
    <row r="109" spans="1:24" s="570" customFormat="1" ht="12.75" customHeight="1" x14ac:dyDescent="0.2"/>
    <row r="110" spans="1:24" ht="15.75" x14ac:dyDescent="0.2">
      <c r="A110" s="287"/>
      <c r="B110" s="83">
        <f>IF(F112&lt;&gt;"",1,0)</f>
        <v>0</v>
      </c>
      <c r="C110" s="83">
        <v>5</v>
      </c>
      <c r="D110" s="110" t="str">
        <f>IF(B110=0,MsgNotUsed, CONCATENATE("Prevalent pool ", C110, ": ", F112, " (", E118, "-", P118, ")"))</f>
        <v>** NOT USED **</v>
      </c>
      <c r="E110" s="178"/>
      <c r="F110" s="178"/>
      <c r="G110" s="178"/>
      <c r="H110" s="178"/>
      <c r="I110" s="268"/>
      <c r="J110" s="178"/>
      <c r="K110" s="178"/>
      <c r="L110" s="178"/>
      <c r="M110" s="371"/>
      <c r="N110" s="371"/>
      <c r="O110" s="371"/>
      <c r="P110" s="371"/>
      <c r="Q110" s="371"/>
      <c r="R110" s="371"/>
      <c r="S110" s="371"/>
      <c r="T110" s="371"/>
      <c r="U110" s="371"/>
      <c r="V110" s="371"/>
      <c r="W110" s="371"/>
      <c r="X110" s="371"/>
    </row>
    <row r="111" spans="1:24" ht="12.75" customHeight="1" outlineLevel="1" x14ac:dyDescent="0.2"/>
    <row r="112" spans="1:24" ht="12.75" customHeight="1" outlineLevel="1" x14ac:dyDescent="0.2">
      <c r="E112" s="58" t="s">
        <v>529</v>
      </c>
      <c r="F112" s="870"/>
      <c r="G112" s="848"/>
      <c r="H112" s="848"/>
      <c r="I112" s="848"/>
      <c r="J112" s="848"/>
      <c r="K112" s="849"/>
    </row>
    <row r="113" spans="4:16" ht="12.75" customHeight="1" outlineLevel="1" x14ac:dyDescent="0.2"/>
    <row r="114" spans="4:16" ht="12.75" customHeight="1" outlineLevel="1" x14ac:dyDescent="0.2">
      <c r="E114" s="58" t="s">
        <v>292</v>
      </c>
      <c r="F114" s="870"/>
      <c r="G114" s="848"/>
      <c r="H114" s="848"/>
      <c r="I114" s="848"/>
      <c r="J114" s="848"/>
      <c r="K114" s="849"/>
    </row>
    <row r="115" spans="4:16" ht="12.75" customHeight="1" outlineLevel="1" x14ac:dyDescent="0.2"/>
    <row r="116" spans="4:16" ht="12.75" customHeight="1" outlineLevel="1" x14ac:dyDescent="0.2">
      <c r="E116" s="58" t="s">
        <v>522</v>
      </c>
      <c r="F116" s="448"/>
    </row>
    <row r="117" spans="4:16" ht="12.75" customHeight="1" outlineLevel="1" x14ac:dyDescent="0.2"/>
    <row r="118" spans="4:16" ht="12.75" customHeight="1" outlineLevel="1" x14ac:dyDescent="0.2">
      <c r="D118" s="444"/>
      <c r="E118" s="432">
        <f t="shared" ref="E118" si="138">F118-1</f>
        <v>-6</v>
      </c>
      <c r="F118" s="432">
        <f t="shared" ref="F118" si="139">G118-1</f>
        <v>-5</v>
      </c>
      <c r="G118" s="432">
        <f t="shared" ref="G118" si="140">H118-1</f>
        <v>-4</v>
      </c>
      <c r="H118" s="432">
        <f t="shared" ref="H118" si="141">I118-1</f>
        <v>-3</v>
      </c>
      <c r="I118" s="432">
        <f t="shared" ref="I118" si="142">J118-1</f>
        <v>-2</v>
      </c>
      <c r="J118" s="432">
        <f>K118-1</f>
        <v>-1</v>
      </c>
      <c r="K118" s="432">
        <f>FirstYear</f>
        <v>0</v>
      </c>
      <c r="L118" s="432">
        <f>K118+1</f>
        <v>1</v>
      </c>
      <c r="M118" s="432">
        <f>L118+1</f>
        <v>2</v>
      </c>
      <c r="N118" s="432">
        <f>M118+1</f>
        <v>3</v>
      </c>
      <c r="O118" s="432">
        <f>N118+1</f>
        <v>4</v>
      </c>
      <c r="P118" s="432">
        <f>O118+1</f>
        <v>5</v>
      </c>
    </row>
    <row r="119" spans="4:16" ht="12.75" customHeight="1" outlineLevel="1" x14ac:dyDescent="0.2">
      <c r="D119" s="58" t="s">
        <v>317</v>
      </c>
      <c r="E119" s="450"/>
      <c r="F119" s="452">
        <f>E119*$F$116</f>
        <v>0</v>
      </c>
      <c r="G119" s="452">
        <f t="shared" ref="G119:P120" si="143">F119*$F$116</f>
        <v>0</v>
      </c>
      <c r="H119" s="452">
        <f t="shared" si="143"/>
        <v>0</v>
      </c>
      <c r="I119" s="452">
        <f t="shared" si="143"/>
        <v>0</v>
      </c>
      <c r="J119" s="452">
        <f t="shared" si="143"/>
        <v>0</v>
      </c>
      <c r="K119" s="452">
        <f t="shared" si="143"/>
        <v>0</v>
      </c>
      <c r="L119" s="452">
        <f t="shared" si="143"/>
        <v>0</v>
      </c>
      <c r="M119" s="452">
        <f t="shared" si="143"/>
        <v>0</v>
      </c>
      <c r="N119" s="452">
        <f t="shared" si="143"/>
        <v>0</v>
      </c>
      <c r="O119" s="452">
        <f t="shared" si="143"/>
        <v>0</v>
      </c>
      <c r="P119" s="452">
        <f t="shared" si="143"/>
        <v>0</v>
      </c>
    </row>
    <row r="120" spans="4:16" ht="12.75" customHeight="1" outlineLevel="1" x14ac:dyDescent="0.2">
      <c r="D120" s="58" t="s">
        <v>318</v>
      </c>
      <c r="E120" s="445"/>
      <c r="F120" s="450"/>
      <c r="G120" s="452">
        <f t="shared" si="143"/>
        <v>0</v>
      </c>
      <c r="H120" s="452">
        <f t="shared" ref="H120" si="144">G120*$F$116</f>
        <v>0</v>
      </c>
      <c r="I120" s="452">
        <f t="shared" ref="I120" si="145">H120*$F$116</f>
        <v>0</v>
      </c>
      <c r="J120" s="452">
        <f t="shared" ref="J120" si="146">I120*$F$116</f>
        <v>0</v>
      </c>
      <c r="K120" s="452">
        <f t="shared" ref="K120" si="147">J120*$F$116</f>
        <v>0</v>
      </c>
      <c r="L120" s="452">
        <f t="shared" ref="L120" si="148">K120*$F$116</f>
        <v>0</v>
      </c>
      <c r="M120" s="452">
        <f t="shared" ref="M120" si="149">L120*$F$116</f>
        <v>0</v>
      </c>
      <c r="N120" s="452">
        <f t="shared" ref="N120" si="150">M120*$F$116</f>
        <v>0</v>
      </c>
      <c r="O120" s="452">
        <f t="shared" ref="O120" si="151">N120*$F$116</f>
        <v>0</v>
      </c>
      <c r="P120" s="452">
        <f t="shared" ref="P120" si="152">O120*$F$116</f>
        <v>0</v>
      </c>
    </row>
    <row r="121" spans="4:16" ht="12.75" customHeight="1" outlineLevel="1" x14ac:dyDescent="0.2">
      <c r="D121" s="58" t="s">
        <v>319</v>
      </c>
      <c r="E121" s="445"/>
      <c r="F121" s="445"/>
      <c r="G121" s="450"/>
      <c r="H121" s="452">
        <f t="shared" ref="H121" si="153">G121*$F$116</f>
        <v>0</v>
      </c>
      <c r="I121" s="452">
        <f t="shared" ref="I121" si="154">H121*$F$116</f>
        <v>0</v>
      </c>
      <c r="J121" s="452">
        <f t="shared" ref="J121" si="155">I121*$F$116</f>
        <v>0</v>
      </c>
      <c r="K121" s="452">
        <f t="shared" ref="K121" si="156">J121*$F$116</f>
        <v>0</v>
      </c>
      <c r="L121" s="452">
        <f t="shared" ref="L121" si="157">K121*$F$116</f>
        <v>0</v>
      </c>
      <c r="M121" s="452">
        <f t="shared" ref="M121" si="158">L121*$F$116</f>
        <v>0</v>
      </c>
      <c r="N121" s="452">
        <f t="shared" ref="N121" si="159">M121*$F$116</f>
        <v>0</v>
      </c>
      <c r="O121" s="452">
        <f t="shared" ref="O121" si="160">N121*$F$116</f>
        <v>0</v>
      </c>
      <c r="P121" s="452">
        <f t="shared" ref="P121" si="161">O121*$F$116</f>
        <v>0</v>
      </c>
    </row>
    <row r="122" spans="4:16" ht="12.75" customHeight="1" outlineLevel="1" x14ac:dyDescent="0.2">
      <c r="D122" s="58" t="s">
        <v>320</v>
      </c>
      <c r="E122" s="445"/>
      <c r="F122" s="445"/>
      <c r="G122" s="445"/>
      <c r="H122" s="450"/>
      <c r="I122" s="452">
        <f t="shared" ref="I122" si="162">H122*$F$116</f>
        <v>0</v>
      </c>
      <c r="J122" s="452">
        <f t="shared" ref="J122" si="163">I122*$F$116</f>
        <v>0</v>
      </c>
      <c r="K122" s="452">
        <f t="shared" ref="K122" si="164">J122*$F$116</f>
        <v>0</v>
      </c>
      <c r="L122" s="452">
        <f t="shared" ref="L122" si="165">K122*$F$116</f>
        <v>0</v>
      </c>
      <c r="M122" s="452">
        <f t="shared" ref="M122" si="166">L122*$F$116</f>
        <v>0</v>
      </c>
      <c r="N122" s="452">
        <f t="shared" ref="N122" si="167">M122*$F$116</f>
        <v>0</v>
      </c>
      <c r="O122" s="452">
        <f t="shared" ref="O122" si="168">N122*$F$116</f>
        <v>0</v>
      </c>
      <c r="P122" s="452">
        <f t="shared" ref="P122" si="169">O122*$F$116</f>
        <v>0</v>
      </c>
    </row>
    <row r="123" spans="4:16" ht="12.75" customHeight="1" outlineLevel="1" x14ac:dyDescent="0.2">
      <c r="D123" s="58" t="s">
        <v>321</v>
      </c>
      <c r="E123" s="445"/>
      <c r="F123" s="445"/>
      <c r="G123" s="445"/>
      <c r="H123" s="445"/>
      <c r="I123" s="450"/>
      <c r="J123" s="452">
        <f t="shared" ref="J123" si="170">I123*$F$116</f>
        <v>0</v>
      </c>
      <c r="K123" s="452">
        <f t="shared" ref="K123" si="171">J123*$F$116</f>
        <v>0</v>
      </c>
      <c r="L123" s="452">
        <f t="shared" ref="L123" si="172">K123*$F$116</f>
        <v>0</v>
      </c>
      <c r="M123" s="452">
        <f t="shared" ref="M123" si="173">L123*$F$116</f>
        <v>0</v>
      </c>
      <c r="N123" s="452">
        <f t="shared" ref="N123" si="174">M123*$F$116</f>
        <v>0</v>
      </c>
      <c r="O123" s="452">
        <f t="shared" ref="O123" si="175">N123*$F$116</f>
        <v>0</v>
      </c>
      <c r="P123" s="452">
        <f t="shared" ref="P123" si="176">O123*$F$116</f>
        <v>0</v>
      </c>
    </row>
    <row r="124" spans="4:16" ht="12.75" customHeight="1" outlineLevel="1" x14ac:dyDescent="0.2">
      <c r="D124" s="58" t="s">
        <v>322</v>
      </c>
      <c r="E124" s="445"/>
      <c r="F124" s="445"/>
      <c r="G124" s="445"/>
      <c r="H124" s="445"/>
      <c r="I124" s="445"/>
      <c r="J124" s="450"/>
      <c r="K124" s="452">
        <f t="shared" ref="K124" si="177">J124*$F$116</f>
        <v>0</v>
      </c>
      <c r="L124" s="452">
        <f t="shared" ref="L124" si="178">K124*$F$116</f>
        <v>0</v>
      </c>
      <c r="M124" s="452">
        <f t="shared" ref="M124" si="179">L124*$F$116</f>
        <v>0</v>
      </c>
      <c r="N124" s="452">
        <f t="shared" ref="N124" si="180">M124*$F$116</f>
        <v>0</v>
      </c>
      <c r="O124" s="452">
        <f t="shared" ref="O124" si="181">N124*$F$116</f>
        <v>0</v>
      </c>
      <c r="P124" s="452">
        <f t="shared" ref="P124" si="182">O124*$F$116</f>
        <v>0</v>
      </c>
    </row>
    <row r="125" spans="4:16" ht="12.75" customHeight="1" outlineLevel="1" x14ac:dyDescent="0.2">
      <c r="D125" s="58" t="s">
        <v>523</v>
      </c>
      <c r="E125" s="445"/>
      <c r="F125" s="445"/>
      <c r="G125" s="445"/>
      <c r="H125" s="445"/>
      <c r="I125" s="445"/>
      <c r="J125" s="445"/>
      <c r="K125" s="450"/>
      <c r="L125" s="452">
        <f t="shared" ref="L125" si="183">K125*$F$116</f>
        <v>0</v>
      </c>
      <c r="M125" s="452">
        <f t="shared" ref="M125" si="184">L125*$F$116</f>
        <v>0</v>
      </c>
      <c r="N125" s="452">
        <f t="shared" ref="N125" si="185">M125*$F$116</f>
        <v>0</v>
      </c>
      <c r="O125" s="452">
        <f t="shared" ref="O125" si="186">N125*$F$116</f>
        <v>0</v>
      </c>
      <c r="P125" s="452">
        <f t="shared" ref="P125" si="187">O125*$F$116</f>
        <v>0</v>
      </c>
    </row>
    <row r="126" spans="4:16" ht="12.75" customHeight="1" outlineLevel="1" x14ac:dyDescent="0.2">
      <c r="D126" s="58" t="s">
        <v>524</v>
      </c>
      <c r="E126" s="445"/>
      <c r="F126" s="445"/>
      <c r="G126" s="445"/>
      <c r="H126" s="445"/>
      <c r="I126" s="445"/>
      <c r="J126" s="445"/>
      <c r="K126" s="445"/>
      <c r="L126" s="450"/>
      <c r="M126" s="452">
        <f t="shared" ref="M126" si="188">L126*$F$116</f>
        <v>0</v>
      </c>
      <c r="N126" s="452">
        <f t="shared" ref="N126" si="189">M126*$F$116</f>
        <v>0</v>
      </c>
      <c r="O126" s="452">
        <f t="shared" ref="O126" si="190">N126*$F$116</f>
        <v>0</v>
      </c>
      <c r="P126" s="452">
        <f t="shared" ref="P126" si="191">O126*$F$116</f>
        <v>0</v>
      </c>
    </row>
    <row r="127" spans="4:16" ht="12.75" customHeight="1" outlineLevel="1" x14ac:dyDescent="0.2">
      <c r="D127" s="58" t="s">
        <v>525</v>
      </c>
      <c r="E127" s="445"/>
      <c r="F127" s="445"/>
      <c r="G127" s="445"/>
      <c r="H127" s="445"/>
      <c r="I127" s="445"/>
      <c r="J127" s="445"/>
      <c r="K127" s="445"/>
      <c r="L127" s="445"/>
      <c r="M127" s="450"/>
      <c r="N127" s="452">
        <f t="shared" ref="N127" si="192">M127*$F$116</f>
        <v>0</v>
      </c>
      <c r="O127" s="452">
        <f t="shared" ref="O127" si="193">N127*$F$116</f>
        <v>0</v>
      </c>
      <c r="P127" s="452">
        <f t="shared" ref="P127" si="194">O127*$F$116</f>
        <v>0</v>
      </c>
    </row>
    <row r="128" spans="4:16" ht="12.75" customHeight="1" outlineLevel="1" x14ac:dyDescent="0.2">
      <c r="D128" s="58" t="s">
        <v>526</v>
      </c>
      <c r="E128" s="445"/>
      <c r="F128" s="445"/>
      <c r="G128" s="445"/>
      <c r="H128" s="445"/>
      <c r="I128" s="445"/>
      <c r="J128" s="445"/>
      <c r="K128" s="445"/>
      <c r="L128" s="445"/>
      <c r="M128" s="445"/>
      <c r="N128" s="449"/>
      <c r="O128" s="452">
        <f t="shared" ref="O128" si="195">N128*$F$116</f>
        <v>0</v>
      </c>
      <c r="P128" s="452">
        <f t="shared" ref="P128" si="196">O128*$F$116</f>
        <v>0</v>
      </c>
    </row>
    <row r="129" spans="4:16" ht="12.75" customHeight="1" outlineLevel="1" x14ac:dyDescent="0.2">
      <c r="D129" s="58" t="s">
        <v>527</v>
      </c>
      <c r="E129" s="445"/>
      <c r="F129" s="445"/>
      <c r="G129" s="445"/>
      <c r="H129" s="445"/>
      <c r="I129" s="445"/>
      <c r="J129" s="445"/>
      <c r="K129" s="445"/>
      <c r="L129" s="445"/>
      <c r="M129" s="445"/>
      <c r="N129" s="446"/>
      <c r="O129" s="449"/>
      <c r="P129" s="452">
        <f t="shared" ref="P129" si="197">O129*$F$116</f>
        <v>0</v>
      </c>
    </row>
    <row r="130" spans="4:16" ht="12.75" customHeight="1" outlineLevel="1" x14ac:dyDescent="0.2">
      <c r="D130" s="58" t="s">
        <v>528</v>
      </c>
      <c r="E130" s="445"/>
      <c r="F130" s="445"/>
      <c r="G130" s="445"/>
      <c r="H130" s="445"/>
      <c r="I130" s="445"/>
      <c r="J130" s="445"/>
      <c r="K130" s="445"/>
      <c r="L130" s="445"/>
      <c r="M130" s="445"/>
      <c r="N130" s="446"/>
      <c r="O130" s="446"/>
      <c r="P130" s="449"/>
    </row>
    <row r="131" spans="4:16" ht="12.75" customHeight="1" outlineLevel="1" x14ac:dyDescent="0.2">
      <c r="J131" s="441" t="s">
        <v>76</v>
      </c>
      <c r="K131" s="451">
        <f>SUM(K119:K124)</f>
        <v>0</v>
      </c>
      <c r="L131" s="451">
        <f>SUM(L119:L125)</f>
        <v>0</v>
      </c>
      <c r="M131" s="451">
        <f>SUM(M119:M126)</f>
        <v>0</v>
      </c>
      <c r="N131" s="451">
        <f>SUM(N119:N127)</f>
        <v>0</v>
      </c>
      <c r="O131" s="451">
        <f>SUM(O119:O128)</f>
        <v>0</v>
      </c>
      <c r="P131" s="451">
        <f>SUM(P119:P129)</f>
        <v>0</v>
      </c>
    </row>
  </sheetData>
  <mergeCells count="11">
    <mergeCell ref="F114:K114"/>
    <mergeCell ref="V1:X1"/>
    <mergeCell ref="F16:K16"/>
    <mergeCell ref="F40:K40"/>
    <mergeCell ref="F64:K64"/>
    <mergeCell ref="F88:K88"/>
    <mergeCell ref="F112:K112"/>
    <mergeCell ref="F18:K18"/>
    <mergeCell ref="F42:K42"/>
    <mergeCell ref="F66:K66"/>
    <mergeCell ref="F90:K90"/>
  </mergeCells>
  <conditionalFormatting sqref="F18:K18 F20 E23 F24 G25 H26 I27 J28 K29 L30 M31 N32 O33 P34">
    <cfRule type="expression" dxfId="4" priority="5">
      <formula>$F$16=""</formula>
    </cfRule>
  </conditionalFormatting>
  <conditionalFormatting sqref="F42:K42 F44 E47 F48 G49 H50 I51 J52 K53 L54 M55 N56 O57 P58">
    <cfRule type="expression" dxfId="3" priority="4">
      <formula>$F$40=""</formula>
    </cfRule>
  </conditionalFormatting>
  <conditionalFormatting sqref="F66:K66 F68 E71 F72 G73 H74 I75 J76 K77 L78 M79 N80 O81 P82">
    <cfRule type="expression" dxfId="2" priority="3">
      <formula>$F$64=""</formula>
    </cfRule>
  </conditionalFormatting>
  <conditionalFormatting sqref="F90:K90 F92 E95 F96 G97 H98 I99 J100 K101 L102 M103 N104 O105 P106">
    <cfRule type="expression" dxfId="1" priority="2">
      <formula>$F$88=""</formula>
    </cfRule>
  </conditionalFormatting>
  <conditionalFormatting sqref="F114:K114 F116 E119 F120 G121 H122 I123 J124 K125 L126 M127 N128 O129 P130">
    <cfRule type="expression" dxfId="0" priority="1">
      <formula>$F$112=""</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sheetPr>
  <dimension ref="A1:AS132"/>
  <sheetViews>
    <sheetView showGridLines="0" zoomScaleNormal="100" workbookViewId="0"/>
  </sheetViews>
  <sheetFormatPr defaultRowHeight="12.75" customHeight="1" x14ac:dyDescent="0.2"/>
  <cols>
    <col min="1" max="1" width="3.7109375" customWidth="1"/>
    <col min="2" max="3" width="20.7109375" customWidth="1"/>
    <col min="4" max="4" width="3.7109375" customWidth="1"/>
    <col min="5" max="5" width="15.7109375" customWidth="1"/>
    <col min="6" max="6" width="10.7109375" customWidth="1"/>
    <col min="7" max="7" width="3.7109375" customWidth="1"/>
    <col min="8" max="8" width="30.7109375" customWidth="1"/>
    <col min="9" max="9" width="3.7109375" customWidth="1"/>
    <col min="10" max="10" width="20.7109375" customWidth="1"/>
    <col min="11" max="11" width="3.7109375" customWidth="1"/>
    <col min="12" max="12" width="25.7109375" customWidth="1"/>
    <col min="13" max="13" width="3.7109375" customWidth="1"/>
    <col min="14" max="14" width="10.7109375" customWidth="1"/>
    <col min="15" max="15" width="3.7109375" customWidth="1"/>
    <col min="16" max="16" width="40.7109375" customWidth="1"/>
    <col min="17" max="18" width="3.7109375" customWidth="1"/>
    <col min="19" max="20" width="15.7109375" customWidth="1"/>
    <col min="21" max="22" width="3.7109375" customWidth="1"/>
    <col min="23" max="23" width="10.7109375" customWidth="1"/>
    <col min="24" max="24" width="25.7109375" customWidth="1"/>
    <col min="25" max="25" width="10.7109375" customWidth="1"/>
    <col min="26" max="27" width="3.7109375" customWidth="1"/>
    <col min="28" max="31" width="40.7109375" customWidth="1"/>
    <col min="32" max="33" width="3.7109375" customWidth="1"/>
    <col min="34" max="34" width="15.7109375" customWidth="1"/>
    <col min="35" max="35" width="125.7109375" customWidth="1"/>
    <col min="36" max="36" width="3.7109375" customWidth="1"/>
    <col min="37" max="43" width="10.7109375" customWidth="1"/>
  </cols>
  <sheetData>
    <row r="1" spans="1:43" ht="23.25" x14ac:dyDescent="0.2">
      <c r="A1" s="296"/>
      <c r="B1" s="297" t="s">
        <v>33</v>
      </c>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row>
    <row r="2" spans="1:43" ht="15.75" x14ac:dyDescent="0.2">
      <c r="A2" s="296"/>
      <c r="B2" s="298" t="s">
        <v>352</v>
      </c>
      <c r="C2" s="299"/>
      <c r="D2" s="296"/>
      <c r="E2" s="296"/>
      <c r="F2" s="296"/>
      <c r="G2" s="296"/>
      <c r="H2" s="539" t="str">
        <f>"Release " &amp; C6</f>
        <v>Release 3</v>
      </c>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row>
    <row r="3" spans="1:43" ht="15.75" x14ac:dyDescent="0.2">
      <c r="A3" s="296"/>
      <c r="B3" s="298" t="s">
        <v>353</v>
      </c>
      <c r="C3" s="299"/>
      <c r="D3" s="296"/>
      <c r="E3" s="296"/>
      <c r="F3" s="296"/>
      <c r="G3" s="296"/>
      <c r="H3" s="540" t="str">
        <f>"Version "&amp; C7 &amp; " - " &amp; DAY(C8) &amp; "/" &amp; MONTH(C8) &amp; "/" &amp; YEAR(C8)</f>
        <v>Version 10 - 17/2/2020</v>
      </c>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row>
    <row r="4" spans="1:43" x14ac:dyDescent="0.2">
      <c r="A4" s="104"/>
      <c r="B4" s="179"/>
      <c r="C4" s="179"/>
      <c r="D4" s="179"/>
      <c r="E4" s="179"/>
      <c r="F4" s="179"/>
      <c r="G4" s="179"/>
      <c r="H4" s="179"/>
      <c r="I4" s="179"/>
      <c r="J4" s="179"/>
      <c r="K4" s="179"/>
      <c r="L4" s="382"/>
      <c r="M4" s="382"/>
      <c r="N4" s="382"/>
      <c r="O4" s="382"/>
      <c r="P4" s="179"/>
      <c r="Q4" s="179"/>
      <c r="R4" s="382"/>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row>
    <row r="5" spans="1:43" x14ac:dyDescent="0.2">
      <c r="A5" s="104"/>
      <c r="B5" s="874" t="s">
        <v>557</v>
      </c>
      <c r="C5" s="875"/>
      <c r="D5" s="179"/>
      <c r="E5" s="874" t="s">
        <v>285</v>
      </c>
      <c r="F5" s="875"/>
      <c r="G5" s="179"/>
      <c r="H5" s="300" t="s">
        <v>153</v>
      </c>
      <c r="I5" s="179"/>
      <c r="J5" s="300" t="s">
        <v>231</v>
      </c>
      <c r="K5" s="179"/>
      <c r="L5" s="873" t="s">
        <v>656</v>
      </c>
      <c r="M5" s="873"/>
      <c r="N5" s="731"/>
      <c r="O5" s="382"/>
      <c r="P5" s="300" t="s">
        <v>316</v>
      </c>
      <c r="Q5" s="179"/>
      <c r="R5" s="873" t="s">
        <v>290</v>
      </c>
      <c r="S5" s="873"/>
      <c r="T5" s="873"/>
      <c r="U5" s="873"/>
      <c r="V5" s="179"/>
      <c r="W5" s="300" t="s">
        <v>283</v>
      </c>
      <c r="X5" s="300" t="s">
        <v>49</v>
      </c>
      <c r="Y5" s="300" t="s">
        <v>284</v>
      </c>
      <c r="Z5" s="179"/>
      <c r="AA5" s="179"/>
      <c r="AB5" s="873" t="s">
        <v>386</v>
      </c>
      <c r="AC5" s="873"/>
      <c r="AD5" s="873"/>
      <c r="AE5" s="731"/>
      <c r="AF5" s="179"/>
      <c r="AG5" s="179"/>
      <c r="AH5" s="100" t="s">
        <v>185</v>
      </c>
      <c r="AI5" s="389" t="s">
        <v>186</v>
      </c>
      <c r="AJ5" s="179"/>
      <c r="AK5" s="179"/>
      <c r="AL5" s="874" t="s">
        <v>386</v>
      </c>
      <c r="AM5" s="874"/>
      <c r="AN5" s="874"/>
      <c r="AO5" s="874"/>
      <c r="AP5" s="874"/>
      <c r="AQ5" s="874"/>
    </row>
    <row r="6" spans="1:43" x14ac:dyDescent="0.2">
      <c r="A6" s="247"/>
      <c r="B6" s="459" t="s">
        <v>686</v>
      </c>
      <c r="C6" s="389">
        <v>3</v>
      </c>
      <c r="D6" s="179"/>
      <c r="E6" s="389" t="s">
        <v>286</v>
      </c>
      <c r="F6" s="389">
        <v>2</v>
      </c>
      <c r="G6" s="179"/>
      <c r="H6" s="389" t="s">
        <v>154</v>
      </c>
      <c r="I6" s="179"/>
      <c r="J6" s="389" t="s">
        <v>91</v>
      </c>
      <c r="K6" s="179"/>
      <c r="L6" s="389" t="s">
        <v>112</v>
      </c>
      <c r="M6" s="513" t="s">
        <v>657</v>
      </c>
      <c r="N6" s="510">
        <v>41</v>
      </c>
      <c r="O6" s="202"/>
      <c r="P6" s="389" t="s">
        <v>783</v>
      </c>
      <c r="Q6" s="179"/>
      <c r="R6" s="560" t="s">
        <v>324</v>
      </c>
      <c r="S6" s="390" t="s">
        <v>784</v>
      </c>
      <c r="T6" s="390">
        <v>1</v>
      </c>
      <c r="U6" s="562" t="str">
        <f>R6</f>
        <v>I</v>
      </c>
      <c r="V6" s="179"/>
      <c r="W6" s="389" t="s">
        <v>197</v>
      </c>
      <c r="X6" s="389" t="s">
        <v>198</v>
      </c>
      <c r="Y6" s="389">
        <v>0</v>
      </c>
      <c r="Z6" s="179"/>
      <c r="AA6" s="179"/>
      <c r="AB6" s="300" t="s">
        <v>307</v>
      </c>
      <c r="AC6" s="300" t="s">
        <v>308</v>
      </c>
      <c r="AD6" s="300" t="s">
        <v>55</v>
      </c>
      <c r="AE6" s="434" t="s">
        <v>422</v>
      </c>
      <c r="AF6" s="179"/>
      <c r="AG6" s="179"/>
      <c r="AH6" s="100" t="s">
        <v>187</v>
      </c>
      <c r="AI6" s="389" t="s">
        <v>188</v>
      </c>
      <c r="AJ6" s="179"/>
      <c r="AK6" s="179"/>
      <c r="AL6" s="301">
        <f>FirstYear</f>
        <v>0</v>
      </c>
      <c r="AM6" s="93">
        <f>AL6+1</f>
        <v>1</v>
      </c>
      <c r="AN6" s="93">
        <f>AM6+1</f>
        <v>2</v>
      </c>
      <c r="AO6" s="93">
        <f>AN6+1</f>
        <v>3</v>
      </c>
      <c r="AP6" s="93">
        <f>AO6+1</f>
        <v>4</v>
      </c>
      <c r="AQ6" s="93">
        <f>AP6+1</f>
        <v>5</v>
      </c>
    </row>
    <row r="7" spans="1:43" x14ac:dyDescent="0.2">
      <c r="A7" s="247"/>
      <c r="B7" s="459" t="s">
        <v>687</v>
      </c>
      <c r="C7" s="389">
        <v>10</v>
      </c>
      <c r="D7" s="179"/>
      <c r="E7" s="389" t="s">
        <v>287</v>
      </c>
      <c r="F7" s="389">
        <v>0</v>
      </c>
      <c r="G7" s="179"/>
      <c r="H7" s="389" t="s">
        <v>155</v>
      </c>
      <c r="I7" s="179"/>
      <c r="J7" s="389" t="s">
        <v>92</v>
      </c>
      <c r="K7" s="179"/>
      <c r="L7" s="389" t="s">
        <v>113</v>
      </c>
      <c r="M7" s="513" t="s">
        <v>658</v>
      </c>
      <c r="N7" s="510">
        <v>6.6</v>
      </c>
      <c r="O7" s="202"/>
      <c r="P7" s="389" t="s">
        <v>315</v>
      </c>
      <c r="Q7" s="179"/>
      <c r="R7" s="561" t="s">
        <v>175</v>
      </c>
      <c r="S7" s="389" t="s">
        <v>63</v>
      </c>
      <c r="T7" s="389">
        <v>2</v>
      </c>
      <c r="U7" s="562" t="str">
        <f t="shared" ref="U7:U8" si="0">R7</f>
        <v>C</v>
      </c>
      <c r="V7" s="179"/>
      <c r="W7" s="389" t="s">
        <v>199</v>
      </c>
      <c r="X7" s="389" t="s">
        <v>200</v>
      </c>
      <c r="Y7" s="389">
        <v>1</v>
      </c>
      <c r="Z7" s="179"/>
      <c r="AA7" s="302">
        <v>1</v>
      </c>
      <c r="AB7" s="119" t="str">
        <f>'8. ABS population'!D19</f>
        <v>** NOT USED **</v>
      </c>
      <c r="AC7" s="119" t="str">
        <f>'9. AIHW population'!D19</f>
        <v>** NOT USED **</v>
      </c>
      <c r="AD7" s="119" t="str">
        <f>'10. Registry population'!D19</f>
        <v>** NOT USED **</v>
      </c>
      <c r="AE7" s="433" t="str">
        <f>'11. Prevalent population'!D14</f>
        <v>** NOT USED **</v>
      </c>
      <c r="AF7" s="179" t="s">
        <v>462</v>
      </c>
      <c r="AG7" s="179"/>
      <c r="AH7" s="100" t="s">
        <v>190</v>
      </c>
      <c r="AI7" s="389" t="s">
        <v>191</v>
      </c>
      <c r="AJ7" s="179"/>
      <c r="AK7" s="100" t="s">
        <v>366</v>
      </c>
      <c r="AL7" s="303">
        <f>'8. ABS population'!E8</f>
        <v>0</v>
      </c>
      <c r="AM7" s="303">
        <f>'8. ABS population'!F8</f>
        <v>0</v>
      </c>
      <c r="AN7" s="303">
        <f>'8. ABS population'!G8</f>
        <v>0</v>
      </c>
      <c r="AO7" s="303">
        <f>'8. ABS population'!H8</f>
        <v>0</v>
      </c>
      <c r="AP7" s="303">
        <f>'8. ABS population'!I8</f>
        <v>0</v>
      </c>
      <c r="AQ7" s="303">
        <f>'8. ABS population'!J8</f>
        <v>0</v>
      </c>
    </row>
    <row r="8" spans="1:43" x14ac:dyDescent="0.2">
      <c r="A8" s="247"/>
      <c r="B8" s="459" t="s">
        <v>688</v>
      </c>
      <c r="C8" s="456">
        <v>43878</v>
      </c>
      <c r="D8" s="179"/>
      <c r="E8" s="179"/>
      <c r="F8" s="179"/>
      <c r="G8" s="179"/>
      <c r="H8" s="389" t="s">
        <v>156</v>
      </c>
      <c r="I8" s="179"/>
      <c r="J8" s="389" t="s">
        <v>93</v>
      </c>
      <c r="K8" s="179"/>
      <c r="L8" s="389" t="s">
        <v>114</v>
      </c>
      <c r="M8" s="513" t="s">
        <v>659</v>
      </c>
      <c r="N8" s="511">
        <f>N7</f>
        <v>6.6</v>
      </c>
      <c r="O8" s="202"/>
      <c r="P8" s="179"/>
      <c r="Q8" s="179"/>
      <c r="R8" s="561" t="s">
        <v>325</v>
      </c>
      <c r="S8" s="389" t="s">
        <v>417</v>
      </c>
      <c r="T8" s="389">
        <v>3</v>
      </c>
      <c r="U8" s="562" t="str">
        <f t="shared" si="0"/>
        <v>IC</v>
      </c>
      <c r="V8" s="179"/>
      <c r="W8" s="389" t="s">
        <v>201</v>
      </c>
      <c r="X8" s="389" t="s">
        <v>971</v>
      </c>
      <c r="Y8" s="389">
        <v>0</v>
      </c>
      <c r="Z8" s="179"/>
      <c r="AA8" s="302">
        <v>2</v>
      </c>
      <c r="AB8" s="119" t="str">
        <f>'8. ABS population'!D37</f>
        <v>** NOT USED **</v>
      </c>
      <c r="AC8" s="119" t="str">
        <f>'9. AIHW population'!D36</f>
        <v>** NOT USED **</v>
      </c>
      <c r="AD8" s="119" t="str">
        <f>'10. Registry population'!D36</f>
        <v>** NOT USED **</v>
      </c>
      <c r="AE8" s="433" t="str">
        <f>'11. Prevalent population'!D38</f>
        <v>** NOT USED **</v>
      </c>
      <c r="AF8" s="179" t="s">
        <v>462</v>
      </c>
      <c r="AG8" s="179"/>
      <c r="AH8" s="304"/>
      <c r="AI8" s="305"/>
      <c r="AJ8" s="179"/>
      <c r="AK8" s="100" t="s">
        <v>367</v>
      </c>
      <c r="AL8" s="303">
        <f>'8. ABS population'!E9</f>
        <v>0</v>
      </c>
      <c r="AM8" s="303">
        <f>'8. ABS population'!F9</f>
        <v>0</v>
      </c>
      <c r="AN8" s="303">
        <f>'8. ABS population'!G9</f>
        <v>0</v>
      </c>
      <c r="AO8" s="303">
        <f>'8. ABS population'!H9</f>
        <v>0</v>
      </c>
      <c r="AP8" s="303">
        <f>'8. ABS population'!I9</f>
        <v>0</v>
      </c>
      <c r="AQ8" s="303">
        <f>'8. ABS population'!J9</f>
        <v>0</v>
      </c>
    </row>
    <row r="9" spans="1:43" x14ac:dyDescent="0.2">
      <c r="A9" s="247"/>
      <c r="B9" s="382"/>
      <c r="C9" s="382"/>
      <c r="D9" s="179"/>
      <c r="E9" s="179"/>
      <c r="F9" s="179"/>
      <c r="G9" s="179"/>
      <c r="H9" s="389" t="s">
        <v>157</v>
      </c>
      <c r="I9" s="179"/>
      <c r="J9" s="389" t="s">
        <v>94</v>
      </c>
      <c r="K9" s="179"/>
      <c r="L9" s="389" t="s">
        <v>115</v>
      </c>
      <c r="M9" s="513" t="s">
        <v>660</v>
      </c>
      <c r="N9" s="510">
        <v>0</v>
      </c>
      <c r="O9" s="202"/>
      <c r="P9" s="179"/>
      <c r="Q9" s="179"/>
      <c r="R9" s="561" t="s">
        <v>324</v>
      </c>
      <c r="S9" s="389" t="s">
        <v>60</v>
      </c>
      <c r="T9" s="389">
        <v>1</v>
      </c>
      <c r="U9" s="562" t="s">
        <v>324</v>
      </c>
      <c r="V9" s="179"/>
      <c r="W9" s="389" t="s">
        <v>196</v>
      </c>
      <c r="X9" s="389" t="s">
        <v>970</v>
      </c>
      <c r="Y9" s="389">
        <v>0</v>
      </c>
      <c r="Z9" s="179"/>
      <c r="AA9" s="302">
        <v>3</v>
      </c>
      <c r="AB9" s="119" t="str">
        <f>'8. ABS population'!D55</f>
        <v>** NOT USED **</v>
      </c>
      <c r="AC9" s="119" t="str">
        <f>'9. AIHW population'!D53</f>
        <v>** NOT USED **</v>
      </c>
      <c r="AD9" s="119" t="str">
        <f>'10. Registry population'!D53</f>
        <v>** NOT USED **</v>
      </c>
      <c r="AE9" s="433" t="str">
        <f>'11. Prevalent population'!D62</f>
        <v>** NOT USED **</v>
      </c>
      <c r="AF9" s="179" t="s">
        <v>462</v>
      </c>
      <c r="AG9" s="179"/>
      <c r="AH9" s="100" t="s">
        <v>193</v>
      </c>
      <c r="AI9" s="389" t="s">
        <v>418</v>
      </c>
      <c r="AJ9" s="179"/>
      <c r="AK9" s="100" t="s">
        <v>368</v>
      </c>
      <c r="AL9" s="303">
        <f>'8. ABS population'!E10</f>
        <v>0</v>
      </c>
      <c r="AM9" s="303">
        <f>'8. ABS population'!F10</f>
        <v>0</v>
      </c>
      <c r="AN9" s="303">
        <f>'8. ABS population'!G10</f>
        <v>0</v>
      </c>
      <c r="AO9" s="303">
        <f>'8. ABS population'!H10</f>
        <v>0</v>
      </c>
      <c r="AP9" s="303">
        <f>'8. ABS population'!I10</f>
        <v>0</v>
      </c>
      <c r="AQ9" s="303">
        <f>'8. ABS population'!J10</f>
        <v>0</v>
      </c>
    </row>
    <row r="10" spans="1:43" x14ac:dyDescent="0.2">
      <c r="A10" s="247"/>
      <c r="B10" s="382"/>
      <c r="C10" s="382"/>
      <c r="D10" s="179"/>
      <c r="E10" s="179"/>
      <c r="F10" s="179"/>
      <c r="G10" s="179"/>
      <c r="H10" s="179"/>
      <c r="I10" s="179"/>
      <c r="J10" s="389" t="s">
        <v>96</v>
      </c>
      <c r="K10" s="179"/>
      <c r="L10" s="389" t="s">
        <v>116</v>
      </c>
      <c r="M10" s="513" t="s">
        <v>225</v>
      </c>
      <c r="N10" s="511">
        <f>N7</f>
        <v>6.6</v>
      </c>
      <c r="O10" s="202"/>
      <c r="P10" s="179"/>
      <c r="Q10" s="179"/>
      <c r="R10" s="382"/>
      <c r="S10" s="179"/>
      <c r="T10" s="179"/>
      <c r="U10" s="179"/>
      <c r="V10" s="179"/>
      <c r="W10" s="389" t="s">
        <v>202</v>
      </c>
      <c r="X10" s="389" t="s">
        <v>203</v>
      </c>
      <c r="Y10" s="389">
        <v>0</v>
      </c>
      <c r="Z10" s="179"/>
      <c r="AA10" s="302">
        <v>4</v>
      </c>
      <c r="AB10" s="119" t="str">
        <f>'8. ABS population'!D73</f>
        <v>** NOT USED **</v>
      </c>
      <c r="AC10" s="119" t="str">
        <f>'9. AIHW population'!D70</f>
        <v>** NOT USED **</v>
      </c>
      <c r="AD10" s="119" t="str">
        <f>'10. Registry population'!D70</f>
        <v>** NOT USED **</v>
      </c>
      <c r="AE10" s="433" t="str">
        <f>'11. Prevalent population'!D86</f>
        <v>** NOT USED **</v>
      </c>
      <c r="AF10" s="179" t="s">
        <v>462</v>
      </c>
      <c r="AG10" s="179"/>
      <c r="AH10" s="100" t="s">
        <v>187</v>
      </c>
      <c r="AI10" s="389" t="s">
        <v>242</v>
      </c>
      <c r="AJ10" s="179"/>
      <c r="AK10" s="100" t="s">
        <v>369</v>
      </c>
      <c r="AL10" s="303">
        <f>'8. ABS population'!E11</f>
        <v>0</v>
      </c>
      <c r="AM10" s="303">
        <f>'8. ABS population'!F11</f>
        <v>0</v>
      </c>
      <c r="AN10" s="303">
        <f>'8. ABS population'!G11</f>
        <v>0</v>
      </c>
      <c r="AO10" s="303">
        <f>'8. ABS population'!H11</f>
        <v>0</v>
      </c>
      <c r="AP10" s="303">
        <f>'8. ABS population'!I11</f>
        <v>0</v>
      </c>
      <c r="AQ10" s="303">
        <f>'8. ABS population'!J11</f>
        <v>0</v>
      </c>
    </row>
    <row r="11" spans="1:43" x14ac:dyDescent="0.2">
      <c r="A11" s="247"/>
      <c r="B11" s="382"/>
      <c r="C11" s="382"/>
      <c r="D11" s="179"/>
      <c r="E11" s="179"/>
      <c r="F11" s="179"/>
      <c r="G11" s="179"/>
      <c r="H11" s="179"/>
      <c r="I11" s="179"/>
      <c r="J11" s="389" t="s">
        <v>97</v>
      </c>
      <c r="K11" s="179"/>
      <c r="L11" s="389" t="s">
        <v>117</v>
      </c>
      <c r="M11" s="513" t="s">
        <v>661</v>
      </c>
      <c r="N11" s="511">
        <f>N9</f>
        <v>0</v>
      </c>
      <c r="O11" s="202"/>
      <c r="P11" s="179"/>
      <c r="Q11" s="179"/>
      <c r="R11" s="382"/>
      <c r="S11" s="179"/>
      <c r="T11" s="179"/>
      <c r="U11" s="179"/>
      <c r="V11" s="179"/>
      <c r="W11" s="389" t="s">
        <v>204</v>
      </c>
      <c r="X11" s="389" t="s">
        <v>205</v>
      </c>
      <c r="Y11" s="389">
        <v>0</v>
      </c>
      <c r="Z11" s="179"/>
      <c r="AA11" s="302">
        <v>5</v>
      </c>
      <c r="AB11" s="119" t="str">
        <f>'8. ABS population'!D91</f>
        <v>** NOT USED **</v>
      </c>
      <c r="AC11" s="119" t="str">
        <f>'9. AIHW population'!D87</f>
        <v>** NOT USED **</v>
      </c>
      <c r="AD11" s="119" t="str">
        <f>'10. Registry population'!D87</f>
        <v>** NOT USED **</v>
      </c>
      <c r="AE11" s="433" t="str">
        <f>'11. Prevalent population'!D110</f>
        <v>** NOT USED **</v>
      </c>
      <c r="AF11" s="179" t="s">
        <v>462</v>
      </c>
      <c r="AG11" s="179"/>
      <c r="AH11" s="100" t="s">
        <v>190</v>
      </c>
      <c r="AI11" s="389" t="s">
        <v>243</v>
      </c>
      <c r="AJ11" s="179"/>
      <c r="AK11" s="100" t="s">
        <v>370</v>
      </c>
      <c r="AL11" s="303">
        <f>'8. ABS population'!E12</f>
        <v>0</v>
      </c>
      <c r="AM11" s="303">
        <f>'8. ABS population'!F12</f>
        <v>0</v>
      </c>
      <c r="AN11" s="303">
        <f>'8. ABS population'!G12</f>
        <v>0</v>
      </c>
      <c r="AO11" s="303">
        <f>'8. ABS population'!H12</f>
        <v>0</v>
      </c>
      <c r="AP11" s="303">
        <f>'8. ABS population'!I12</f>
        <v>0</v>
      </c>
      <c r="AQ11" s="303">
        <f>'8. ABS population'!J12</f>
        <v>0</v>
      </c>
    </row>
    <row r="12" spans="1:43" x14ac:dyDescent="0.2">
      <c r="A12" s="247"/>
      <c r="B12" s="382"/>
      <c r="C12" s="382"/>
      <c r="D12" s="179"/>
      <c r="E12" s="179"/>
      <c r="F12" s="179"/>
      <c r="G12" s="179"/>
      <c r="H12" s="179"/>
      <c r="I12" s="179"/>
      <c r="J12" s="389" t="s">
        <v>95</v>
      </c>
      <c r="K12" s="179"/>
      <c r="L12" s="382"/>
      <c r="M12" s="382"/>
      <c r="N12" s="382"/>
      <c r="O12" s="382"/>
      <c r="P12" s="179"/>
      <c r="Q12" s="179"/>
      <c r="R12" s="382"/>
      <c r="S12" s="179"/>
      <c r="T12" s="179"/>
      <c r="U12" s="179"/>
      <c r="V12" s="179"/>
      <c r="W12" s="389" t="s">
        <v>206</v>
      </c>
      <c r="X12" s="389" t="s">
        <v>207</v>
      </c>
      <c r="Y12" s="389">
        <v>0</v>
      </c>
      <c r="Z12" s="179"/>
      <c r="AA12" s="302">
        <v>6</v>
      </c>
      <c r="AB12" s="119" t="str">
        <f>'8. ABS population'!D109</f>
        <v>** NOT USED **</v>
      </c>
      <c r="AC12" s="119" t="str">
        <f>'9. AIHW population'!D104</f>
        <v>** NOT USED **</v>
      </c>
      <c r="AD12" s="119" t="str">
        <f>'10. Registry population'!D104</f>
        <v>** NOT USED **</v>
      </c>
      <c r="AE12" s="454" t="str">
        <f>MsgNotUsed</f>
        <v>** NOT USED **</v>
      </c>
      <c r="AF12" s="179" t="s">
        <v>462</v>
      </c>
      <c r="AG12" s="179"/>
      <c r="AH12" s="304"/>
      <c r="AI12" s="305"/>
      <c r="AJ12" s="179"/>
      <c r="AK12" s="100" t="s">
        <v>387</v>
      </c>
      <c r="AL12" s="303">
        <f>'8. ABS population'!E13</f>
        <v>0</v>
      </c>
      <c r="AM12" s="303">
        <f>'8. ABS population'!F13</f>
        <v>0</v>
      </c>
      <c r="AN12" s="303">
        <f>'8. ABS population'!G13</f>
        <v>0</v>
      </c>
      <c r="AO12" s="303">
        <f>'8. ABS population'!H13</f>
        <v>0</v>
      </c>
      <c r="AP12" s="303">
        <f>'8. ABS population'!I13</f>
        <v>0</v>
      </c>
      <c r="AQ12" s="303">
        <f>'8. ABS population'!J13</f>
        <v>0</v>
      </c>
    </row>
    <row r="13" spans="1:43" x14ac:dyDescent="0.2">
      <c r="A13" s="247"/>
      <c r="B13" s="382"/>
      <c r="C13" s="382"/>
      <c r="D13" s="382"/>
      <c r="E13" s="382"/>
      <c r="F13" s="382"/>
      <c r="G13" s="382"/>
      <c r="H13" s="382"/>
      <c r="I13" s="179"/>
      <c r="J13" s="389" t="s">
        <v>99</v>
      </c>
      <c r="K13" s="179"/>
      <c r="L13" s="382"/>
      <c r="M13" s="382"/>
      <c r="N13" s="382"/>
      <c r="O13" s="382"/>
      <c r="P13" s="179"/>
      <c r="Q13" s="179"/>
      <c r="R13" s="382"/>
      <c r="S13" s="179"/>
      <c r="T13" s="179"/>
      <c r="U13" s="179"/>
      <c r="V13" s="179"/>
      <c r="W13" s="389" t="s">
        <v>209</v>
      </c>
      <c r="X13" s="389" t="s">
        <v>210</v>
      </c>
      <c r="Y13" s="389">
        <v>0</v>
      </c>
      <c r="Z13" s="179"/>
      <c r="AA13" s="302">
        <v>7</v>
      </c>
      <c r="AB13" s="119" t="str">
        <f>'8. ABS population'!D127</f>
        <v>** NOT USED **</v>
      </c>
      <c r="AC13" s="119" t="str">
        <f>'9. AIHW population'!D121</f>
        <v>** NOT USED **</v>
      </c>
      <c r="AD13" s="119" t="str">
        <f>'10. Registry population'!D121</f>
        <v>** NOT USED **</v>
      </c>
      <c r="AE13" s="454" t="str">
        <f>MsgNotUsed</f>
        <v>** NOT USED **</v>
      </c>
      <c r="AF13" s="179" t="s">
        <v>462</v>
      </c>
      <c r="AG13" s="179"/>
      <c r="AH13" s="100" t="s">
        <v>194</v>
      </c>
      <c r="AI13" s="389" t="s">
        <v>419</v>
      </c>
      <c r="AJ13" s="179"/>
      <c r="AK13" s="100" t="s">
        <v>388</v>
      </c>
      <c r="AL13" s="303">
        <f>'8. ABS population'!E14</f>
        <v>0</v>
      </c>
      <c r="AM13" s="303">
        <f>'8. ABS population'!F14</f>
        <v>0</v>
      </c>
      <c r="AN13" s="303">
        <f>'8. ABS population'!G14</f>
        <v>0</v>
      </c>
      <c r="AO13" s="303">
        <f>'8. ABS population'!H14</f>
        <v>0</v>
      </c>
      <c r="AP13" s="303">
        <f>'8. ABS population'!I14</f>
        <v>0</v>
      </c>
      <c r="AQ13" s="303">
        <f>'8. ABS population'!J14</f>
        <v>0</v>
      </c>
    </row>
    <row r="14" spans="1:43" x14ac:dyDescent="0.2">
      <c r="A14" s="247"/>
      <c r="B14" s="382"/>
      <c r="C14" s="382"/>
      <c r="D14" s="382"/>
      <c r="E14" s="382"/>
      <c r="F14" s="382"/>
      <c r="G14" s="382"/>
      <c r="H14" s="382"/>
      <c r="I14" s="179"/>
      <c r="J14" s="389" t="s">
        <v>100</v>
      </c>
      <c r="K14" s="179"/>
      <c r="L14" s="382"/>
      <c r="M14" s="382"/>
      <c r="N14" s="382"/>
      <c r="O14" s="382"/>
      <c r="P14" s="179"/>
      <c r="Q14" s="179"/>
      <c r="R14" s="382"/>
      <c r="S14" s="179"/>
      <c r="T14" s="179"/>
      <c r="U14" s="179"/>
      <c r="V14" s="179"/>
      <c r="W14" s="389" t="s">
        <v>211</v>
      </c>
      <c r="X14" s="389" t="s">
        <v>212</v>
      </c>
      <c r="Y14" s="389">
        <v>1</v>
      </c>
      <c r="Z14" s="179"/>
      <c r="AA14" s="302">
        <v>8</v>
      </c>
      <c r="AB14" s="119" t="str">
        <f>'8. ABS population'!D145</f>
        <v>** NOT USED **</v>
      </c>
      <c r="AC14" s="119" t="str">
        <f>'9. AIHW population'!D138</f>
        <v>** NOT USED **</v>
      </c>
      <c r="AD14" s="119" t="str">
        <f>'10. Registry population'!D138</f>
        <v>** NOT USED **</v>
      </c>
      <c r="AE14" s="454" t="str">
        <f>MsgNotUsed</f>
        <v>** NOT USED **</v>
      </c>
      <c r="AF14" s="179" t="s">
        <v>462</v>
      </c>
      <c r="AG14" s="179"/>
      <c r="AH14" s="100" t="s">
        <v>187</v>
      </c>
      <c r="AI14" s="389" t="s">
        <v>244</v>
      </c>
      <c r="AJ14" s="179"/>
      <c r="AK14" s="100" t="s">
        <v>389</v>
      </c>
      <c r="AL14" s="303">
        <f>'8. ABS population'!E15</f>
        <v>0</v>
      </c>
      <c r="AM14" s="303">
        <f>'8. ABS population'!F15</f>
        <v>0</v>
      </c>
      <c r="AN14" s="303">
        <f>'8. ABS population'!G15</f>
        <v>0</v>
      </c>
      <c r="AO14" s="303">
        <f>'8. ABS population'!H15</f>
        <v>0</v>
      </c>
      <c r="AP14" s="303">
        <f>'8. ABS population'!I15</f>
        <v>0</v>
      </c>
      <c r="AQ14" s="303">
        <f>'8. ABS population'!J15</f>
        <v>0</v>
      </c>
    </row>
    <row r="15" spans="1:43" x14ac:dyDescent="0.2">
      <c r="A15" s="247"/>
      <c r="B15" s="382"/>
      <c r="C15" s="382"/>
      <c r="D15" s="382"/>
      <c r="E15" s="382"/>
      <c r="F15" s="382"/>
      <c r="G15" s="382"/>
      <c r="H15" s="382"/>
      <c r="I15" s="179"/>
      <c r="J15" s="389" t="s">
        <v>98</v>
      </c>
      <c r="K15" s="179"/>
      <c r="L15" s="382"/>
      <c r="M15" s="382"/>
      <c r="N15" s="382"/>
      <c r="O15" s="382"/>
      <c r="P15" s="179"/>
      <c r="Q15" s="179"/>
      <c r="R15" s="382"/>
      <c r="S15" s="179"/>
      <c r="T15" s="179"/>
      <c r="U15" s="179"/>
      <c r="V15" s="179"/>
      <c r="W15" s="389" t="s">
        <v>213</v>
      </c>
      <c r="X15" s="389" t="s">
        <v>214</v>
      </c>
      <c r="Y15" s="389">
        <v>1</v>
      </c>
      <c r="Z15" s="179"/>
      <c r="AA15" s="302">
        <v>9</v>
      </c>
      <c r="AB15" s="119" t="str">
        <f>'8. ABS population'!D163</f>
        <v>** NOT USED **</v>
      </c>
      <c r="AC15" s="119" t="str">
        <f>'9. AIHW population'!D155</f>
        <v>** NOT USED **</v>
      </c>
      <c r="AD15" s="119" t="str">
        <f>'10. Registry population'!D155</f>
        <v>** NOT USED **</v>
      </c>
      <c r="AE15" s="454" t="str">
        <f>MsgNotUsed</f>
        <v>** NOT USED **</v>
      </c>
      <c r="AF15" s="179" t="s">
        <v>462</v>
      </c>
      <c r="AG15" s="179"/>
      <c r="AH15" s="100" t="s">
        <v>190</v>
      </c>
      <c r="AI15" s="389" t="s">
        <v>245</v>
      </c>
      <c r="AJ15" s="179"/>
      <c r="AK15" s="100" t="s">
        <v>390</v>
      </c>
      <c r="AL15" s="303">
        <f>'8. ABS population'!E16</f>
        <v>0</v>
      </c>
      <c r="AM15" s="303">
        <f>'8. ABS population'!F16</f>
        <v>0</v>
      </c>
      <c r="AN15" s="303">
        <f>'8. ABS population'!G16</f>
        <v>0</v>
      </c>
      <c r="AO15" s="303">
        <f>'8. ABS population'!H16</f>
        <v>0</v>
      </c>
      <c r="AP15" s="303">
        <f>'8. ABS population'!I16</f>
        <v>0</v>
      </c>
      <c r="AQ15" s="303">
        <f>'8. ABS population'!J16</f>
        <v>0</v>
      </c>
    </row>
    <row r="16" spans="1:43" x14ac:dyDescent="0.2">
      <c r="A16" s="104"/>
      <c r="B16" s="382"/>
      <c r="C16" s="382"/>
      <c r="D16" s="382"/>
      <c r="E16" s="382"/>
      <c r="F16" s="382"/>
      <c r="G16" s="382"/>
      <c r="H16" s="382"/>
      <c r="I16" s="179"/>
      <c r="J16" s="389" t="s">
        <v>101</v>
      </c>
      <c r="K16" s="179"/>
      <c r="L16" s="382"/>
      <c r="M16" s="382"/>
      <c r="N16" s="382"/>
      <c r="O16" s="382"/>
      <c r="P16" s="179"/>
      <c r="Q16" s="179"/>
      <c r="R16" s="382"/>
      <c r="S16" s="179"/>
      <c r="T16" s="179"/>
      <c r="V16" s="179"/>
      <c r="W16" s="389" t="s">
        <v>215</v>
      </c>
      <c r="X16" s="389" t="s">
        <v>216</v>
      </c>
      <c r="Y16" s="389">
        <v>0</v>
      </c>
      <c r="Z16" s="179"/>
      <c r="AA16" s="302">
        <v>10</v>
      </c>
      <c r="AB16" s="119" t="str">
        <f>'8. ABS population'!D181</f>
        <v>** NOT USED **</v>
      </c>
      <c r="AC16" s="119" t="str">
        <f>'9. AIHW population'!D172</f>
        <v>** NOT USED **</v>
      </c>
      <c r="AD16" s="119" t="str">
        <f>'10. Registry population'!D172</f>
        <v>** NOT USED **</v>
      </c>
      <c r="AE16" s="454" t="str">
        <f>MsgNotUsed</f>
        <v>** NOT USED **</v>
      </c>
      <c r="AF16" s="179" t="s">
        <v>462</v>
      </c>
      <c r="AG16" s="179"/>
      <c r="AH16" s="304"/>
      <c r="AI16" s="305"/>
      <c r="AJ16" s="179"/>
      <c r="AK16" s="100" t="s">
        <v>391</v>
      </c>
      <c r="AL16" s="303">
        <f>'8. ABS population'!E17</f>
        <v>0</v>
      </c>
      <c r="AM16" s="303">
        <f>'8. ABS population'!F17</f>
        <v>0</v>
      </c>
      <c r="AN16" s="303">
        <f>'8. ABS population'!G17</f>
        <v>0</v>
      </c>
      <c r="AO16" s="303">
        <f>'8. ABS population'!H17</f>
        <v>0</v>
      </c>
      <c r="AP16" s="303">
        <f>'8. ABS population'!I17</f>
        <v>0</v>
      </c>
      <c r="AQ16" s="303">
        <f>'8. ABS population'!J17</f>
        <v>0</v>
      </c>
    </row>
    <row r="17" spans="1:43" ht="12.75" customHeight="1" x14ac:dyDescent="0.2">
      <c r="A17" s="104"/>
      <c r="B17" s="876" t="s">
        <v>133</v>
      </c>
      <c r="C17" s="834"/>
      <c r="D17" s="179"/>
      <c r="E17" s="873" t="s">
        <v>306</v>
      </c>
      <c r="F17" s="731"/>
      <c r="G17" s="179"/>
      <c r="H17" s="300" t="s">
        <v>168</v>
      </c>
      <c r="I17" s="179"/>
      <c r="J17" s="389" t="s">
        <v>102</v>
      </c>
      <c r="K17" s="179"/>
      <c r="L17" s="382"/>
      <c r="M17" s="382"/>
      <c r="N17" s="382"/>
      <c r="O17" s="382"/>
      <c r="P17" s="179"/>
      <c r="Q17" s="179"/>
      <c r="V17" s="179"/>
      <c r="W17" s="389" t="s">
        <v>219</v>
      </c>
      <c r="X17" s="389" t="s">
        <v>220</v>
      </c>
      <c r="Y17" s="389">
        <v>0</v>
      </c>
      <c r="Z17" s="179"/>
      <c r="AA17" s="179"/>
      <c r="AB17" s="312">
        <f>COUNTIF(AB7:AB16,"&lt;&gt;"&amp;MsgNotUsed)</f>
        <v>0</v>
      </c>
      <c r="AC17" s="312">
        <f>COUNTIF(AC7:AC16,"&lt;&gt;"&amp;MsgNotUsed)</f>
        <v>0</v>
      </c>
      <c r="AD17" s="312">
        <f>COUNTIF(AD7:AD16,"&lt;&gt;"&amp;MsgNotUsed)</f>
        <v>0</v>
      </c>
      <c r="AE17" s="312">
        <f>COUNTIF(AE7:AE16,"&lt;&gt;"&amp;MsgNotUsed)</f>
        <v>0</v>
      </c>
      <c r="AF17" s="179"/>
      <c r="AG17" s="179"/>
      <c r="AH17" s="100" t="s">
        <v>172</v>
      </c>
      <c r="AI17" s="389" t="s">
        <v>195</v>
      </c>
      <c r="AJ17" s="179"/>
      <c r="AK17" s="100" t="s">
        <v>371</v>
      </c>
      <c r="AL17" s="303">
        <f>'9. AIHW population'!E8</f>
        <v>0</v>
      </c>
      <c r="AM17" s="303">
        <f>'9. AIHW population'!F8</f>
        <v>0</v>
      </c>
      <c r="AN17" s="303">
        <f>'9. AIHW population'!G8</f>
        <v>0</v>
      </c>
      <c r="AO17" s="303">
        <f>'9. AIHW population'!H8</f>
        <v>0</v>
      </c>
      <c r="AP17" s="303">
        <f>'9. AIHW population'!I8</f>
        <v>0</v>
      </c>
      <c r="AQ17" s="303">
        <f>'9. AIHW population'!J8</f>
        <v>0</v>
      </c>
    </row>
    <row r="18" spans="1:43" x14ac:dyDescent="0.2">
      <c r="A18" s="104"/>
      <c r="B18" s="390" t="s">
        <v>134</v>
      </c>
      <c r="C18" s="389">
        <v>1</v>
      </c>
      <c r="D18" s="179"/>
      <c r="E18" s="389" t="s">
        <v>307</v>
      </c>
      <c r="F18" s="389">
        <v>1</v>
      </c>
      <c r="G18" s="179"/>
      <c r="H18" s="389" t="s">
        <v>169</v>
      </c>
      <c r="I18" s="179"/>
      <c r="J18" s="389" t="s">
        <v>103</v>
      </c>
      <c r="K18" s="179"/>
      <c r="L18" s="382"/>
      <c r="M18" s="382"/>
      <c r="N18" s="382"/>
      <c r="O18" s="382"/>
      <c r="P18" s="179"/>
      <c r="Q18" s="179"/>
      <c r="V18" s="179"/>
      <c r="W18" s="389" t="s">
        <v>221</v>
      </c>
      <c r="X18" s="389" t="s">
        <v>222</v>
      </c>
      <c r="Y18" s="389">
        <v>0</v>
      </c>
      <c r="Z18" s="179"/>
      <c r="AA18" s="179"/>
      <c r="AB18" s="179"/>
      <c r="AC18" s="179"/>
      <c r="AD18" s="179"/>
      <c r="AE18" s="306" t="s">
        <v>403</v>
      </c>
      <c r="AF18" s="307">
        <f>COUNT(AA7:AA16)</f>
        <v>10</v>
      </c>
      <c r="AG18" s="179"/>
      <c r="AH18" s="100" t="s">
        <v>797</v>
      </c>
      <c r="AI18" s="389" t="s">
        <v>798</v>
      </c>
      <c r="AJ18" s="179"/>
      <c r="AK18" s="100" t="s">
        <v>372</v>
      </c>
      <c r="AL18" s="303">
        <f>'9. AIHW population'!E9</f>
        <v>0</v>
      </c>
      <c r="AM18" s="303">
        <f>'9. AIHW population'!F9</f>
        <v>0</v>
      </c>
      <c r="AN18" s="303">
        <f>'9. AIHW population'!G9</f>
        <v>0</v>
      </c>
      <c r="AO18" s="303">
        <f>'9. AIHW population'!H9</f>
        <v>0</v>
      </c>
      <c r="AP18" s="303">
        <f>'9. AIHW population'!I9</f>
        <v>0</v>
      </c>
      <c r="AQ18" s="303">
        <f>'9. AIHW population'!J9</f>
        <v>0</v>
      </c>
    </row>
    <row r="19" spans="1:43" x14ac:dyDescent="0.2">
      <c r="A19" s="104"/>
      <c r="B19" s="389" t="s">
        <v>135</v>
      </c>
      <c r="C19" s="389">
        <v>3</v>
      </c>
      <c r="D19" s="179"/>
      <c r="E19" s="389" t="s">
        <v>308</v>
      </c>
      <c r="F19" s="389">
        <v>2</v>
      </c>
      <c r="G19" s="179"/>
      <c r="H19" s="389" t="s">
        <v>170</v>
      </c>
      <c r="I19" s="179"/>
      <c r="J19" s="389" t="s">
        <v>178</v>
      </c>
      <c r="K19" s="179"/>
      <c r="L19" s="382"/>
      <c r="M19" s="382"/>
      <c r="N19" s="382"/>
      <c r="O19" s="382"/>
      <c r="P19" s="179"/>
      <c r="Q19" s="179"/>
      <c r="V19" s="179"/>
      <c r="W19" s="389" t="s">
        <v>223</v>
      </c>
      <c r="X19" s="389" t="s">
        <v>224</v>
      </c>
      <c r="Y19" s="389">
        <v>0</v>
      </c>
      <c r="Z19" s="179"/>
      <c r="AA19" s="179"/>
      <c r="AB19" s="179"/>
      <c r="AC19" s="179"/>
      <c r="AD19" s="179"/>
      <c r="AE19" s="179"/>
      <c r="AF19" s="179"/>
      <c r="AG19" s="179"/>
      <c r="AH19" s="263"/>
      <c r="AI19" s="179"/>
      <c r="AJ19" s="179"/>
      <c r="AK19" s="100" t="s">
        <v>373</v>
      </c>
      <c r="AL19" s="303">
        <f>'9. AIHW population'!E10</f>
        <v>0</v>
      </c>
      <c r="AM19" s="303">
        <f>'9. AIHW population'!F10</f>
        <v>0</v>
      </c>
      <c r="AN19" s="303">
        <f>'9. AIHW population'!G10</f>
        <v>0</v>
      </c>
      <c r="AO19" s="303">
        <f>'9. AIHW population'!H10</f>
        <v>0</v>
      </c>
      <c r="AP19" s="303">
        <f>'9. AIHW population'!I10</f>
        <v>0</v>
      </c>
      <c r="AQ19" s="303">
        <f>'9. AIHW population'!J10</f>
        <v>0</v>
      </c>
    </row>
    <row r="20" spans="1:43" x14ac:dyDescent="0.2">
      <c r="A20" s="104"/>
      <c r="B20" s="389" t="s">
        <v>136</v>
      </c>
      <c r="C20" s="389">
        <v>2</v>
      </c>
      <c r="D20" s="179"/>
      <c r="E20" s="389" t="s">
        <v>55</v>
      </c>
      <c r="F20" s="389">
        <v>3</v>
      </c>
      <c r="G20" s="179"/>
      <c r="H20" s="179"/>
      <c r="I20" s="179"/>
      <c r="J20" s="389" t="s">
        <v>179</v>
      </c>
      <c r="K20" s="179"/>
      <c r="L20" s="382"/>
      <c r="M20" s="382"/>
      <c r="N20" s="382"/>
      <c r="O20" s="382"/>
      <c r="P20" s="179"/>
      <c r="Q20" s="179"/>
      <c r="V20" s="179"/>
      <c r="W20" s="389" t="s">
        <v>225</v>
      </c>
      <c r="X20" s="389" t="s">
        <v>1</v>
      </c>
      <c r="Y20" s="389">
        <v>0</v>
      </c>
      <c r="Z20" s="179"/>
      <c r="AA20" s="179"/>
      <c r="AB20" s="179"/>
      <c r="AC20" s="179"/>
      <c r="AD20" s="179"/>
      <c r="AE20" s="179"/>
      <c r="AF20" s="179"/>
      <c r="AG20" s="179"/>
      <c r="AH20" s="263"/>
      <c r="AI20" s="179"/>
      <c r="AJ20" s="179"/>
      <c r="AK20" s="100" t="s">
        <v>374</v>
      </c>
      <c r="AL20" s="303">
        <f>'9. AIHW population'!E11</f>
        <v>0</v>
      </c>
      <c r="AM20" s="303">
        <f>'9. AIHW population'!F11</f>
        <v>0</v>
      </c>
      <c r="AN20" s="303">
        <f>'9. AIHW population'!G11</f>
        <v>0</v>
      </c>
      <c r="AO20" s="303">
        <f>'9. AIHW population'!H11</f>
        <v>0</v>
      </c>
      <c r="AP20" s="303">
        <f>'9. AIHW population'!I11</f>
        <v>0</v>
      </c>
      <c r="AQ20" s="303">
        <f>'9. AIHW population'!J11</f>
        <v>0</v>
      </c>
    </row>
    <row r="21" spans="1:43" x14ac:dyDescent="0.2">
      <c r="A21" s="104"/>
      <c r="B21" s="179"/>
      <c r="C21" s="179"/>
      <c r="D21" s="179"/>
      <c r="E21" s="389" t="s">
        <v>541</v>
      </c>
      <c r="F21" s="389">
        <v>4</v>
      </c>
      <c r="G21" s="179"/>
      <c r="H21" s="179"/>
      <c r="I21" s="179"/>
      <c r="J21" s="389" t="s">
        <v>180</v>
      </c>
      <c r="K21" s="179"/>
      <c r="L21" s="382"/>
      <c r="M21" s="382"/>
      <c r="N21" s="382"/>
      <c r="O21" s="382"/>
      <c r="P21" s="179"/>
      <c r="Q21" s="179"/>
      <c r="V21" s="179"/>
      <c r="W21" s="389" t="s">
        <v>226</v>
      </c>
      <c r="X21" s="389" t="s">
        <v>227</v>
      </c>
      <c r="Y21" s="389">
        <v>0</v>
      </c>
      <c r="Z21" s="179"/>
      <c r="AA21" s="179"/>
      <c r="AB21" s="874" t="s">
        <v>425</v>
      </c>
      <c r="AC21" s="874"/>
      <c r="AD21" s="874"/>
      <c r="AE21" s="874"/>
      <c r="AF21" s="179"/>
      <c r="AG21" s="179"/>
      <c r="AH21" s="874" t="s">
        <v>713</v>
      </c>
      <c r="AI21" s="874"/>
      <c r="AJ21" s="179"/>
      <c r="AK21" s="100" t="s">
        <v>375</v>
      </c>
      <c r="AL21" s="303">
        <f>'9. AIHW population'!E12</f>
        <v>0</v>
      </c>
      <c r="AM21" s="303">
        <f>'9. AIHW population'!F12</f>
        <v>0</v>
      </c>
      <c r="AN21" s="303">
        <f>'9. AIHW population'!G12</f>
        <v>0</v>
      </c>
      <c r="AO21" s="303">
        <f>'9. AIHW population'!H12</f>
        <v>0</v>
      </c>
      <c r="AP21" s="303">
        <f>'9. AIHW population'!I12</f>
        <v>0</v>
      </c>
      <c r="AQ21" s="303">
        <f>'9. AIHW population'!J12</f>
        <v>0</v>
      </c>
    </row>
    <row r="22" spans="1:43" x14ac:dyDescent="0.2">
      <c r="A22" s="104"/>
      <c r="B22" s="179"/>
      <c r="C22" s="179"/>
      <c r="D22" s="179"/>
      <c r="E22" s="179"/>
      <c r="F22" s="179"/>
      <c r="G22" s="179"/>
      <c r="H22" s="179"/>
      <c r="I22" s="179"/>
      <c r="J22" s="389" t="s">
        <v>181</v>
      </c>
      <c r="K22" s="179"/>
      <c r="L22" s="382"/>
      <c r="M22" s="382"/>
      <c r="N22" s="382"/>
      <c r="O22" s="382"/>
      <c r="P22" s="179"/>
      <c r="Q22" s="179"/>
      <c r="R22" s="382"/>
      <c r="S22" s="179"/>
      <c r="T22" s="179"/>
      <c r="V22" s="179"/>
      <c r="W22" s="389" t="s">
        <v>229</v>
      </c>
      <c r="X22" s="389" t="s">
        <v>230</v>
      </c>
      <c r="Y22" s="389">
        <v>0</v>
      </c>
      <c r="Z22" s="179"/>
      <c r="AA22" s="179"/>
      <c r="AB22" s="300" t="s">
        <v>421</v>
      </c>
      <c r="AC22" s="300" t="s">
        <v>422</v>
      </c>
      <c r="AD22" s="300" t="s">
        <v>423</v>
      </c>
      <c r="AE22" s="314" t="s">
        <v>424</v>
      </c>
      <c r="AF22" s="179"/>
      <c r="AG22" s="179"/>
      <c r="AH22" s="541" t="s">
        <v>714</v>
      </c>
      <c r="AI22" s="541" t="s">
        <v>716</v>
      </c>
      <c r="AJ22" s="179"/>
      <c r="AK22" s="100" t="s">
        <v>392</v>
      </c>
      <c r="AL22" s="303">
        <f>'9. AIHW population'!E13</f>
        <v>0</v>
      </c>
      <c r="AM22" s="303">
        <f>'9. AIHW population'!F13</f>
        <v>0</v>
      </c>
      <c r="AN22" s="303">
        <f>'9. AIHW population'!G13</f>
        <v>0</v>
      </c>
      <c r="AO22" s="303">
        <f>'9. AIHW population'!H13</f>
        <v>0</v>
      </c>
      <c r="AP22" s="303">
        <f>'9. AIHW population'!I13</f>
        <v>0</v>
      </c>
      <c r="AQ22" s="303">
        <f>'9. AIHW population'!J13</f>
        <v>0</v>
      </c>
    </row>
    <row r="23" spans="1:43" x14ac:dyDescent="0.2">
      <c r="A23" s="104"/>
      <c r="B23" s="179"/>
      <c r="C23" s="179"/>
      <c r="D23" s="179"/>
      <c r="E23" s="179"/>
      <c r="F23" s="179"/>
      <c r="G23" s="179"/>
      <c r="H23" s="179"/>
      <c r="I23" s="179"/>
      <c r="J23" s="389" t="s">
        <v>182</v>
      </c>
      <c r="K23" s="179"/>
      <c r="L23" s="382"/>
      <c r="M23" s="382"/>
      <c r="N23" s="382"/>
      <c r="O23" s="382"/>
      <c r="P23" s="179"/>
      <c r="Q23" s="179"/>
      <c r="R23" s="382"/>
      <c r="S23" s="179"/>
      <c r="T23" s="179"/>
      <c r="V23" s="179"/>
      <c r="W23" s="179"/>
      <c r="X23" s="179"/>
      <c r="Y23" s="179"/>
      <c r="Z23" s="179"/>
      <c r="AA23" s="302">
        <v>1</v>
      </c>
      <c r="AB23" s="119" t="str">
        <f>'2a. Patients - incident'!C48</f>
        <v>** NOT USED **</v>
      </c>
      <c r="AC23" s="119" t="str">
        <f>'2b. Patients - prevalent'!C48</f>
        <v>** NOT USED **</v>
      </c>
      <c r="AD23" s="119" t="str">
        <f>'2c. Patients - GF'!C48</f>
        <v>** NOT USED **</v>
      </c>
      <c r="AE23" s="315" t="s">
        <v>464</v>
      </c>
      <c r="AF23" s="179" t="s">
        <v>462</v>
      </c>
      <c r="AG23" s="179"/>
      <c r="AH23" s="541" t="s">
        <v>715</v>
      </c>
      <c r="AI23" s="541" t="s">
        <v>717</v>
      </c>
      <c r="AJ23" s="179"/>
      <c r="AK23" s="100" t="s">
        <v>393</v>
      </c>
      <c r="AL23" s="303">
        <f>'9. AIHW population'!E14</f>
        <v>0</v>
      </c>
      <c r="AM23" s="303">
        <f>'9. AIHW population'!F14</f>
        <v>0</v>
      </c>
      <c r="AN23" s="303">
        <f>'9. AIHW population'!G14</f>
        <v>0</v>
      </c>
      <c r="AO23" s="303">
        <f>'9. AIHW population'!H14</f>
        <v>0</v>
      </c>
      <c r="AP23" s="303">
        <f>'9. AIHW population'!I14</f>
        <v>0</v>
      </c>
      <c r="AQ23" s="303">
        <f>'9. AIHW population'!J14</f>
        <v>0</v>
      </c>
    </row>
    <row r="24" spans="1:43" x14ac:dyDescent="0.2">
      <c r="A24" s="104"/>
      <c r="B24" s="179"/>
      <c r="C24" s="179"/>
      <c r="D24" s="179"/>
      <c r="E24" s="179"/>
      <c r="F24" s="179"/>
      <c r="G24" s="179"/>
      <c r="H24" s="179"/>
      <c r="I24" s="179"/>
      <c r="J24" s="389" t="s">
        <v>183</v>
      </c>
      <c r="K24" s="179"/>
      <c r="L24" s="382"/>
      <c r="M24" s="382"/>
      <c r="N24" s="382"/>
      <c r="O24" s="382"/>
      <c r="P24" s="179"/>
      <c r="Q24" s="179"/>
      <c r="R24" s="382"/>
      <c r="S24" s="179"/>
      <c r="T24" s="179"/>
      <c r="U24" s="179"/>
      <c r="V24" s="179"/>
      <c r="W24" s="179"/>
      <c r="X24" s="179"/>
      <c r="Y24" s="179"/>
      <c r="Z24" s="179"/>
      <c r="AA24" s="302">
        <v>2</v>
      </c>
      <c r="AB24" s="119" t="str">
        <f>'2a. Patients - incident'!C84</f>
        <v>** NOT USED **</v>
      </c>
      <c r="AC24" s="119" t="str">
        <f>'2b. Patients - prevalent'!C84</f>
        <v>** NOT USED **</v>
      </c>
      <c r="AD24" s="119" t="str">
        <f>'2c. Patients - GF'!C75</f>
        <v>** NOT USED **</v>
      </c>
      <c r="AE24" s="315" t="s">
        <v>465</v>
      </c>
      <c r="AF24" s="179" t="s">
        <v>462</v>
      </c>
      <c r="AG24" s="179"/>
      <c r="AH24" s="541" t="s">
        <v>720</v>
      </c>
      <c r="AI24" s="541" t="s">
        <v>725</v>
      </c>
      <c r="AJ24" s="179"/>
      <c r="AK24" s="100" t="s">
        <v>394</v>
      </c>
      <c r="AL24" s="303">
        <f>'9. AIHW population'!E15</f>
        <v>0</v>
      </c>
      <c r="AM24" s="303">
        <f>'9. AIHW population'!F15</f>
        <v>0</v>
      </c>
      <c r="AN24" s="303">
        <f>'9. AIHW population'!G15</f>
        <v>0</v>
      </c>
      <c r="AO24" s="303">
        <f>'9. AIHW population'!H15</f>
        <v>0</v>
      </c>
      <c r="AP24" s="303">
        <f>'9. AIHW population'!I15</f>
        <v>0</v>
      </c>
      <c r="AQ24" s="303">
        <f>'9. AIHW population'!J15</f>
        <v>0</v>
      </c>
    </row>
    <row r="25" spans="1:43" x14ac:dyDescent="0.2">
      <c r="A25" s="104"/>
      <c r="B25" s="382"/>
      <c r="C25" s="382"/>
      <c r="D25" s="179"/>
      <c r="E25" s="179"/>
      <c r="F25" s="179"/>
      <c r="G25" s="179"/>
      <c r="H25" s="179"/>
      <c r="I25" s="179"/>
      <c r="J25" s="389" t="s">
        <v>699</v>
      </c>
      <c r="K25" s="179"/>
      <c r="L25" s="382"/>
      <c r="M25" s="382"/>
      <c r="N25" s="382"/>
      <c r="O25" s="382"/>
      <c r="P25" s="179"/>
      <c r="Q25" s="179"/>
      <c r="R25" s="382"/>
      <c r="S25" s="179"/>
      <c r="T25" s="179"/>
      <c r="U25" s="179"/>
      <c r="V25" s="179"/>
      <c r="W25" s="179"/>
      <c r="Y25" s="179"/>
      <c r="Z25" s="179"/>
      <c r="AA25" s="302">
        <v>3</v>
      </c>
      <c r="AB25" s="119" t="str">
        <f>'2a. Patients - incident'!C120</f>
        <v>** NOT USED **</v>
      </c>
      <c r="AC25" s="119" t="str">
        <f>'2b. Patients - prevalent'!C120</f>
        <v>** NOT USED **</v>
      </c>
      <c r="AD25" s="119" t="str">
        <f>'2c. Patients - GF'!C102</f>
        <v>** NOT USED **</v>
      </c>
      <c r="AE25" s="315" t="s">
        <v>466</v>
      </c>
      <c r="AF25" s="179" t="s">
        <v>462</v>
      </c>
      <c r="AG25" s="179"/>
      <c r="AH25" s="541" t="s">
        <v>730</v>
      </c>
      <c r="AI25" s="541" t="s">
        <v>729</v>
      </c>
      <c r="AJ25" s="179"/>
      <c r="AK25" s="100" t="s">
        <v>395</v>
      </c>
      <c r="AL25" s="303">
        <f>'9. AIHW population'!E16</f>
        <v>0</v>
      </c>
      <c r="AM25" s="303">
        <f>'9. AIHW population'!F16</f>
        <v>0</v>
      </c>
      <c r="AN25" s="303">
        <f>'9. AIHW population'!G16</f>
        <v>0</v>
      </c>
      <c r="AO25" s="303">
        <f>'9. AIHW population'!H16</f>
        <v>0</v>
      </c>
      <c r="AP25" s="303">
        <f>'9. AIHW population'!I16</f>
        <v>0</v>
      </c>
      <c r="AQ25" s="303">
        <f>'9. AIHW population'!J16</f>
        <v>0</v>
      </c>
    </row>
    <row r="26" spans="1:43" x14ac:dyDescent="0.2">
      <c r="A26" s="104"/>
      <c r="B26" s="382"/>
      <c r="C26" s="382"/>
      <c r="D26" s="179"/>
      <c r="E26" s="179"/>
      <c r="F26" s="179"/>
      <c r="G26" s="179"/>
      <c r="H26" s="179"/>
      <c r="I26" s="179"/>
      <c r="J26" s="389" t="s">
        <v>700</v>
      </c>
      <c r="K26" s="179"/>
      <c r="L26" s="382"/>
      <c r="M26" s="382"/>
      <c r="N26" s="382"/>
      <c r="O26" s="382"/>
      <c r="P26" s="179"/>
      <c r="Q26" s="179"/>
      <c r="R26" s="382"/>
      <c r="S26" s="179"/>
      <c r="T26" s="179"/>
      <c r="U26" s="179"/>
      <c r="V26" s="179"/>
      <c r="W26" s="179"/>
      <c r="Y26" s="179"/>
      <c r="Z26" s="179"/>
      <c r="AA26" s="302">
        <v>4</v>
      </c>
      <c r="AB26" s="119" t="str">
        <f>'2a. Patients - incident'!C156</f>
        <v>** NOT USED **</v>
      </c>
      <c r="AC26" s="119" t="str">
        <f>'2b. Patients - prevalent'!C156</f>
        <v>** NOT USED **</v>
      </c>
      <c r="AD26" s="119" t="str">
        <f>'2c. Patients - GF'!C129</f>
        <v>** NOT USED **</v>
      </c>
      <c r="AE26" s="315" t="s">
        <v>467</v>
      </c>
      <c r="AF26" s="179" t="s">
        <v>462</v>
      </c>
      <c r="AG26" s="179"/>
      <c r="AH26" s="541" t="s">
        <v>732</v>
      </c>
      <c r="AI26" s="541" t="s">
        <v>731</v>
      </c>
      <c r="AJ26" s="179"/>
      <c r="AK26" s="100" t="s">
        <v>396</v>
      </c>
      <c r="AL26" s="303">
        <f>'9. AIHW population'!E17</f>
        <v>0</v>
      </c>
      <c r="AM26" s="303">
        <f>'9. AIHW population'!F17</f>
        <v>0</v>
      </c>
      <c r="AN26" s="303">
        <f>'9. AIHW population'!G17</f>
        <v>0</v>
      </c>
      <c r="AO26" s="303">
        <f>'9. AIHW population'!H17</f>
        <v>0</v>
      </c>
      <c r="AP26" s="303">
        <f>'9. AIHW population'!I17</f>
        <v>0</v>
      </c>
      <c r="AQ26" s="303">
        <f>'9. AIHW population'!J17</f>
        <v>0</v>
      </c>
    </row>
    <row r="27" spans="1:43" x14ac:dyDescent="0.2">
      <c r="A27" s="104"/>
      <c r="B27" s="382"/>
      <c r="C27" s="382"/>
      <c r="D27" s="382"/>
      <c r="E27" s="382"/>
      <c r="F27" s="382"/>
      <c r="G27" s="382"/>
      <c r="H27" s="382"/>
      <c r="I27" s="179"/>
      <c r="J27" s="389" t="s">
        <v>701</v>
      </c>
      <c r="K27" s="179"/>
      <c r="L27" s="382"/>
      <c r="M27" s="382"/>
      <c r="N27" s="382"/>
      <c r="O27" s="382"/>
      <c r="P27" s="179"/>
      <c r="Q27" s="179"/>
      <c r="R27" s="382"/>
      <c r="S27" s="179"/>
      <c r="T27" s="179"/>
      <c r="U27" s="179"/>
      <c r="V27" s="179"/>
      <c r="W27" s="179"/>
      <c r="Y27" s="179"/>
      <c r="Z27" s="179"/>
      <c r="AA27" s="302">
        <v>5</v>
      </c>
      <c r="AB27" s="119" t="str">
        <f>'2a. Patients - incident'!C192</f>
        <v>** NOT USED **</v>
      </c>
      <c r="AC27" s="119" t="str">
        <f>'2b. Patients - prevalent'!C192</f>
        <v>** NOT USED **</v>
      </c>
      <c r="AD27" s="119" t="str">
        <f>'2c. Patients - GF'!C156</f>
        <v>** NOT USED **</v>
      </c>
      <c r="AE27" s="310" t="str">
        <f t="shared" ref="AE27:AE32" si="1">MsgNotUsed</f>
        <v>** NOT USED **</v>
      </c>
      <c r="AF27" s="179" t="s">
        <v>462</v>
      </c>
      <c r="AG27" s="179"/>
      <c r="AH27" s="541" t="s">
        <v>733</v>
      </c>
      <c r="AI27" s="541" t="s">
        <v>734</v>
      </c>
      <c r="AJ27" s="179"/>
      <c r="AK27" s="100" t="s">
        <v>376</v>
      </c>
      <c r="AL27" s="303">
        <f>'10. Registry population'!E8</f>
        <v>0</v>
      </c>
      <c r="AM27" s="303">
        <f>'10. Registry population'!F8</f>
        <v>0</v>
      </c>
      <c r="AN27" s="303">
        <f>'10. Registry population'!G8</f>
        <v>0</v>
      </c>
      <c r="AO27" s="303">
        <f>'10. Registry population'!H8</f>
        <v>0</v>
      </c>
      <c r="AP27" s="303">
        <f>'10. Registry population'!I8</f>
        <v>0</v>
      </c>
      <c r="AQ27" s="303">
        <f>'10. Registry population'!J8</f>
        <v>0</v>
      </c>
    </row>
    <row r="28" spans="1:43" x14ac:dyDescent="0.2">
      <c r="A28" s="104"/>
      <c r="B28" s="382"/>
      <c r="C28" s="382"/>
      <c r="D28" s="382"/>
      <c r="E28" s="382"/>
      <c r="F28" s="382"/>
      <c r="G28" s="382"/>
      <c r="H28" s="382"/>
      <c r="I28" s="179"/>
      <c r="J28" s="389" t="s">
        <v>704</v>
      </c>
      <c r="K28" s="179"/>
      <c r="L28" s="382"/>
      <c r="M28" s="382"/>
      <c r="N28" s="382"/>
      <c r="O28" s="382"/>
      <c r="P28" s="179"/>
      <c r="Q28" s="179"/>
      <c r="R28" s="382"/>
      <c r="S28" s="179"/>
      <c r="T28" s="179"/>
      <c r="U28" s="179"/>
      <c r="V28" s="179"/>
      <c r="W28" s="179"/>
      <c r="Y28" s="179"/>
      <c r="Z28" s="179"/>
      <c r="AA28" s="302">
        <v>6</v>
      </c>
      <c r="AB28" s="119" t="str">
        <f>'2a. Patients - incident'!C228</f>
        <v>** NOT USED **</v>
      </c>
      <c r="AC28" s="119" t="str">
        <f>'2b. Patients - prevalent'!C228</f>
        <v>** NOT USED **</v>
      </c>
      <c r="AD28" s="310" t="str">
        <f>MsgNotUsed</f>
        <v>** NOT USED **</v>
      </c>
      <c r="AE28" s="310" t="str">
        <f t="shared" si="1"/>
        <v>** NOT USED **</v>
      </c>
      <c r="AF28" s="179" t="s">
        <v>462</v>
      </c>
      <c r="AG28" s="179"/>
      <c r="AH28" s="541" t="s">
        <v>8</v>
      </c>
      <c r="AI28" s="541" t="s">
        <v>743</v>
      </c>
      <c r="AJ28" s="179"/>
      <c r="AK28" s="100" t="s">
        <v>377</v>
      </c>
      <c r="AL28" s="303">
        <f>'10. Registry population'!E9</f>
        <v>0</v>
      </c>
      <c r="AM28" s="303">
        <f>'10. Registry population'!F9</f>
        <v>0</v>
      </c>
      <c r="AN28" s="303">
        <f>'10. Registry population'!G9</f>
        <v>0</v>
      </c>
      <c r="AO28" s="303">
        <f>'10. Registry population'!H9</f>
        <v>0</v>
      </c>
      <c r="AP28" s="303">
        <f>'10. Registry population'!I9</f>
        <v>0</v>
      </c>
      <c r="AQ28" s="303">
        <f>'10. Registry population'!J9</f>
        <v>0</v>
      </c>
    </row>
    <row r="29" spans="1:43" x14ac:dyDescent="0.2">
      <c r="A29" s="104"/>
      <c r="B29" s="874" t="s">
        <v>138</v>
      </c>
      <c r="C29" s="731"/>
      <c r="D29" s="179"/>
      <c r="E29" s="873" t="s">
        <v>309</v>
      </c>
      <c r="F29" s="731"/>
      <c r="G29" s="179"/>
      <c r="H29" s="300" t="s">
        <v>51</v>
      </c>
      <c r="I29" s="179"/>
      <c r="J29" s="389" t="s">
        <v>705</v>
      </c>
      <c r="K29" s="179"/>
      <c r="L29" s="382"/>
      <c r="M29" s="382"/>
      <c r="N29" s="382"/>
      <c r="O29" s="382"/>
      <c r="P29" s="179"/>
      <c r="Q29" s="179"/>
      <c r="R29" s="382"/>
      <c r="S29" s="179"/>
      <c r="T29" s="179"/>
      <c r="U29" s="179"/>
      <c r="V29" s="179"/>
      <c r="W29" s="179"/>
      <c r="Y29" s="179"/>
      <c r="Z29" s="179"/>
      <c r="AA29" s="302">
        <v>7</v>
      </c>
      <c r="AB29" s="119" t="str">
        <f>'2a. Patients - incident'!C264</f>
        <v>** NOT USED **</v>
      </c>
      <c r="AC29" s="119" t="str">
        <f>'2b. Patients - prevalent'!C264</f>
        <v>** NOT USED **</v>
      </c>
      <c r="AD29" s="310" t="str">
        <f>MsgNotUsed</f>
        <v>** NOT USED **</v>
      </c>
      <c r="AE29" s="310" t="str">
        <f t="shared" si="1"/>
        <v>** NOT USED **</v>
      </c>
      <c r="AF29" s="179" t="s">
        <v>462</v>
      </c>
      <c r="AG29" s="179"/>
      <c r="AH29" s="541" t="s">
        <v>745</v>
      </c>
      <c r="AI29" s="541" t="s">
        <v>744</v>
      </c>
      <c r="AJ29" s="179"/>
      <c r="AK29" s="100" t="s">
        <v>378</v>
      </c>
      <c r="AL29" s="303">
        <f>'10. Registry population'!E10</f>
        <v>0</v>
      </c>
      <c r="AM29" s="303">
        <f>'10. Registry population'!F10</f>
        <v>0</v>
      </c>
      <c r="AN29" s="303">
        <f>'10. Registry population'!G10</f>
        <v>0</v>
      </c>
      <c r="AO29" s="303">
        <f>'10. Registry population'!H10</f>
        <v>0</v>
      </c>
      <c r="AP29" s="303">
        <f>'10. Registry population'!I10</f>
        <v>0</v>
      </c>
      <c r="AQ29" s="303">
        <f>'10. Registry population'!J10</f>
        <v>0</v>
      </c>
    </row>
    <row r="30" spans="1:43" x14ac:dyDescent="0.2">
      <c r="A30" s="247"/>
      <c r="B30" s="389" t="s">
        <v>41</v>
      </c>
      <c r="C30" s="389">
        <v>0</v>
      </c>
      <c r="D30" s="179"/>
      <c r="E30" s="389" t="s">
        <v>310</v>
      </c>
      <c r="F30" s="389">
        <v>1</v>
      </c>
      <c r="G30" s="179"/>
      <c r="H30" s="389" t="s">
        <v>9</v>
      </c>
      <c r="I30" s="179"/>
      <c r="J30" s="389" t="s">
        <v>702</v>
      </c>
      <c r="K30" s="179"/>
      <c r="L30" s="382"/>
      <c r="M30" s="382"/>
      <c r="N30" s="382"/>
      <c r="O30" s="382"/>
      <c r="P30" s="179"/>
      <c r="Q30" s="179"/>
      <c r="R30" s="382"/>
      <c r="S30" s="179"/>
      <c r="T30" s="179"/>
      <c r="U30" s="179"/>
      <c r="V30" s="179"/>
      <c r="W30" s="179"/>
      <c r="Y30" s="179"/>
      <c r="Z30" s="179"/>
      <c r="AA30" s="302">
        <v>8</v>
      </c>
      <c r="AB30" s="119" t="str">
        <f>'2a. Patients - incident'!C300</f>
        <v>** NOT USED **</v>
      </c>
      <c r="AC30" s="119" t="str">
        <f>'2b. Patients - prevalent'!C300</f>
        <v>** NOT USED **</v>
      </c>
      <c r="AD30" s="310" t="str">
        <f>MsgNotUsed</f>
        <v>** NOT USED **</v>
      </c>
      <c r="AE30" s="310" t="str">
        <f t="shared" si="1"/>
        <v>** NOT USED **</v>
      </c>
      <c r="AF30" s="179" t="s">
        <v>462</v>
      </c>
      <c r="AG30" s="179"/>
      <c r="AH30" s="541" t="s">
        <v>860</v>
      </c>
      <c r="AI30" s="541" t="s">
        <v>859</v>
      </c>
      <c r="AJ30" s="179"/>
      <c r="AK30" s="100" t="s">
        <v>379</v>
      </c>
      <c r="AL30" s="303">
        <f>'10. Registry population'!E11</f>
        <v>0</v>
      </c>
      <c r="AM30" s="303">
        <f>'10. Registry population'!F11</f>
        <v>0</v>
      </c>
      <c r="AN30" s="303">
        <f>'10. Registry population'!G11</f>
        <v>0</v>
      </c>
      <c r="AO30" s="303">
        <f>'10. Registry population'!H11</f>
        <v>0</v>
      </c>
      <c r="AP30" s="303">
        <f>'10. Registry population'!I11</f>
        <v>0</v>
      </c>
      <c r="AQ30" s="303">
        <f>'10. Registry population'!J11</f>
        <v>0</v>
      </c>
    </row>
    <row r="31" spans="1:43" x14ac:dyDescent="0.2">
      <c r="A31" s="247"/>
      <c r="B31" s="389" t="s">
        <v>42</v>
      </c>
      <c r="C31" s="389">
        <v>0</v>
      </c>
      <c r="D31" s="179"/>
      <c r="E31" s="389" t="s">
        <v>311</v>
      </c>
      <c r="F31" s="389">
        <v>2</v>
      </c>
      <c r="G31" s="179"/>
      <c r="H31" s="389" t="s">
        <v>10</v>
      </c>
      <c r="I31" s="179"/>
      <c r="J31" s="389" t="s">
        <v>706</v>
      </c>
      <c r="K31" s="179"/>
      <c r="L31" s="382"/>
      <c r="M31" s="382"/>
      <c r="N31" s="382"/>
      <c r="O31" s="382"/>
      <c r="P31" s="179"/>
      <c r="Q31" s="179"/>
      <c r="R31" s="382"/>
      <c r="S31" s="179"/>
      <c r="T31" s="179"/>
      <c r="U31" s="179"/>
      <c r="V31" s="179"/>
      <c r="W31" s="179"/>
      <c r="Y31" s="179"/>
      <c r="Z31" s="179"/>
      <c r="AA31" s="302">
        <v>9</v>
      </c>
      <c r="AB31" s="119" t="str">
        <f>'2a. Patients - incident'!C336</f>
        <v>** NOT USED **</v>
      </c>
      <c r="AC31" s="119" t="str">
        <f>'2b. Patients - prevalent'!C336</f>
        <v>** NOT USED **</v>
      </c>
      <c r="AD31" s="310" t="str">
        <f>MsgNotUsed</f>
        <v>** NOT USED **</v>
      </c>
      <c r="AE31" s="310" t="str">
        <f t="shared" si="1"/>
        <v>** NOT USED **</v>
      </c>
      <c r="AF31" s="179" t="s">
        <v>462</v>
      </c>
      <c r="AG31" s="179"/>
      <c r="AH31" s="667" t="s">
        <v>870</v>
      </c>
      <c r="AI31" s="667" t="s">
        <v>871</v>
      </c>
      <c r="AJ31" s="179"/>
      <c r="AK31" s="100" t="s">
        <v>380</v>
      </c>
      <c r="AL31" s="303">
        <f>'10. Registry population'!E12</f>
        <v>0</v>
      </c>
      <c r="AM31" s="303">
        <f>'10. Registry population'!F12</f>
        <v>0</v>
      </c>
      <c r="AN31" s="303">
        <f>'10. Registry population'!G12</f>
        <v>0</v>
      </c>
      <c r="AO31" s="303">
        <f>'10. Registry population'!H12</f>
        <v>0</v>
      </c>
      <c r="AP31" s="303">
        <f>'10. Registry population'!I12</f>
        <v>0</v>
      </c>
      <c r="AQ31" s="303">
        <f>'10. Registry population'!J12</f>
        <v>0</v>
      </c>
    </row>
    <row r="32" spans="1:43" x14ac:dyDescent="0.2">
      <c r="A32" s="247"/>
      <c r="B32" s="389" t="s">
        <v>43</v>
      </c>
      <c r="C32" s="389">
        <v>1</v>
      </c>
      <c r="D32" s="179"/>
      <c r="E32" s="179"/>
      <c r="F32" s="179"/>
      <c r="G32" s="179"/>
      <c r="H32" s="179"/>
      <c r="I32" s="179"/>
      <c r="J32" s="389" t="s">
        <v>707</v>
      </c>
      <c r="K32" s="179"/>
      <c r="L32" s="382"/>
      <c r="M32" s="382"/>
      <c r="N32" s="382"/>
      <c r="O32" s="382"/>
      <c r="P32" s="179"/>
      <c r="Q32" s="179"/>
      <c r="R32" s="382"/>
      <c r="S32" s="179"/>
      <c r="T32" s="179"/>
      <c r="U32" s="179"/>
      <c r="V32" s="179"/>
      <c r="W32" s="179"/>
      <c r="Y32" s="179"/>
      <c r="Z32" s="179"/>
      <c r="AA32" s="302">
        <v>10</v>
      </c>
      <c r="AB32" s="119" t="str">
        <f>'2a. Patients - incident'!C372</f>
        <v>** NOT USED **</v>
      </c>
      <c r="AC32" s="119" t="str">
        <f>'2b. Patients - prevalent'!C372</f>
        <v>** NOT USED **</v>
      </c>
      <c r="AD32" s="310" t="str">
        <f>MsgNotUsed</f>
        <v>** NOT USED **</v>
      </c>
      <c r="AE32" s="310" t="str">
        <f t="shared" si="1"/>
        <v>** NOT USED **</v>
      </c>
      <c r="AF32" s="179" t="s">
        <v>462</v>
      </c>
      <c r="AG32" s="179"/>
      <c r="AH32" s="541" t="s">
        <v>862</v>
      </c>
      <c r="AI32" s="541" t="s">
        <v>863</v>
      </c>
      <c r="AJ32" s="179"/>
      <c r="AK32" s="100" t="s">
        <v>397</v>
      </c>
      <c r="AL32" s="303">
        <f>'10. Registry population'!E13</f>
        <v>0</v>
      </c>
      <c r="AM32" s="303">
        <f>'10. Registry population'!F13</f>
        <v>0</v>
      </c>
      <c r="AN32" s="303">
        <f>'10. Registry population'!G13</f>
        <v>0</v>
      </c>
      <c r="AO32" s="303">
        <f>'10. Registry population'!H13</f>
        <v>0</v>
      </c>
      <c r="AP32" s="303">
        <f>'10. Registry population'!I13</f>
        <v>0</v>
      </c>
      <c r="AQ32" s="303">
        <f>'10. Registry population'!J13</f>
        <v>0</v>
      </c>
    </row>
    <row r="33" spans="1:45" x14ac:dyDescent="0.2">
      <c r="A33" s="247"/>
      <c r="B33" s="389" t="s">
        <v>44</v>
      </c>
      <c r="C33" s="389">
        <v>2</v>
      </c>
      <c r="D33" s="179"/>
      <c r="E33" s="179"/>
      <c r="F33" s="179"/>
      <c r="G33" s="179"/>
      <c r="H33" s="179"/>
      <c r="I33" s="179"/>
      <c r="J33" s="389" t="s">
        <v>703</v>
      </c>
      <c r="K33" s="179"/>
      <c r="L33" s="382"/>
      <c r="M33" s="382"/>
      <c r="N33" s="382"/>
      <c r="O33" s="382"/>
      <c r="P33" s="179"/>
      <c r="Q33" s="179"/>
      <c r="R33" s="382"/>
      <c r="S33" s="179"/>
      <c r="T33" s="179"/>
      <c r="U33" s="179"/>
      <c r="V33" s="179"/>
      <c r="W33" s="179"/>
      <c r="Y33" s="179"/>
      <c r="Z33" s="179"/>
      <c r="AA33" s="179"/>
      <c r="AB33" s="312">
        <f>COUNTIF(AB23:AB32,"&lt;&gt;"&amp;MsgNotUsed)</f>
        <v>0</v>
      </c>
      <c r="AC33" s="312">
        <f>COUNTIF(AC23:AC32,"&lt;&gt;"&amp;MsgNotUsed)</f>
        <v>0</v>
      </c>
      <c r="AD33" s="312">
        <f>COUNTIF(AD23:AD32,"&lt;&gt;"&amp;MsgNotUsed)</f>
        <v>0</v>
      </c>
      <c r="AE33" s="312">
        <f>COUNTIF(AE23:AE32,"&lt;&gt;"&amp;MsgNotUsed)</f>
        <v>4</v>
      </c>
      <c r="AF33" s="179"/>
      <c r="AG33" s="179"/>
      <c r="AH33" s="673" t="s">
        <v>876</v>
      </c>
      <c r="AI33" s="673" t="s">
        <v>875</v>
      </c>
      <c r="AJ33" s="179"/>
      <c r="AK33" s="100" t="s">
        <v>398</v>
      </c>
      <c r="AL33" s="303">
        <f>'10. Registry population'!E14</f>
        <v>0</v>
      </c>
      <c r="AM33" s="303">
        <f>'10. Registry population'!F14</f>
        <v>0</v>
      </c>
      <c r="AN33" s="303">
        <f>'10. Registry population'!G14</f>
        <v>0</v>
      </c>
      <c r="AO33" s="303">
        <f>'10. Registry population'!H14</f>
        <v>0</v>
      </c>
      <c r="AP33" s="303">
        <f>'10. Registry population'!I14</f>
        <v>0</v>
      </c>
      <c r="AQ33" s="303">
        <f>'10. Registry population'!J14</f>
        <v>0</v>
      </c>
    </row>
    <row r="34" spans="1:45" x14ac:dyDescent="0.2">
      <c r="A34" s="247"/>
      <c r="B34" s="389" t="s">
        <v>678</v>
      </c>
      <c r="C34" s="389">
        <v>3</v>
      </c>
      <c r="D34" s="179"/>
      <c r="E34" s="179"/>
      <c r="F34" s="179"/>
      <c r="G34" s="179"/>
      <c r="H34" s="179"/>
      <c r="I34" s="179"/>
      <c r="K34" s="179"/>
      <c r="L34" s="382"/>
      <c r="M34" s="382"/>
      <c r="N34" s="382"/>
      <c r="O34" s="382"/>
      <c r="P34" s="179"/>
      <c r="Q34" s="179"/>
      <c r="R34" s="382"/>
      <c r="S34" s="179"/>
      <c r="T34" s="179"/>
      <c r="U34" s="179"/>
      <c r="V34" s="179"/>
      <c r="W34" s="179"/>
      <c r="Y34" s="179"/>
      <c r="Z34" s="179"/>
      <c r="AA34" s="179"/>
      <c r="AB34" s="179"/>
      <c r="AC34" s="179"/>
      <c r="AD34" s="179"/>
      <c r="AE34" s="306" t="s">
        <v>456</v>
      </c>
      <c r="AF34" s="307">
        <f>COUNT(AA23:AA32)</f>
        <v>10</v>
      </c>
      <c r="AG34" s="179"/>
      <c r="AH34" s="673" t="s">
        <v>972</v>
      </c>
      <c r="AI34" s="673" t="s">
        <v>973</v>
      </c>
      <c r="AJ34" s="179"/>
      <c r="AK34" s="100" t="s">
        <v>399</v>
      </c>
      <c r="AL34" s="303">
        <f>'10. Registry population'!E15</f>
        <v>0</v>
      </c>
      <c r="AM34" s="303">
        <f>'10. Registry population'!F15</f>
        <v>0</v>
      </c>
      <c r="AN34" s="303">
        <f>'10. Registry population'!G15</f>
        <v>0</v>
      </c>
      <c r="AO34" s="303">
        <f>'10. Registry population'!H15</f>
        <v>0</v>
      </c>
      <c r="AP34" s="303">
        <f>'10. Registry population'!I15</f>
        <v>0</v>
      </c>
      <c r="AQ34" s="303">
        <f>'10. Registry population'!J15</f>
        <v>0</v>
      </c>
    </row>
    <row r="35" spans="1:45" x14ac:dyDescent="0.2">
      <c r="A35" s="247"/>
      <c r="D35" s="179"/>
      <c r="E35" s="179"/>
      <c r="F35" s="179"/>
      <c r="G35" s="179"/>
      <c r="H35" s="179"/>
      <c r="I35" s="179"/>
      <c r="K35" s="179"/>
      <c r="L35" s="382"/>
      <c r="M35" s="382"/>
      <c r="N35" s="382"/>
      <c r="O35" s="382"/>
      <c r="P35" s="179"/>
      <c r="Q35" s="179"/>
      <c r="R35" s="382"/>
      <c r="S35" s="179"/>
      <c r="T35" s="179"/>
      <c r="U35" s="179"/>
      <c r="V35" s="179"/>
      <c r="W35" s="179"/>
      <c r="Y35" s="179"/>
      <c r="Z35" s="179"/>
      <c r="AA35" s="179"/>
      <c r="AB35" s="179"/>
      <c r="AC35" s="179"/>
      <c r="AD35" s="179"/>
      <c r="AE35" s="179"/>
      <c r="AF35" s="179"/>
      <c r="AG35" s="179"/>
      <c r="AH35" s="673"/>
      <c r="AI35" s="673"/>
      <c r="AJ35" s="179"/>
      <c r="AK35" s="100" t="s">
        <v>400</v>
      </c>
      <c r="AL35" s="303">
        <f>'10. Registry population'!E16</f>
        <v>0</v>
      </c>
      <c r="AM35" s="303">
        <f>'10. Registry population'!F16</f>
        <v>0</v>
      </c>
      <c r="AN35" s="303">
        <f>'10. Registry population'!G16</f>
        <v>0</v>
      </c>
      <c r="AO35" s="303">
        <f>'10. Registry population'!H16</f>
        <v>0</v>
      </c>
      <c r="AP35" s="303">
        <f>'10. Registry population'!I16</f>
        <v>0</v>
      </c>
      <c r="AQ35" s="303">
        <f>'10. Registry population'!J16</f>
        <v>0</v>
      </c>
    </row>
    <row r="36" spans="1:45" x14ac:dyDescent="0.2">
      <c r="A36" s="247"/>
      <c r="B36" s="874" t="s">
        <v>138</v>
      </c>
      <c r="C36" s="731"/>
      <c r="D36" s="179"/>
      <c r="E36" s="179"/>
      <c r="F36" s="179"/>
      <c r="G36" s="179"/>
      <c r="H36" s="179"/>
      <c r="I36" s="179"/>
      <c r="K36" s="179"/>
      <c r="L36" s="382"/>
      <c r="M36" s="382"/>
      <c r="N36" s="382"/>
      <c r="O36" s="382"/>
      <c r="P36" s="179"/>
      <c r="Q36" s="179"/>
      <c r="R36" s="382"/>
      <c r="S36" s="179"/>
      <c r="T36" s="179"/>
      <c r="U36" s="179"/>
      <c r="V36" s="179"/>
      <c r="W36" s="179"/>
      <c r="Y36" s="179"/>
      <c r="Z36" s="179"/>
      <c r="AA36" s="179"/>
      <c r="AB36" s="179"/>
      <c r="AC36" s="179"/>
      <c r="AD36" s="179"/>
      <c r="AE36" s="179"/>
      <c r="AF36" s="179"/>
      <c r="AG36" s="179"/>
      <c r="AH36" s="673"/>
      <c r="AI36" s="673"/>
      <c r="AJ36" s="179"/>
      <c r="AK36" s="100" t="s">
        <v>401</v>
      </c>
      <c r="AL36" s="303">
        <f>'10. Registry population'!E17</f>
        <v>0</v>
      </c>
      <c r="AM36" s="303">
        <f>'10. Registry population'!F17</f>
        <v>0</v>
      </c>
      <c r="AN36" s="303">
        <f>'10. Registry population'!G17</f>
        <v>0</v>
      </c>
      <c r="AO36" s="303">
        <f>'10. Registry population'!H17</f>
        <v>0</v>
      </c>
      <c r="AP36" s="303">
        <f>'10. Registry population'!I17</f>
        <v>0</v>
      </c>
      <c r="AQ36" s="303">
        <f>'10. Registry population'!J17</f>
        <v>0</v>
      </c>
    </row>
    <row r="37" spans="1:45" x14ac:dyDescent="0.2">
      <c r="A37" s="247"/>
      <c r="B37" s="389"/>
      <c r="C37" s="389">
        <v>0</v>
      </c>
      <c r="D37" s="179"/>
      <c r="E37" s="179"/>
      <c r="F37" s="179"/>
      <c r="G37" s="179"/>
      <c r="H37" s="179"/>
      <c r="I37" s="179"/>
      <c r="K37" s="179"/>
      <c r="L37" s="382"/>
      <c r="M37" s="382"/>
      <c r="N37" s="382"/>
      <c r="O37" s="382"/>
      <c r="P37" s="179"/>
      <c r="Q37" s="179"/>
      <c r="R37" s="382"/>
      <c r="S37" s="179"/>
      <c r="T37" s="179"/>
      <c r="U37" s="179"/>
      <c r="V37" s="179"/>
      <c r="W37" s="179"/>
      <c r="Y37" s="179"/>
      <c r="Z37" s="179"/>
      <c r="AA37" s="179"/>
      <c r="AB37" s="179"/>
      <c r="AC37" s="179"/>
      <c r="AD37" s="179"/>
      <c r="AE37" s="179"/>
      <c r="AF37" s="179"/>
      <c r="AG37" s="179"/>
      <c r="AH37" s="673"/>
      <c r="AI37" s="673"/>
      <c r="AJ37" s="179"/>
      <c r="AK37" s="100" t="s">
        <v>531</v>
      </c>
      <c r="AL37" s="303">
        <f>'11. Prevalent population'!E8</f>
        <v>0</v>
      </c>
      <c r="AM37" s="303">
        <f>'11. Prevalent population'!F8</f>
        <v>0</v>
      </c>
      <c r="AN37" s="303">
        <f>'11. Prevalent population'!G8</f>
        <v>0</v>
      </c>
      <c r="AO37" s="303">
        <f>'11. Prevalent population'!H8</f>
        <v>0</v>
      </c>
      <c r="AP37" s="303">
        <f>'11. Prevalent population'!I8</f>
        <v>0</v>
      </c>
      <c r="AQ37" s="303">
        <f>'11. Prevalent population'!J8</f>
        <v>0</v>
      </c>
    </row>
    <row r="38" spans="1:45" x14ac:dyDescent="0.2">
      <c r="A38" s="247"/>
      <c r="B38" s="389" t="s">
        <v>1026</v>
      </c>
      <c r="C38" s="389">
        <v>4</v>
      </c>
      <c r="D38" s="179"/>
      <c r="E38" s="179"/>
      <c r="F38" s="179"/>
      <c r="G38" s="179"/>
      <c r="H38" s="179"/>
      <c r="I38" s="179"/>
      <c r="K38" s="179"/>
      <c r="L38" s="382"/>
      <c r="M38" s="382"/>
      <c r="N38" s="382"/>
      <c r="O38" s="382"/>
      <c r="P38" s="179"/>
      <c r="Q38" s="179"/>
      <c r="R38" s="382"/>
      <c r="S38" s="179"/>
      <c r="T38" s="179"/>
      <c r="U38" s="179"/>
      <c r="V38" s="179"/>
      <c r="W38" s="179"/>
      <c r="Y38" s="179"/>
      <c r="Z38" s="179"/>
      <c r="AA38" s="179"/>
      <c r="AB38" s="179"/>
      <c r="AC38" s="179"/>
      <c r="AD38" s="179"/>
      <c r="AE38" s="179"/>
      <c r="AF38" s="179"/>
      <c r="AG38" s="179"/>
      <c r="AH38" s="673"/>
      <c r="AI38" s="673"/>
      <c r="AJ38" s="179"/>
      <c r="AK38" s="100" t="s">
        <v>532</v>
      </c>
      <c r="AL38" s="303">
        <f>'11. Prevalent population'!E9</f>
        <v>0</v>
      </c>
      <c r="AM38" s="303">
        <f>'11. Prevalent population'!F9</f>
        <v>0</v>
      </c>
      <c r="AN38" s="303">
        <f>'11. Prevalent population'!G9</f>
        <v>0</v>
      </c>
      <c r="AO38" s="303">
        <f>'11. Prevalent population'!H9</f>
        <v>0</v>
      </c>
      <c r="AP38" s="303">
        <f>'11. Prevalent population'!I9</f>
        <v>0</v>
      </c>
      <c r="AQ38" s="303">
        <f>'11. Prevalent population'!J9</f>
        <v>0</v>
      </c>
    </row>
    <row r="39" spans="1:45" x14ac:dyDescent="0.2">
      <c r="A39" s="247"/>
      <c r="B39" s="382"/>
      <c r="C39" s="382"/>
      <c r="D39" s="382"/>
      <c r="E39" s="382"/>
      <c r="F39" s="382"/>
      <c r="G39" s="382"/>
      <c r="H39" s="382"/>
      <c r="I39" s="179"/>
      <c r="K39" s="179"/>
      <c r="L39" s="382"/>
      <c r="M39" s="382"/>
      <c r="N39" s="382"/>
      <c r="O39" s="382"/>
      <c r="P39" s="179"/>
      <c r="Q39" s="179"/>
      <c r="R39" s="382"/>
      <c r="S39" s="179"/>
      <c r="T39" s="179"/>
      <c r="U39" s="179"/>
      <c r="V39" s="179"/>
      <c r="W39" s="179"/>
      <c r="Y39" s="179"/>
      <c r="Z39" s="179"/>
      <c r="AA39" s="179"/>
      <c r="AB39" s="179"/>
      <c r="AC39" s="179"/>
      <c r="AD39" s="179"/>
      <c r="AE39" s="179"/>
      <c r="AF39" s="179"/>
      <c r="AG39" s="179"/>
      <c r="AH39" s="673"/>
      <c r="AI39" s="673"/>
      <c r="AJ39" s="179"/>
      <c r="AK39" s="100" t="s">
        <v>533</v>
      </c>
      <c r="AL39" s="303">
        <f>'11. Prevalent population'!E10</f>
        <v>0</v>
      </c>
      <c r="AM39" s="303">
        <f>'11. Prevalent population'!F10</f>
        <v>0</v>
      </c>
      <c r="AN39" s="303">
        <f>'11. Prevalent population'!G10</f>
        <v>0</v>
      </c>
      <c r="AO39" s="303">
        <f>'11. Prevalent population'!H10</f>
        <v>0</v>
      </c>
      <c r="AP39" s="303">
        <f>'11. Prevalent population'!I10</f>
        <v>0</v>
      </c>
      <c r="AQ39" s="303">
        <f>'11. Prevalent population'!J10</f>
        <v>0</v>
      </c>
    </row>
    <row r="40" spans="1:45" x14ac:dyDescent="0.2">
      <c r="A40" s="104"/>
      <c r="B40" s="382"/>
      <c r="C40" s="382"/>
      <c r="D40" s="382"/>
      <c r="E40" s="382"/>
      <c r="F40" s="382"/>
      <c r="G40" s="382"/>
      <c r="H40" s="382"/>
      <c r="I40" s="179"/>
      <c r="K40" s="179"/>
      <c r="L40" s="382"/>
      <c r="M40" s="382"/>
      <c r="N40" s="382"/>
      <c r="O40" s="382"/>
      <c r="P40" s="179"/>
      <c r="Q40" s="179"/>
      <c r="R40" s="382"/>
      <c r="S40" s="179"/>
      <c r="T40" s="179"/>
      <c r="U40" s="179"/>
      <c r="V40" s="179"/>
      <c r="W40" s="179"/>
      <c r="Y40" s="179"/>
      <c r="Z40" s="179"/>
      <c r="AA40" s="179"/>
      <c r="AB40" s="179"/>
      <c r="AC40" s="179"/>
      <c r="AD40" s="179"/>
      <c r="AE40" s="179"/>
      <c r="AF40" s="179"/>
      <c r="AG40" s="179"/>
      <c r="AH40" s="673"/>
      <c r="AI40" s="673"/>
      <c r="AJ40" s="179"/>
      <c r="AK40" s="100" t="s">
        <v>534</v>
      </c>
      <c r="AL40" s="303">
        <f>'11. Prevalent population'!E11</f>
        <v>0</v>
      </c>
      <c r="AM40" s="303">
        <f>'11. Prevalent population'!F11</f>
        <v>0</v>
      </c>
      <c r="AN40" s="303">
        <f>'11. Prevalent population'!G11</f>
        <v>0</v>
      </c>
      <c r="AO40" s="303">
        <f>'11. Prevalent population'!H11</f>
        <v>0</v>
      </c>
      <c r="AP40" s="303">
        <f>'11. Prevalent population'!I11</f>
        <v>0</v>
      </c>
      <c r="AQ40" s="303">
        <f>'11. Prevalent population'!J11</f>
        <v>0</v>
      </c>
    </row>
    <row r="41" spans="1:45" x14ac:dyDescent="0.2">
      <c r="A41" s="104"/>
      <c r="B41" s="873" t="s">
        <v>350</v>
      </c>
      <c r="C41" s="731"/>
      <c r="D41" s="179"/>
      <c r="E41" s="873" t="s">
        <v>291</v>
      </c>
      <c r="F41" s="731"/>
      <c r="G41" s="179"/>
      <c r="H41" s="300" t="s">
        <v>58</v>
      </c>
      <c r="I41" s="179"/>
      <c r="J41" s="300" t="s">
        <v>111</v>
      </c>
      <c r="K41" s="179"/>
      <c r="L41" s="382"/>
      <c r="M41" s="382"/>
      <c r="N41" s="382"/>
      <c r="O41" s="382"/>
      <c r="P41" s="179"/>
      <c r="Q41" s="179"/>
      <c r="R41" s="382"/>
      <c r="S41" s="179"/>
      <c r="T41" s="179"/>
      <c r="U41" s="179"/>
      <c r="V41" s="179"/>
      <c r="W41" s="179"/>
      <c r="Y41" s="179"/>
      <c r="Z41" s="179"/>
      <c r="AA41" s="179"/>
      <c r="AB41" s="179"/>
      <c r="AC41" s="179"/>
      <c r="AD41" s="179"/>
      <c r="AE41" s="179"/>
      <c r="AF41" s="179"/>
      <c r="AG41" s="179"/>
      <c r="AH41" s="673"/>
      <c r="AI41" s="673"/>
      <c r="AJ41" s="179"/>
      <c r="AK41" s="100" t="s">
        <v>535</v>
      </c>
      <c r="AL41" s="303">
        <f>'11. Prevalent population'!E12</f>
        <v>0</v>
      </c>
      <c r="AM41" s="303">
        <f>'11. Prevalent population'!F12</f>
        <v>0</v>
      </c>
      <c r="AN41" s="303">
        <f>'11. Prevalent population'!G12</f>
        <v>0</v>
      </c>
      <c r="AO41" s="303">
        <f>'11. Prevalent population'!H12</f>
        <v>0</v>
      </c>
      <c r="AP41" s="303">
        <f>'11. Prevalent population'!I12</f>
        <v>0</v>
      </c>
      <c r="AQ41" s="303">
        <f>'11. Prevalent population'!J12</f>
        <v>0</v>
      </c>
    </row>
    <row r="42" spans="1:45" x14ac:dyDescent="0.2">
      <c r="A42" s="247"/>
      <c r="B42" s="389" t="s">
        <v>301</v>
      </c>
      <c r="C42" s="389">
        <v>0</v>
      </c>
      <c r="D42" s="179"/>
      <c r="E42" s="389" t="s">
        <v>208</v>
      </c>
      <c r="F42" s="389">
        <v>0</v>
      </c>
      <c r="G42" s="179"/>
      <c r="H42" s="389" t="s">
        <v>61</v>
      </c>
      <c r="I42" s="179"/>
      <c r="J42" s="389">
        <v>2018</v>
      </c>
      <c r="K42" s="179"/>
      <c r="L42" s="382"/>
      <c r="M42" s="382"/>
      <c r="N42" s="382"/>
      <c r="O42" s="382"/>
      <c r="P42" s="179"/>
      <c r="Q42" s="179"/>
      <c r="R42" s="382"/>
      <c r="S42" s="179"/>
      <c r="T42" s="179"/>
      <c r="U42" s="179"/>
      <c r="V42" s="179"/>
      <c r="W42" s="179"/>
      <c r="X42" s="593"/>
      <c r="Y42" s="179"/>
      <c r="Z42" s="179"/>
      <c r="AA42" s="179"/>
      <c r="AB42" s="179"/>
      <c r="AC42" s="179"/>
      <c r="AD42" s="179"/>
      <c r="AE42" s="179"/>
      <c r="AF42" s="179"/>
      <c r="AG42" s="179"/>
      <c r="AH42" s="593"/>
      <c r="AI42" s="593"/>
      <c r="AJ42" s="179"/>
      <c r="AK42" s="179"/>
      <c r="AL42" s="179"/>
      <c r="AM42" s="179"/>
      <c r="AN42" s="179"/>
      <c r="AO42" s="179"/>
      <c r="AP42" s="179"/>
      <c r="AQ42" s="179"/>
    </row>
    <row r="43" spans="1:45" x14ac:dyDescent="0.2">
      <c r="A43" s="247"/>
      <c r="B43" s="389" t="s">
        <v>406</v>
      </c>
      <c r="C43" s="389">
        <v>1</v>
      </c>
      <c r="D43" s="179"/>
      <c r="E43" s="389" t="s">
        <v>60</v>
      </c>
      <c r="F43" s="389">
        <v>1</v>
      </c>
      <c r="G43" s="179"/>
      <c r="H43" s="389" t="s">
        <v>64</v>
      </c>
      <c r="I43" s="179"/>
      <c r="J43" s="389">
        <v>2019</v>
      </c>
      <c r="K43" s="179"/>
      <c r="L43" s="382"/>
      <c r="M43" s="382"/>
      <c r="N43" s="382"/>
      <c r="O43" s="382"/>
      <c r="P43" s="179"/>
      <c r="Q43" s="179"/>
      <c r="R43" s="382"/>
      <c r="S43" s="179"/>
      <c r="T43" s="179"/>
      <c r="U43" s="179"/>
      <c r="V43" s="179"/>
      <c r="W43" s="179"/>
      <c r="X43" s="593"/>
      <c r="Y43" s="179"/>
      <c r="Z43" s="179"/>
      <c r="AA43" s="179"/>
      <c r="AB43" s="179"/>
      <c r="AC43" s="179"/>
      <c r="AD43" s="179"/>
      <c r="AE43" s="179"/>
      <c r="AF43" s="179"/>
      <c r="AG43" s="179"/>
      <c r="AH43" s="874" t="s">
        <v>712</v>
      </c>
      <c r="AI43" s="874"/>
      <c r="AJ43" s="179"/>
      <c r="AK43" s="179"/>
      <c r="AL43" s="874" t="s">
        <v>824</v>
      </c>
      <c r="AM43" s="874"/>
      <c r="AN43" s="874"/>
      <c r="AO43" s="874"/>
      <c r="AP43" s="874"/>
      <c r="AQ43" s="874"/>
    </row>
    <row r="44" spans="1:45" x14ac:dyDescent="0.2">
      <c r="A44" s="247"/>
      <c r="B44" s="389" t="s">
        <v>277</v>
      </c>
      <c r="C44" s="389">
        <v>2</v>
      </c>
      <c r="D44" s="179"/>
      <c r="E44" s="389" t="s">
        <v>63</v>
      </c>
      <c r="F44" s="389">
        <v>2</v>
      </c>
      <c r="G44" s="179"/>
      <c r="H44" s="389" t="s">
        <v>66</v>
      </c>
      <c r="I44" s="179"/>
      <c r="J44" s="389">
        <v>2020</v>
      </c>
      <c r="K44" s="179"/>
      <c r="L44" s="382"/>
      <c r="M44" s="382"/>
      <c r="N44" s="382"/>
      <c r="O44" s="382"/>
      <c r="P44" s="179"/>
      <c r="Q44" s="179"/>
      <c r="R44" s="382"/>
      <c r="S44" s="179"/>
      <c r="T44" s="179"/>
      <c r="U44" s="179"/>
      <c r="V44" s="179"/>
      <c r="W44" s="179"/>
      <c r="X44" s="179"/>
      <c r="Y44" s="179"/>
      <c r="Z44" s="179"/>
      <c r="AA44" s="179"/>
      <c r="AB44" s="179"/>
      <c r="AC44" s="179"/>
      <c r="AD44" s="179"/>
      <c r="AE44" s="179"/>
      <c r="AF44" s="179"/>
      <c r="AG44" s="179"/>
      <c r="AH44" s="541" t="s">
        <v>719</v>
      </c>
      <c r="AI44" s="541" t="s">
        <v>718</v>
      </c>
      <c r="AJ44" s="179"/>
      <c r="AK44" s="179"/>
      <c r="AL44" s="301">
        <f>FirstYear</f>
        <v>0</v>
      </c>
      <c r="AM44" s="93">
        <f>AL44+1</f>
        <v>1</v>
      </c>
      <c r="AN44" s="93">
        <f>AM44+1</f>
        <v>2</v>
      </c>
      <c r="AO44" s="93">
        <f>AN44+1</f>
        <v>3</v>
      </c>
      <c r="AP44" s="93">
        <f>AO44+1</f>
        <v>4</v>
      </c>
      <c r="AQ44" s="93">
        <f>AP44+1</f>
        <v>5</v>
      </c>
      <c r="AR44" s="93" t="s">
        <v>846</v>
      </c>
      <c r="AS44" s="93" t="s">
        <v>124</v>
      </c>
    </row>
    <row r="45" spans="1:45" x14ac:dyDescent="0.2">
      <c r="A45" s="247"/>
      <c r="B45" s="389" t="s">
        <v>278</v>
      </c>
      <c r="C45" s="389">
        <v>3</v>
      </c>
      <c r="D45" s="179"/>
      <c r="E45" s="389" t="s">
        <v>417</v>
      </c>
      <c r="F45" s="389">
        <v>3</v>
      </c>
      <c r="G45" s="179"/>
      <c r="H45" s="389" t="s">
        <v>174</v>
      </c>
      <c r="I45" s="179"/>
      <c r="J45" s="389">
        <v>2021</v>
      </c>
      <c r="K45" s="179"/>
      <c r="L45" s="382"/>
      <c r="M45" s="382"/>
      <c r="N45" s="382"/>
      <c r="O45" s="382"/>
      <c r="P45" s="179"/>
      <c r="Q45" s="179"/>
      <c r="R45" s="382"/>
      <c r="S45" s="179"/>
      <c r="T45" s="179"/>
      <c r="U45" s="179"/>
      <c r="V45" s="179"/>
      <c r="W45" s="179"/>
      <c r="X45" s="179"/>
      <c r="Y45" s="179"/>
      <c r="Z45" s="179"/>
      <c r="AA45" s="179"/>
      <c r="AB45" s="179"/>
      <c r="AC45" s="179"/>
      <c r="AD45" s="179"/>
      <c r="AE45" s="179"/>
      <c r="AF45" s="179"/>
      <c r="AG45" s="179"/>
      <c r="AH45" s="541" t="s">
        <v>726</v>
      </c>
      <c r="AI45" s="541" t="s">
        <v>727</v>
      </c>
      <c r="AJ45" s="179"/>
      <c r="AK45" s="100" t="s">
        <v>426</v>
      </c>
      <c r="AL45" s="303">
        <f>'2a. Patients - incident'!D78</f>
        <v>0</v>
      </c>
      <c r="AM45" s="303">
        <f>'2a. Patients - incident'!E78</f>
        <v>0</v>
      </c>
      <c r="AN45" s="303">
        <f>'2a. Patients - incident'!F78</f>
        <v>0</v>
      </c>
      <c r="AO45" s="303">
        <f>'2a. Patients - incident'!G78</f>
        <v>0</v>
      </c>
      <c r="AP45" s="303">
        <f>'2a. Patients - incident'!H78</f>
        <v>0</v>
      </c>
      <c r="AQ45" s="303">
        <f>'2a. Patients - incident'!I78</f>
        <v>0</v>
      </c>
      <c r="AR45" s="603" t="str">
        <f>'2a. Patients - incident'!J78</f>
        <v/>
      </c>
      <c r="AS45" s="653">
        <f t="shared" ref="AS45:AS78" si="2">IF(AR45&lt;&gt;"",INDEX(ServiceSplitRPBS,AR45),0)</f>
        <v>0</v>
      </c>
    </row>
    <row r="46" spans="1:45" x14ac:dyDescent="0.2">
      <c r="A46" s="247"/>
      <c r="B46" s="179"/>
      <c r="C46" s="179"/>
      <c r="D46" s="179"/>
      <c r="E46" s="389" t="s">
        <v>217</v>
      </c>
      <c r="F46" s="389">
        <v>4</v>
      </c>
      <c r="G46" s="179"/>
      <c r="H46" s="179"/>
      <c r="I46" s="179"/>
      <c r="J46" s="389">
        <v>2022</v>
      </c>
      <c r="K46" s="179"/>
      <c r="L46" s="382"/>
      <c r="M46" s="382"/>
      <c r="N46" s="382"/>
      <c r="O46" s="382"/>
      <c r="P46" s="179"/>
      <c r="Q46" s="179"/>
      <c r="R46" s="382"/>
      <c r="S46" s="179"/>
      <c r="T46" s="179"/>
      <c r="U46" s="179"/>
      <c r="V46" s="179"/>
      <c r="W46" s="179"/>
      <c r="X46" s="179"/>
      <c r="Y46" s="179"/>
      <c r="Z46" s="179"/>
      <c r="AA46" s="179"/>
      <c r="AB46" s="179"/>
      <c r="AC46" s="179"/>
      <c r="AD46" s="179"/>
      <c r="AE46" s="179"/>
      <c r="AF46" s="179"/>
      <c r="AG46" s="179"/>
      <c r="AH46" s="541" t="s">
        <v>720</v>
      </c>
      <c r="AI46" s="541" t="s">
        <v>728</v>
      </c>
      <c r="AJ46" s="179"/>
      <c r="AK46" s="100" t="s">
        <v>427</v>
      </c>
      <c r="AL46" s="303">
        <f>'2a. Patients - incident'!D114</f>
        <v>0</v>
      </c>
      <c r="AM46" s="303">
        <f>'2a. Patients - incident'!E114</f>
        <v>0</v>
      </c>
      <c r="AN46" s="303">
        <f>'2a. Patients - incident'!F114</f>
        <v>0</v>
      </c>
      <c r="AO46" s="303">
        <f>'2a. Patients - incident'!G114</f>
        <v>0</v>
      </c>
      <c r="AP46" s="303">
        <f>'2a. Patients - incident'!H114</f>
        <v>0</v>
      </c>
      <c r="AQ46" s="303">
        <f>'2a. Patients - incident'!I114</f>
        <v>0</v>
      </c>
      <c r="AR46" s="603" t="str">
        <f>'2a. Patients - incident'!J114</f>
        <v/>
      </c>
      <c r="AS46" s="653">
        <f t="shared" si="2"/>
        <v>0</v>
      </c>
    </row>
    <row r="47" spans="1:45" x14ac:dyDescent="0.2">
      <c r="A47" s="247"/>
      <c r="B47" s="179"/>
      <c r="C47" s="179"/>
      <c r="D47" s="179"/>
      <c r="E47" s="308"/>
      <c r="F47" s="179"/>
      <c r="G47" s="179"/>
      <c r="H47" s="179"/>
      <c r="I47" s="179"/>
      <c r="J47" s="179"/>
      <c r="K47" s="179"/>
      <c r="L47" s="382"/>
      <c r="M47" s="382"/>
      <c r="N47" s="382"/>
      <c r="O47" s="382"/>
      <c r="P47" s="179"/>
      <c r="Q47" s="179"/>
      <c r="R47" s="382"/>
      <c r="S47" s="179"/>
      <c r="T47" s="179"/>
      <c r="U47" s="179"/>
      <c r="V47" s="179"/>
      <c r="W47" s="179"/>
      <c r="X47" s="179"/>
      <c r="Y47" s="179"/>
      <c r="Z47" s="179"/>
      <c r="AA47" s="179"/>
      <c r="AB47" s="179"/>
      <c r="AC47" s="179"/>
      <c r="AD47" s="179"/>
      <c r="AE47" s="179"/>
      <c r="AF47" s="179"/>
      <c r="AG47" s="179"/>
      <c r="AH47" s="541" t="s">
        <v>733</v>
      </c>
      <c r="AI47" s="541" t="s">
        <v>735</v>
      </c>
      <c r="AJ47" s="179"/>
      <c r="AK47" s="100" t="s">
        <v>428</v>
      </c>
      <c r="AL47" s="303">
        <f>'2a. Patients - incident'!D150</f>
        <v>0</v>
      </c>
      <c r="AM47" s="303">
        <f>'2a. Patients - incident'!E150</f>
        <v>0</v>
      </c>
      <c r="AN47" s="303">
        <f>'2a. Patients - incident'!F150</f>
        <v>0</v>
      </c>
      <c r="AO47" s="303">
        <f>'2a. Patients - incident'!G150</f>
        <v>0</v>
      </c>
      <c r="AP47" s="303">
        <f>'2a. Patients - incident'!H150</f>
        <v>0</v>
      </c>
      <c r="AQ47" s="303">
        <f>'2a. Patients - incident'!I150</f>
        <v>0</v>
      </c>
      <c r="AR47" s="603" t="str">
        <f>'2a. Patients - incident'!J150</f>
        <v/>
      </c>
      <c r="AS47" s="653">
        <f t="shared" si="2"/>
        <v>0</v>
      </c>
    </row>
    <row r="48" spans="1:45" x14ac:dyDescent="0.2">
      <c r="A48" s="247"/>
      <c r="B48" s="179"/>
      <c r="C48" s="179"/>
      <c r="D48" s="179"/>
      <c r="E48" s="308"/>
      <c r="F48" s="308"/>
      <c r="G48" s="179"/>
      <c r="H48" s="179"/>
      <c r="I48" s="179"/>
      <c r="J48" s="179"/>
      <c r="K48" s="179"/>
      <c r="L48" s="382"/>
      <c r="M48" s="382"/>
      <c r="N48" s="382"/>
      <c r="O48" s="382"/>
      <c r="P48" s="179"/>
      <c r="Q48" s="179"/>
      <c r="R48" s="382"/>
      <c r="S48" s="179"/>
      <c r="T48" s="179"/>
      <c r="U48" s="179"/>
      <c r="V48" s="179"/>
      <c r="W48" s="179"/>
      <c r="X48" s="179"/>
      <c r="Y48" s="179"/>
      <c r="Z48" s="179"/>
      <c r="AA48" s="179"/>
      <c r="AB48" s="179"/>
      <c r="AC48" s="179"/>
      <c r="AD48" s="179"/>
      <c r="AE48" s="179"/>
      <c r="AF48" s="179"/>
      <c r="AG48" s="179"/>
      <c r="AH48" s="541" t="s">
        <v>792</v>
      </c>
      <c r="AI48" s="541" t="s">
        <v>791</v>
      </c>
      <c r="AJ48" s="179"/>
      <c r="AK48" s="100" t="s">
        <v>429</v>
      </c>
      <c r="AL48" s="303">
        <f>'2a. Patients - incident'!D186</f>
        <v>0</v>
      </c>
      <c r="AM48" s="303">
        <f>'2a. Patients - incident'!E186</f>
        <v>0</v>
      </c>
      <c r="AN48" s="303">
        <f>'2a. Patients - incident'!F186</f>
        <v>0</v>
      </c>
      <c r="AO48" s="303">
        <f>'2a. Patients - incident'!G186</f>
        <v>0</v>
      </c>
      <c r="AP48" s="303">
        <f>'2a. Patients - incident'!H186</f>
        <v>0</v>
      </c>
      <c r="AQ48" s="303">
        <f>'2a. Patients - incident'!I186</f>
        <v>0</v>
      </c>
      <c r="AR48" s="603" t="str">
        <f>'2a. Patients - incident'!J186</f>
        <v/>
      </c>
      <c r="AS48" s="653">
        <f t="shared" si="2"/>
        <v>0</v>
      </c>
    </row>
    <row r="49" spans="1:45" x14ac:dyDescent="0.2">
      <c r="A49" s="247"/>
      <c r="B49" s="179"/>
      <c r="C49" s="179"/>
      <c r="D49" s="179"/>
      <c r="E49" s="179"/>
      <c r="F49" s="179"/>
      <c r="G49" s="179"/>
      <c r="H49" s="179"/>
      <c r="I49" s="179"/>
      <c r="K49" s="179"/>
      <c r="L49" s="382"/>
      <c r="M49" s="382"/>
      <c r="N49" s="382"/>
      <c r="O49" s="382"/>
      <c r="P49" s="179"/>
      <c r="Q49" s="179"/>
      <c r="R49" s="382"/>
      <c r="S49" s="179"/>
      <c r="T49" s="179"/>
      <c r="U49" s="179"/>
      <c r="V49" s="179"/>
      <c r="W49" s="179"/>
      <c r="X49" s="179"/>
      <c r="Y49" s="179"/>
      <c r="Z49" s="179"/>
      <c r="AA49" s="179"/>
      <c r="AB49" s="179"/>
      <c r="AC49" s="179"/>
      <c r="AD49" s="179"/>
      <c r="AE49" s="179"/>
      <c r="AF49" s="179"/>
      <c r="AG49" s="179"/>
      <c r="AH49" s="541" t="s">
        <v>856</v>
      </c>
      <c r="AI49" s="541" t="s">
        <v>861</v>
      </c>
      <c r="AJ49" s="179"/>
      <c r="AK49" s="100" t="s">
        <v>430</v>
      </c>
      <c r="AL49" s="303">
        <f>'2a. Patients - incident'!D222</f>
        <v>0</v>
      </c>
      <c r="AM49" s="303">
        <f>'2a. Patients - incident'!E222</f>
        <v>0</v>
      </c>
      <c r="AN49" s="303">
        <f>'2a. Patients - incident'!F222</f>
        <v>0</v>
      </c>
      <c r="AO49" s="303">
        <f>'2a. Patients - incident'!G222</f>
        <v>0</v>
      </c>
      <c r="AP49" s="303">
        <f>'2a. Patients - incident'!H222</f>
        <v>0</v>
      </c>
      <c r="AQ49" s="303">
        <f>'2a. Patients - incident'!I222</f>
        <v>0</v>
      </c>
      <c r="AR49" s="603" t="str">
        <f>'2a. Patients - incident'!J222</f>
        <v/>
      </c>
      <c r="AS49" s="653">
        <f t="shared" si="2"/>
        <v>0</v>
      </c>
    </row>
    <row r="50" spans="1:45" x14ac:dyDescent="0.2">
      <c r="A50" s="247"/>
      <c r="B50" s="179"/>
      <c r="C50" s="179"/>
      <c r="D50" s="179"/>
      <c r="E50" s="179"/>
      <c r="F50" s="179"/>
      <c r="G50" s="179"/>
      <c r="H50" s="179"/>
      <c r="I50" s="179"/>
      <c r="K50" s="179"/>
      <c r="L50" s="382"/>
      <c r="M50" s="382"/>
      <c r="N50" s="382"/>
      <c r="O50" s="382"/>
      <c r="P50" s="179"/>
      <c r="Q50" s="179"/>
      <c r="R50" s="382"/>
      <c r="S50" s="179"/>
      <c r="T50" s="179"/>
      <c r="U50" s="179"/>
      <c r="V50" s="179"/>
      <c r="W50" s="179"/>
      <c r="X50" s="179"/>
      <c r="Y50" s="179"/>
      <c r="Z50" s="179"/>
      <c r="AA50" s="179"/>
      <c r="AB50" s="179"/>
      <c r="AC50" s="179"/>
      <c r="AD50" s="179"/>
      <c r="AE50" s="179"/>
      <c r="AF50" s="179"/>
      <c r="AG50" s="179"/>
      <c r="AH50" s="541" t="s">
        <v>857</v>
      </c>
      <c r="AI50" s="541" t="s">
        <v>858</v>
      </c>
      <c r="AJ50" s="179"/>
      <c r="AK50" s="100" t="s">
        <v>431</v>
      </c>
      <c r="AL50" s="303">
        <f>'2a. Patients - incident'!D258</f>
        <v>0</v>
      </c>
      <c r="AM50" s="303">
        <f>'2a. Patients - incident'!E258</f>
        <v>0</v>
      </c>
      <c r="AN50" s="303">
        <f>'2a. Patients - incident'!F258</f>
        <v>0</v>
      </c>
      <c r="AO50" s="303">
        <f>'2a. Patients - incident'!G258</f>
        <v>0</v>
      </c>
      <c r="AP50" s="303">
        <f>'2a. Patients - incident'!H258</f>
        <v>0</v>
      </c>
      <c r="AQ50" s="303">
        <f>'2a. Patients - incident'!I258</f>
        <v>0</v>
      </c>
      <c r="AR50" s="603" t="str">
        <f>'2a. Patients - incident'!J258</f>
        <v/>
      </c>
      <c r="AS50" s="653">
        <f t="shared" si="2"/>
        <v>0</v>
      </c>
    </row>
    <row r="51" spans="1:45" x14ac:dyDescent="0.2">
      <c r="A51" s="247"/>
      <c r="B51" s="382"/>
      <c r="C51" s="382"/>
      <c r="D51" s="382"/>
      <c r="E51" s="382"/>
      <c r="F51" s="382"/>
      <c r="G51" s="382"/>
      <c r="H51" s="382"/>
      <c r="I51" s="179"/>
      <c r="K51" s="179"/>
      <c r="L51" s="382"/>
      <c r="M51" s="382"/>
      <c r="N51" s="382"/>
      <c r="O51" s="382"/>
      <c r="P51" s="179"/>
      <c r="Q51" s="179"/>
      <c r="R51" s="382"/>
      <c r="S51" s="179"/>
      <c r="T51" s="179"/>
      <c r="U51" s="179"/>
      <c r="V51" s="179"/>
      <c r="W51" s="179"/>
      <c r="X51" s="179"/>
      <c r="Y51" s="179"/>
      <c r="Z51" s="179"/>
      <c r="AA51" s="179"/>
      <c r="AB51" s="179"/>
      <c r="AC51" s="179"/>
      <c r="AD51" s="179"/>
      <c r="AE51" s="179"/>
      <c r="AF51" s="179"/>
      <c r="AG51" s="179"/>
      <c r="AH51" s="541" t="s">
        <v>877</v>
      </c>
      <c r="AI51" s="541" t="s">
        <v>878</v>
      </c>
      <c r="AJ51" s="179"/>
      <c r="AK51" s="100" t="s">
        <v>432</v>
      </c>
      <c r="AL51" s="303">
        <f>'2a. Patients - incident'!D294</f>
        <v>0</v>
      </c>
      <c r="AM51" s="303">
        <f>'2a. Patients - incident'!E294</f>
        <v>0</v>
      </c>
      <c r="AN51" s="303">
        <f>'2a. Patients - incident'!F294</f>
        <v>0</v>
      </c>
      <c r="AO51" s="303">
        <f>'2a. Patients - incident'!G294</f>
        <v>0</v>
      </c>
      <c r="AP51" s="303">
        <f>'2a. Patients - incident'!H294</f>
        <v>0</v>
      </c>
      <c r="AQ51" s="303">
        <f>'2a. Patients - incident'!I294</f>
        <v>0</v>
      </c>
      <c r="AR51" s="603" t="str">
        <f>'2a. Patients - incident'!J294</f>
        <v/>
      </c>
      <c r="AS51" s="653">
        <f t="shared" si="2"/>
        <v>0</v>
      </c>
    </row>
    <row r="52" spans="1:45" x14ac:dyDescent="0.2">
      <c r="A52" s="179"/>
      <c r="B52" s="382"/>
      <c r="C52" s="382"/>
      <c r="D52" s="382"/>
      <c r="E52" s="382"/>
      <c r="F52" s="382"/>
      <c r="G52" s="382"/>
      <c r="H52" s="382"/>
      <c r="I52" s="179"/>
      <c r="K52" s="179"/>
      <c r="L52" s="382"/>
      <c r="M52" s="382"/>
      <c r="N52" s="382"/>
      <c r="O52" s="382"/>
      <c r="P52" s="179"/>
      <c r="Q52" s="179"/>
      <c r="R52" s="382"/>
      <c r="S52" s="179"/>
      <c r="T52" s="179"/>
      <c r="U52" s="179"/>
      <c r="V52" s="179"/>
      <c r="W52" s="179"/>
      <c r="X52" s="179"/>
      <c r="Y52" s="179"/>
      <c r="Z52" s="179"/>
      <c r="AA52" s="179"/>
      <c r="AB52" s="179"/>
      <c r="AC52" s="179"/>
      <c r="AD52" s="179"/>
      <c r="AE52" s="179"/>
      <c r="AF52" s="179"/>
      <c r="AG52" s="179"/>
      <c r="AH52" s="541">
        <v>9</v>
      </c>
      <c r="AI52" s="541"/>
      <c r="AJ52" s="179"/>
      <c r="AK52" s="100" t="s">
        <v>433</v>
      </c>
      <c r="AL52" s="303">
        <f>'2a. Patients - incident'!D330</f>
        <v>0</v>
      </c>
      <c r="AM52" s="303">
        <f>'2a. Patients - incident'!E330</f>
        <v>0</v>
      </c>
      <c r="AN52" s="303">
        <f>'2a. Patients - incident'!F330</f>
        <v>0</v>
      </c>
      <c r="AO52" s="303">
        <f>'2a. Patients - incident'!G330</f>
        <v>0</v>
      </c>
      <c r="AP52" s="303">
        <f>'2a. Patients - incident'!H330</f>
        <v>0</v>
      </c>
      <c r="AQ52" s="303">
        <f>'2a. Patients - incident'!I330</f>
        <v>0</v>
      </c>
      <c r="AR52" s="603" t="str">
        <f>'2a. Patients - incident'!J330</f>
        <v/>
      </c>
      <c r="AS52" s="653">
        <f t="shared" si="2"/>
        <v>0</v>
      </c>
    </row>
    <row r="53" spans="1:45" x14ac:dyDescent="0.2">
      <c r="A53" s="179"/>
      <c r="B53" s="873" t="s">
        <v>218</v>
      </c>
      <c r="C53" s="731"/>
      <c r="D53" s="179"/>
      <c r="E53" s="873" t="s">
        <v>302</v>
      </c>
      <c r="F53" s="731"/>
      <c r="G53" s="179"/>
      <c r="H53" s="300" t="s">
        <v>67</v>
      </c>
      <c r="I53" s="179"/>
      <c r="J53" s="300" t="s">
        <v>59</v>
      </c>
      <c r="K53" s="179"/>
      <c r="L53" s="503"/>
      <c r="M53" s="503"/>
      <c r="N53" s="503"/>
      <c r="O53" s="382"/>
      <c r="P53" s="179"/>
      <c r="Q53" s="179"/>
      <c r="R53" s="382"/>
      <c r="S53" s="179"/>
      <c r="T53" s="179"/>
      <c r="U53" s="179"/>
      <c r="V53" s="179"/>
      <c r="W53" s="179"/>
      <c r="X53" s="179"/>
      <c r="Y53" s="179"/>
      <c r="Z53" s="179"/>
      <c r="AA53" s="179"/>
      <c r="AB53" s="179"/>
      <c r="AC53" s="179"/>
      <c r="AD53" s="179"/>
      <c r="AE53" s="179"/>
      <c r="AF53" s="179"/>
      <c r="AG53" s="179"/>
      <c r="AH53" s="541">
        <v>10</v>
      </c>
      <c r="AI53" s="541"/>
      <c r="AJ53" s="179"/>
      <c r="AK53" s="100" t="s">
        <v>434</v>
      </c>
      <c r="AL53" s="303">
        <f>'2a. Patients - incident'!D366</f>
        <v>0</v>
      </c>
      <c r="AM53" s="303">
        <f>'2a. Patients - incident'!E366</f>
        <v>0</v>
      </c>
      <c r="AN53" s="303">
        <f>'2a. Patients - incident'!F366</f>
        <v>0</v>
      </c>
      <c r="AO53" s="303">
        <f>'2a. Patients - incident'!G366</f>
        <v>0</v>
      </c>
      <c r="AP53" s="303">
        <f>'2a. Patients - incident'!H366</f>
        <v>0</v>
      </c>
      <c r="AQ53" s="303">
        <f>'2a. Patients - incident'!I366</f>
        <v>0</v>
      </c>
      <c r="AR53" s="603" t="str">
        <f>'2a. Patients - incident'!J366</f>
        <v/>
      </c>
      <c r="AS53" s="653">
        <f t="shared" si="2"/>
        <v>0</v>
      </c>
    </row>
    <row r="54" spans="1:45" x14ac:dyDescent="0.2">
      <c r="A54" s="247"/>
      <c r="B54" s="389" t="s">
        <v>69</v>
      </c>
      <c r="C54" s="389" t="s">
        <v>175</v>
      </c>
      <c r="D54" s="179"/>
      <c r="E54" s="389" t="s">
        <v>966</v>
      </c>
      <c r="F54" s="389">
        <v>0</v>
      </c>
      <c r="G54" s="179"/>
      <c r="H54" s="389" t="s">
        <v>70</v>
      </c>
      <c r="I54" s="179"/>
      <c r="J54" s="389" t="s">
        <v>62</v>
      </c>
      <c r="K54" s="179"/>
      <c r="L54" s="503"/>
      <c r="M54" s="503"/>
      <c r="N54" s="503"/>
      <c r="O54" s="382"/>
      <c r="P54" s="179"/>
      <c r="Q54" s="179"/>
      <c r="R54" s="382"/>
      <c r="S54" s="179"/>
      <c r="T54" s="179"/>
      <c r="U54" s="179"/>
      <c r="V54" s="179"/>
      <c r="W54" s="179"/>
      <c r="X54" s="179"/>
      <c r="Y54" s="179"/>
      <c r="Z54" s="179"/>
      <c r="AA54" s="179"/>
      <c r="AB54" s="179"/>
      <c r="AC54" s="179"/>
      <c r="AD54" s="179"/>
      <c r="AE54" s="179"/>
      <c r="AF54" s="179"/>
      <c r="AG54" s="179"/>
      <c r="AH54" s="673">
        <v>11</v>
      </c>
      <c r="AI54" s="673"/>
      <c r="AJ54" s="179"/>
      <c r="AK54" s="100" t="s">
        <v>435</v>
      </c>
      <c r="AL54" s="303">
        <f>'2a. Patients - incident'!D402</f>
        <v>0</v>
      </c>
      <c r="AM54" s="303">
        <f>'2a. Patients - incident'!E402</f>
        <v>0</v>
      </c>
      <c r="AN54" s="303">
        <f>'2a. Patients - incident'!F402</f>
        <v>0</v>
      </c>
      <c r="AO54" s="303">
        <f>'2a. Patients - incident'!G402</f>
        <v>0</v>
      </c>
      <c r="AP54" s="303">
        <f>'2a. Patients - incident'!H402</f>
        <v>0</v>
      </c>
      <c r="AQ54" s="303">
        <f>'2a. Patients - incident'!I402</f>
        <v>0</v>
      </c>
      <c r="AR54" s="603" t="str">
        <f>'2a. Patients - incident'!J402</f>
        <v/>
      </c>
      <c r="AS54" s="653">
        <f t="shared" si="2"/>
        <v>0</v>
      </c>
    </row>
    <row r="55" spans="1:45" x14ac:dyDescent="0.2">
      <c r="A55" s="247"/>
      <c r="B55" s="389" t="s">
        <v>72</v>
      </c>
      <c r="C55" s="389" t="s">
        <v>176</v>
      </c>
      <c r="D55" s="179"/>
      <c r="E55" s="389" t="s">
        <v>303</v>
      </c>
      <c r="F55" s="389">
        <v>1</v>
      </c>
      <c r="G55" s="179"/>
      <c r="H55" s="389" t="s">
        <v>73</v>
      </c>
      <c r="I55" s="179"/>
      <c r="J55" s="389" t="s">
        <v>65</v>
      </c>
      <c r="K55" s="179"/>
      <c r="L55" s="503"/>
      <c r="M55" s="503"/>
      <c r="N55" s="503"/>
      <c r="O55" s="382"/>
      <c r="P55" s="179"/>
      <c r="Q55" s="179"/>
      <c r="R55" s="382"/>
      <c r="S55" s="179"/>
      <c r="T55" s="179"/>
      <c r="U55" s="179"/>
      <c r="V55" s="179"/>
      <c r="W55" s="179"/>
      <c r="X55" s="179"/>
      <c r="Y55" s="179"/>
      <c r="Z55" s="179"/>
      <c r="AA55" s="179"/>
      <c r="AB55" s="179"/>
      <c r="AC55" s="179"/>
      <c r="AD55" s="179"/>
      <c r="AE55" s="179"/>
      <c r="AF55" s="179"/>
      <c r="AG55" s="179"/>
      <c r="AH55" s="673">
        <v>12</v>
      </c>
      <c r="AI55" s="673"/>
      <c r="AJ55" s="179"/>
      <c r="AK55" s="100" t="s">
        <v>436</v>
      </c>
      <c r="AL55" s="303">
        <f>'2b. Patients - prevalent'!D78</f>
        <v>0</v>
      </c>
      <c r="AM55" s="303">
        <f>'2b. Patients - prevalent'!E78</f>
        <v>0</v>
      </c>
      <c r="AN55" s="303">
        <f>'2b. Patients - prevalent'!F78</f>
        <v>0</v>
      </c>
      <c r="AO55" s="303">
        <f>'2b. Patients - prevalent'!G78</f>
        <v>0</v>
      </c>
      <c r="AP55" s="303">
        <f>'2b. Patients - prevalent'!H78</f>
        <v>0</v>
      </c>
      <c r="AQ55" s="303">
        <f>'2b. Patients - prevalent'!I78</f>
        <v>0</v>
      </c>
      <c r="AR55" s="603" t="str">
        <f>'2b. Patients - prevalent'!J78</f>
        <v/>
      </c>
      <c r="AS55" s="653">
        <f t="shared" si="2"/>
        <v>0</v>
      </c>
    </row>
    <row r="56" spans="1:45" x14ac:dyDescent="0.2">
      <c r="A56" s="247"/>
      <c r="B56" s="389" t="s">
        <v>47</v>
      </c>
      <c r="C56" s="389" t="s">
        <v>177</v>
      </c>
      <c r="D56" s="179"/>
      <c r="E56" s="179"/>
      <c r="F56" s="179"/>
      <c r="G56" s="179"/>
      <c r="H56" s="389" t="s">
        <v>174</v>
      </c>
      <c r="I56" s="179"/>
      <c r="J56" s="389"/>
      <c r="K56" s="179"/>
      <c r="L56" s="503"/>
      <c r="M56" s="503"/>
      <c r="N56" s="503"/>
      <c r="O56" s="382"/>
      <c r="P56" s="179"/>
      <c r="Q56" s="179"/>
      <c r="R56" s="382"/>
      <c r="S56" s="179"/>
      <c r="T56" s="179"/>
      <c r="U56" s="179"/>
      <c r="V56" s="179"/>
      <c r="W56" s="179"/>
      <c r="X56" s="179"/>
      <c r="Y56" s="179"/>
      <c r="Z56" s="179"/>
      <c r="AA56" s="179"/>
      <c r="AB56" s="179"/>
      <c r="AC56" s="179"/>
      <c r="AD56" s="179"/>
      <c r="AE56" s="179"/>
      <c r="AF56" s="179"/>
      <c r="AG56" s="179"/>
      <c r="AH56" s="673">
        <v>13</v>
      </c>
      <c r="AI56" s="673"/>
      <c r="AJ56" s="179"/>
      <c r="AK56" s="100" t="s">
        <v>437</v>
      </c>
      <c r="AL56" s="303">
        <f>'2b. Patients - prevalent'!D114</f>
        <v>0</v>
      </c>
      <c r="AM56" s="303">
        <f>'2b. Patients - prevalent'!E114</f>
        <v>0</v>
      </c>
      <c r="AN56" s="303">
        <f>'2b. Patients - prevalent'!F114</f>
        <v>0</v>
      </c>
      <c r="AO56" s="303">
        <f>'2b. Patients - prevalent'!G114</f>
        <v>0</v>
      </c>
      <c r="AP56" s="303">
        <f>'2b. Patients - prevalent'!H114</f>
        <v>0</v>
      </c>
      <c r="AQ56" s="303">
        <f>'2b. Patients - prevalent'!I114</f>
        <v>0</v>
      </c>
      <c r="AR56" s="603" t="str">
        <f>'2b. Patients - prevalent'!J114</f>
        <v/>
      </c>
      <c r="AS56" s="653">
        <f t="shared" si="2"/>
        <v>0</v>
      </c>
    </row>
    <row r="57" spans="1:45" x14ac:dyDescent="0.2">
      <c r="A57" s="247"/>
      <c r="B57" s="179"/>
      <c r="C57" s="179"/>
      <c r="D57" s="179"/>
      <c r="E57" s="308"/>
      <c r="F57" s="308"/>
      <c r="G57" s="179"/>
      <c r="H57" s="179"/>
      <c r="I57" s="179"/>
      <c r="J57" s="389"/>
      <c r="K57" s="179"/>
      <c r="L57" s="503"/>
      <c r="M57" s="503"/>
      <c r="N57" s="503"/>
      <c r="O57" s="382"/>
      <c r="P57" s="179"/>
      <c r="Q57" s="179"/>
      <c r="R57" s="382"/>
      <c r="S57" s="179"/>
      <c r="T57" s="179"/>
      <c r="U57" s="179"/>
      <c r="V57" s="179"/>
      <c r="W57" s="179"/>
      <c r="X57" s="179"/>
      <c r="Y57" s="179"/>
      <c r="Z57" s="179"/>
      <c r="AA57" s="179"/>
      <c r="AB57" s="179"/>
      <c r="AC57" s="179"/>
      <c r="AD57" s="179"/>
      <c r="AE57" s="179"/>
      <c r="AF57" s="179"/>
      <c r="AG57" s="179"/>
      <c r="AH57" s="673">
        <v>14</v>
      </c>
      <c r="AI57" s="673"/>
      <c r="AJ57" s="179"/>
      <c r="AK57" s="100" t="s">
        <v>438</v>
      </c>
      <c r="AL57" s="303">
        <f>'2b. Patients - prevalent'!D150</f>
        <v>0</v>
      </c>
      <c r="AM57" s="303">
        <f>'2b. Patients - prevalent'!E150</f>
        <v>0</v>
      </c>
      <c r="AN57" s="303">
        <f>'2b. Patients - prevalent'!F150</f>
        <v>0</v>
      </c>
      <c r="AO57" s="303">
        <f>'2b. Patients - prevalent'!G150</f>
        <v>0</v>
      </c>
      <c r="AP57" s="303">
        <f>'2b. Patients - prevalent'!H150</f>
        <v>0</v>
      </c>
      <c r="AQ57" s="303">
        <f>'2b. Patients - prevalent'!I150</f>
        <v>0</v>
      </c>
      <c r="AR57" s="603" t="str">
        <f>'2b. Patients - prevalent'!J150</f>
        <v/>
      </c>
      <c r="AS57" s="653">
        <f t="shared" si="2"/>
        <v>0</v>
      </c>
    </row>
    <row r="58" spans="1:45" x14ac:dyDescent="0.2">
      <c r="A58" s="247"/>
      <c r="B58" s="179"/>
      <c r="C58" s="179"/>
      <c r="D58" s="179"/>
      <c r="E58" s="179"/>
      <c r="F58" s="179"/>
      <c r="G58" s="179"/>
      <c r="H58" s="179"/>
      <c r="I58" s="179"/>
      <c r="K58" s="179"/>
      <c r="L58" s="503"/>
      <c r="M58" s="503"/>
      <c r="N58" s="503"/>
      <c r="O58" s="382"/>
      <c r="P58" s="179"/>
      <c r="Q58" s="179"/>
      <c r="R58" s="382"/>
      <c r="S58" s="179"/>
      <c r="T58" s="179"/>
      <c r="U58" s="179"/>
      <c r="V58" s="179"/>
      <c r="W58" s="179"/>
      <c r="X58" s="179"/>
      <c r="Y58" s="179"/>
      <c r="Z58" s="179"/>
      <c r="AA58" s="179"/>
      <c r="AB58" s="179"/>
      <c r="AC58" s="179"/>
      <c r="AD58" s="179"/>
      <c r="AE58" s="179"/>
      <c r="AF58" s="179"/>
      <c r="AG58" s="179"/>
      <c r="AH58" s="673">
        <v>15</v>
      </c>
      <c r="AI58" s="673"/>
      <c r="AJ58" s="179"/>
      <c r="AK58" s="100" t="s">
        <v>439</v>
      </c>
      <c r="AL58" s="303">
        <f>'2b. Patients - prevalent'!D186</f>
        <v>0</v>
      </c>
      <c r="AM58" s="303">
        <f>'2b. Patients - prevalent'!E186</f>
        <v>0</v>
      </c>
      <c r="AN58" s="303">
        <f>'2b. Patients - prevalent'!F186</f>
        <v>0</v>
      </c>
      <c r="AO58" s="303">
        <f>'2b. Patients - prevalent'!G186</f>
        <v>0</v>
      </c>
      <c r="AP58" s="303">
        <f>'2b. Patients - prevalent'!H186</f>
        <v>0</v>
      </c>
      <c r="AQ58" s="303">
        <f>'2b. Patients - prevalent'!I186</f>
        <v>0</v>
      </c>
      <c r="AR58" s="603" t="str">
        <f>'2b. Patients - prevalent'!J186</f>
        <v/>
      </c>
      <c r="AS58" s="653">
        <f t="shared" si="2"/>
        <v>0</v>
      </c>
    </row>
    <row r="59" spans="1:45" x14ac:dyDescent="0.2">
      <c r="A59" s="247"/>
      <c r="B59" s="179"/>
      <c r="C59" s="179"/>
      <c r="D59" s="179"/>
      <c r="E59" s="179"/>
      <c r="F59" s="179"/>
      <c r="G59" s="179"/>
      <c r="H59" s="179"/>
      <c r="I59" s="179"/>
      <c r="K59" s="179"/>
      <c r="L59" s="503"/>
      <c r="M59" s="503"/>
      <c r="N59" s="503"/>
      <c r="O59" s="382"/>
      <c r="P59" s="179"/>
      <c r="Q59" s="179"/>
      <c r="R59" s="382"/>
      <c r="S59" s="179"/>
      <c r="T59" s="179"/>
      <c r="U59" s="179"/>
      <c r="V59" s="179"/>
      <c r="W59" s="179"/>
      <c r="X59" s="179"/>
      <c r="Y59" s="179"/>
      <c r="Z59" s="179"/>
      <c r="AA59" s="179"/>
      <c r="AB59" s="179"/>
      <c r="AC59" s="179"/>
      <c r="AD59" s="179"/>
      <c r="AE59" s="179"/>
      <c r="AF59" s="179"/>
      <c r="AG59" s="179"/>
      <c r="AH59" s="673">
        <v>16</v>
      </c>
      <c r="AI59" s="673"/>
      <c r="AJ59" s="179"/>
      <c r="AK59" s="100" t="s">
        <v>440</v>
      </c>
      <c r="AL59" s="303">
        <f>'2b. Patients - prevalent'!D222</f>
        <v>0</v>
      </c>
      <c r="AM59" s="303">
        <f>'2b. Patients - prevalent'!E222</f>
        <v>0</v>
      </c>
      <c r="AN59" s="303">
        <f>'2b. Patients - prevalent'!F222</f>
        <v>0</v>
      </c>
      <c r="AO59" s="303">
        <f>'2b. Patients - prevalent'!G222</f>
        <v>0</v>
      </c>
      <c r="AP59" s="303">
        <f>'2b. Patients - prevalent'!H222</f>
        <v>0</v>
      </c>
      <c r="AQ59" s="303">
        <f>'2b. Patients - prevalent'!I222</f>
        <v>0</v>
      </c>
      <c r="AR59" s="603" t="str">
        <f>'2b. Patients - prevalent'!J222</f>
        <v/>
      </c>
      <c r="AS59" s="653">
        <f t="shared" si="2"/>
        <v>0</v>
      </c>
    </row>
    <row r="60" spans="1:45" x14ac:dyDescent="0.2">
      <c r="A60" s="247"/>
      <c r="B60" s="179"/>
      <c r="C60" s="179"/>
      <c r="D60" s="179"/>
      <c r="E60" s="179"/>
      <c r="F60" s="179"/>
      <c r="G60" s="179"/>
      <c r="H60" s="179"/>
      <c r="I60" s="179"/>
      <c r="K60" s="179"/>
      <c r="L60" s="382"/>
      <c r="M60" s="382"/>
      <c r="N60" s="382"/>
      <c r="O60" s="382"/>
      <c r="P60" s="179"/>
      <c r="Q60" s="179"/>
      <c r="R60" s="382"/>
      <c r="S60" s="179"/>
      <c r="T60" s="179"/>
      <c r="U60" s="179"/>
      <c r="V60" s="179"/>
      <c r="W60" s="179"/>
      <c r="X60" s="179"/>
      <c r="Y60" s="179"/>
      <c r="Z60" s="179"/>
      <c r="AA60" s="179"/>
      <c r="AB60" s="179"/>
      <c r="AC60" s="179"/>
      <c r="AD60" s="179"/>
      <c r="AE60" s="179"/>
      <c r="AF60" s="179"/>
      <c r="AG60" s="179"/>
      <c r="AH60" s="673">
        <v>17</v>
      </c>
      <c r="AI60" s="673"/>
      <c r="AJ60" s="179"/>
      <c r="AK60" s="100" t="s">
        <v>441</v>
      </c>
      <c r="AL60" s="303">
        <f>'2b. Patients - prevalent'!D258</f>
        <v>0</v>
      </c>
      <c r="AM60" s="303">
        <f>'2b. Patients - prevalent'!E258</f>
        <v>0</v>
      </c>
      <c r="AN60" s="303">
        <f>'2b. Patients - prevalent'!F258</f>
        <v>0</v>
      </c>
      <c r="AO60" s="303">
        <f>'2b. Patients - prevalent'!G258</f>
        <v>0</v>
      </c>
      <c r="AP60" s="303">
        <f>'2b. Patients - prevalent'!H258</f>
        <v>0</v>
      </c>
      <c r="AQ60" s="303">
        <f>'2b. Patients - prevalent'!I258</f>
        <v>0</v>
      </c>
      <c r="AR60" s="603" t="str">
        <f>'2b. Patients - prevalent'!J258</f>
        <v/>
      </c>
      <c r="AS60" s="653">
        <f t="shared" si="2"/>
        <v>0</v>
      </c>
    </row>
    <row r="61" spans="1:45" x14ac:dyDescent="0.2">
      <c r="A61" s="247"/>
      <c r="B61" s="179"/>
      <c r="C61" s="179"/>
      <c r="D61" s="179"/>
      <c r="E61" s="179"/>
      <c r="F61" s="179"/>
      <c r="G61" s="179"/>
      <c r="H61" s="179"/>
      <c r="I61" s="179"/>
      <c r="K61" s="179"/>
      <c r="L61" s="382"/>
      <c r="M61" s="382"/>
      <c r="N61" s="382"/>
      <c r="O61" s="382"/>
      <c r="P61" s="179"/>
      <c r="Q61" s="179"/>
      <c r="R61" s="382"/>
      <c r="S61" s="179"/>
      <c r="T61" s="179"/>
      <c r="U61" s="179"/>
      <c r="V61" s="179"/>
      <c r="W61" s="179"/>
      <c r="X61" s="179"/>
      <c r="Y61" s="179"/>
      <c r="Z61" s="179"/>
      <c r="AA61" s="179"/>
      <c r="AB61" s="179"/>
      <c r="AC61" s="179"/>
      <c r="AD61" s="179"/>
      <c r="AE61" s="179"/>
      <c r="AF61" s="179"/>
      <c r="AG61" s="179"/>
      <c r="AH61" s="673">
        <v>18</v>
      </c>
      <c r="AI61" s="673"/>
      <c r="AJ61" s="179"/>
      <c r="AK61" s="100" t="s">
        <v>442</v>
      </c>
      <c r="AL61" s="303">
        <f>'2b. Patients - prevalent'!D294</f>
        <v>0</v>
      </c>
      <c r="AM61" s="303">
        <f>'2b. Patients - prevalent'!E294</f>
        <v>0</v>
      </c>
      <c r="AN61" s="303">
        <f>'2b. Patients - prevalent'!F294</f>
        <v>0</v>
      </c>
      <c r="AO61" s="303">
        <f>'2b. Patients - prevalent'!G294</f>
        <v>0</v>
      </c>
      <c r="AP61" s="303">
        <f>'2b. Patients - prevalent'!H294</f>
        <v>0</v>
      </c>
      <c r="AQ61" s="303">
        <f>'2b. Patients - prevalent'!I294</f>
        <v>0</v>
      </c>
      <c r="AR61" s="603" t="str">
        <f>'2b. Patients - prevalent'!J294</f>
        <v/>
      </c>
      <c r="AS61" s="653">
        <f t="shared" si="2"/>
        <v>0</v>
      </c>
    </row>
    <row r="62" spans="1:45" x14ac:dyDescent="0.2">
      <c r="A62" s="247"/>
      <c r="B62" s="179"/>
      <c r="C62" s="179"/>
      <c r="D62" s="179"/>
      <c r="E62" s="308"/>
      <c r="F62" s="308"/>
      <c r="G62" s="179"/>
      <c r="H62" s="179"/>
      <c r="I62" s="179"/>
      <c r="K62" s="179"/>
      <c r="L62" s="382"/>
      <c r="M62" s="382"/>
      <c r="N62" s="382"/>
      <c r="O62" s="382"/>
      <c r="P62" s="179"/>
      <c r="Q62" s="179"/>
      <c r="R62" s="382"/>
      <c r="S62" s="179"/>
      <c r="T62" s="179"/>
      <c r="U62" s="179"/>
      <c r="V62" s="179"/>
      <c r="W62" s="179"/>
      <c r="X62" s="179"/>
      <c r="Y62" s="179"/>
      <c r="Z62" s="179"/>
      <c r="AA62" s="179"/>
      <c r="AB62" s="179"/>
      <c r="AC62" s="179"/>
      <c r="AD62" s="179"/>
      <c r="AE62" s="179"/>
      <c r="AF62" s="179"/>
      <c r="AG62" s="179"/>
      <c r="AH62" s="673">
        <v>19</v>
      </c>
      <c r="AI62" s="673"/>
      <c r="AJ62" s="179"/>
      <c r="AK62" s="100" t="s">
        <v>443</v>
      </c>
      <c r="AL62" s="303">
        <f>'2b. Patients - prevalent'!D330</f>
        <v>0</v>
      </c>
      <c r="AM62" s="303">
        <f>'2b. Patients - prevalent'!E330</f>
        <v>0</v>
      </c>
      <c r="AN62" s="303">
        <f>'2b. Patients - prevalent'!F330</f>
        <v>0</v>
      </c>
      <c r="AO62" s="303">
        <f>'2b. Patients - prevalent'!G330</f>
        <v>0</v>
      </c>
      <c r="AP62" s="303">
        <f>'2b. Patients - prevalent'!H330</f>
        <v>0</v>
      </c>
      <c r="AQ62" s="303">
        <f>'2b. Patients - prevalent'!I330</f>
        <v>0</v>
      </c>
      <c r="AR62" s="603" t="str">
        <f>'2b. Patients - prevalent'!J330</f>
        <v/>
      </c>
      <c r="AS62" s="653">
        <f t="shared" si="2"/>
        <v>0</v>
      </c>
    </row>
    <row r="63" spans="1:45" x14ac:dyDescent="0.2">
      <c r="A63" s="247"/>
      <c r="B63" s="382"/>
      <c r="C63" s="382"/>
      <c r="D63" s="382"/>
      <c r="E63" s="308"/>
      <c r="F63" s="308"/>
      <c r="G63" s="382"/>
      <c r="H63" s="382"/>
      <c r="I63" s="382"/>
      <c r="K63" s="179"/>
      <c r="L63" s="382"/>
      <c r="M63" s="382"/>
      <c r="N63" s="382"/>
      <c r="O63" s="382"/>
      <c r="P63" s="179"/>
      <c r="Q63" s="179"/>
      <c r="R63" s="382"/>
      <c r="S63" s="179"/>
      <c r="T63" s="179"/>
      <c r="U63" s="179"/>
      <c r="V63" s="179"/>
      <c r="W63" s="179"/>
      <c r="X63" s="179"/>
      <c r="Y63" s="179"/>
      <c r="Z63" s="179"/>
      <c r="AA63" s="179"/>
      <c r="AB63" s="179"/>
      <c r="AC63" s="179"/>
      <c r="AD63" s="179"/>
      <c r="AE63" s="179"/>
      <c r="AF63" s="179"/>
      <c r="AG63" s="179"/>
      <c r="AH63" s="673">
        <v>20</v>
      </c>
      <c r="AI63" s="673"/>
      <c r="AJ63" s="179"/>
      <c r="AK63" s="100" t="s">
        <v>444</v>
      </c>
      <c r="AL63" s="303">
        <f>'2b. Patients - prevalent'!D366</f>
        <v>0</v>
      </c>
      <c r="AM63" s="303">
        <f>'2b. Patients - prevalent'!E366</f>
        <v>0</v>
      </c>
      <c r="AN63" s="303">
        <f>'2b. Patients - prevalent'!F366</f>
        <v>0</v>
      </c>
      <c r="AO63" s="303">
        <f>'2b. Patients - prevalent'!G366</f>
        <v>0</v>
      </c>
      <c r="AP63" s="303">
        <f>'2b. Patients - prevalent'!H366</f>
        <v>0</v>
      </c>
      <c r="AQ63" s="303">
        <f>'2b. Patients - prevalent'!I366</f>
        <v>0</v>
      </c>
      <c r="AR63" s="603" t="str">
        <f>'2b. Patients - prevalent'!J366</f>
        <v/>
      </c>
      <c r="AS63" s="653">
        <f t="shared" si="2"/>
        <v>0</v>
      </c>
    </row>
    <row r="64" spans="1:45" x14ac:dyDescent="0.2">
      <c r="A64" s="179"/>
      <c r="B64" s="382"/>
      <c r="C64" s="382"/>
      <c r="D64" s="382"/>
      <c r="E64" s="308"/>
      <c r="F64" s="308"/>
      <c r="G64" s="382"/>
      <c r="H64" s="382"/>
      <c r="I64" s="382"/>
      <c r="K64" s="179"/>
      <c r="L64" s="382"/>
      <c r="M64" s="382"/>
      <c r="N64" s="382"/>
      <c r="O64" s="382"/>
      <c r="P64" s="179"/>
      <c r="Q64" s="179"/>
      <c r="R64" s="382"/>
      <c r="S64" s="179"/>
      <c r="T64" s="179"/>
      <c r="U64" s="179"/>
      <c r="V64" s="179"/>
      <c r="W64" s="179"/>
      <c r="X64" s="179"/>
      <c r="Y64" s="179"/>
      <c r="Z64" s="179"/>
      <c r="AA64" s="179"/>
      <c r="AB64" s="179"/>
      <c r="AC64" s="179"/>
      <c r="AD64" s="179"/>
      <c r="AE64" s="179"/>
      <c r="AF64" s="179"/>
      <c r="AG64" s="179"/>
      <c r="AH64" s="593"/>
      <c r="AI64" s="593"/>
      <c r="AJ64" s="179"/>
      <c r="AK64" s="100" t="s">
        <v>445</v>
      </c>
      <c r="AL64" s="303">
        <f>'2b. Patients - prevalent'!D402</f>
        <v>0</v>
      </c>
      <c r="AM64" s="303">
        <f>'2b. Patients - prevalent'!E402</f>
        <v>0</v>
      </c>
      <c r="AN64" s="303">
        <f>'2b. Patients - prevalent'!F402</f>
        <v>0</v>
      </c>
      <c r="AO64" s="303">
        <f>'2b. Patients - prevalent'!G402</f>
        <v>0</v>
      </c>
      <c r="AP64" s="303">
        <f>'2b. Patients - prevalent'!H402</f>
        <v>0</v>
      </c>
      <c r="AQ64" s="303">
        <f>'2b. Patients - prevalent'!I402</f>
        <v>0</v>
      </c>
      <c r="AR64" s="603" t="str">
        <f>'2b. Patients - prevalent'!J402</f>
        <v/>
      </c>
      <c r="AS64" s="653">
        <f t="shared" si="2"/>
        <v>0</v>
      </c>
    </row>
    <row r="65" spans="1:45" x14ac:dyDescent="0.2">
      <c r="A65" s="179"/>
      <c r="B65" s="873" t="s">
        <v>228</v>
      </c>
      <c r="C65" s="731"/>
      <c r="D65" s="179"/>
      <c r="E65" s="873" t="s">
        <v>408</v>
      </c>
      <c r="F65" s="731"/>
      <c r="G65" s="179"/>
      <c r="H65" s="300" t="s">
        <v>239</v>
      </c>
      <c r="I65" s="179"/>
      <c r="J65" s="300" t="s">
        <v>50</v>
      </c>
      <c r="K65" s="179"/>
      <c r="L65" s="382"/>
      <c r="M65" s="382"/>
      <c r="N65" s="382"/>
      <c r="O65" s="382"/>
      <c r="P65" s="179"/>
      <c r="Q65" s="179"/>
      <c r="R65" s="382"/>
      <c r="S65" s="179"/>
      <c r="T65" s="179"/>
      <c r="U65" s="179"/>
      <c r="V65" s="179"/>
      <c r="W65" s="179"/>
      <c r="X65" s="179"/>
      <c r="Y65" s="179"/>
      <c r="Z65" s="179"/>
      <c r="AA65" s="179"/>
      <c r="AB65" s="179"/>
      <c r="AC65" s="179"/>
      <c r="AD65" s="179"/>
      <c r="AE65" s="179"/>
      <c r="AF65" s="179"/>
      <c r="AG65" s="179"/>
      <c r="AH65" s="874" t="s">
        <v>420</v>
      </c>
      <c r="AI65" s="874"/>
      <c r="AJ65" s="179"/>
      <c r="AK65" s="100" t="s">
        <v>446</v>
      </c>
      <c r="AL65" s="303">
        <f>'2c. Patients - GF'!D69</f>
        <v>0</v>
      </c>
      <c r="AM65" s="303">
        <f>'2c. Patients - GF'!E69</f>
        <v>0</v>
      </c>
      <c r="AN65" s="303">
        <f>'2c. Patients - GF'!F69</f>
        <v>0</v>
      </c>
      <c r="AO65" s="303">
        <f>'2c. Patients - GF'!G69</f>
        <v>0</v>
      </c>
      <c r="AP65" s="303">
        <f>'2c. Patients - GF'!H69</f>
        <v>0</v>
      </c>
      <c r="AQ65" s="303">
        <f>'2c. Patients - GF'!I69</f>
        <v>0</v>
      </c>
      <c r="AR65" s="603" t="str">
        <f>'2c. Patients - GF'!J69</f>
        <v/>
      </c>
      <c r="AS65" s="653">
        <f t="shared" si="2"/>
        <v>0</v>
      </c>
    </row>
    <row r="66" spans="1:45" x14ac:dyDescent="0.2">
      <c r="A66" s="247"/>
      <c r="B66" s="389" t="s">
        <v>68</v>
      </c>
      <c r="C66" s="389" t="s">
        <v>175</v>
      </c>
      <c r="D66" s="179"/>
      <c r="E66" s="389" t="s">
        <v>409</v>
      </c>
      <c r="F66" s="389">
        <v>1</v>
      </c>
      <c r="G66" s="179"/>
      <c r="H66" s="389" t="s">
        <v>240</v>
      </c>
      <c r="I66" s="179"/>
      <c r="J66" s="389" t="s">
        <v>7</v>
      </c>
      <c r="K66" s="179"/>
      <c r="L66" s="382"/>
      <c r="M66" s="382"/>
      <c r="N66" s="382"/>
      <c r="O66" s="382"/>
      <c r="P66" s="179"/>
      <c r="Q66" s="179"/>
      <c r="R66" s="382"/>
      <c r="S66" s="179"/>
      <c r="T66" s="179"/>
      <c r="U66" s="179"/>
      <c r="V66" s="179"/>
      <c r="W66" s="179"/>
      <c r="X66" s="179"/>
      <c r="Y66" s="179"/>
      <c r="Z66" s="179"/>
      <c r="AA66" s="179"/>
      <c r="AB66" s="179"/>
      <c r="AC66" s="179"/>
      <c r="AD66" s="179"/>
      <c r="AE66" s="179"/>
      <c r="AF66" s="179"/>
      <c r="AG66" s="179"/>
      <c r="AH66" s="389">
        <v>0</v>
      </c>
      <c r="AI66" s="389" t="s">
        <v>967</v>
      </c>
      <c r="AJ66" s="179"/>
      <c r="AK66" s="100" t="s">
        <v>447</v>
      </c>
      <c r="AL66" s="303">
        <f>'2c. Patients - GF'!D96</f>
        <v>0</v>
      </c>
      <c r="AM66" s="303">
        <f>'2c. Patients - GF'!E96</f>
        <v>0</v>
      </c>
      <c r="AN66" s="303">
        <f>'2c. Patients - GF'!F96</f>
        <v>0</v>
      </c>
      <c r="AO66" s="303">
        <f>'2c. Patients - GF'!G96</f>
        <v>0</v>
      </c>
      <c r="AP66" s="303">
        <f>'2c. Patients - GF'!H96</f>
        <v>0</v>
      </c>
      <c r="AQ66" s="303">
        <f>'2c. Patients - GF'!I96</f>
        <v>0</v>
      </c>
      <c r="AR66" s="603" t="str">
        <f>'2c. Patients - GF'!J96</f>
        <v/>
      </c>
      <c r="AS66" s="653">
        <f t="shared" si="2"/>
        <v>0</v>
      </c>
    </row>
    <row r="67" spans="1:45" x14ac:dyDescent="0.2">
      <c r="A67" s="247"/>
      <c r="B67" s="389" t="s">
        <v>71</v>
      </c>
      <c r="C67" s="389" t="s">
        <v>175</v>
      </c>
      <c r="D67" s="179"/>
      <c r="E67" s="389" t="s">
        <v>410</v>
      </c>
      <c r="F67" s="389">
        <v>2</v>
      </c>
      <c r="G67" s="179"/>
      <c r="H67" s="389" t="s">
        <v>740</v>
      </c>
      <c r="I67" s="179"/>
      <c r="J67" s="389" t="s">
        <v>8</v>
      </c>
      <c r="K67" s="179"/>
      <c r="L67" s="382"/>
      <c r="M67" s="382"/>
      <c r="N67" s="382"/>
      <c r="O67" s="382"/>
      <c r="P67" s="179"/>
      <c r="Q67" s="179"/>
      <c r="R67" s="382"/>
      <c r="S67" s="179"/>
      <c r="T67" s="179"/>
      <c r="U67" s="179"/>
      <c r="V67" s="179"/>
      <c r="W67" s="179"/>
      <c r="X67" s="179"/>
      <c r="Y67" s="179"/>
      <c r="Z67" s="179"/>
      <c r="AA67" s="179"/>
      <c r="AB67" s="179"/>
      <c r="AC67" s="179"/>
      <c r="AD67" s="179"/>
      <c r="AE67" s="179"/>
      <c r="AF67" s="179"/>
      <c r="AG67" s="179"/>
      <c r="AH67" s="389">
        <v>1</v>
      </c>
      <c r="AI67" s="389" t="s">
        <v>968</v>
      </c>
      <c r="AJ67" s="179"/>
      <c r="AK67" s="100" t="s">
        <v>448</v>
      </c>
      <c r="AL67" s="303">
        <f>'2c. Patients - GF'!D123</f>
        <v>0</v>
      </c>
      <c r="AM67" s="303">
        <f>'2c. Patients - GF'!E123</f>
        <v>0</v>
      </c>
      <c r="AN67" s="303">
        <f>'2c. Patients - GF'!F123</f>
        <v>0</v>
      </c>
      <c r="AO67" s="303">
        <f>'2c. Patients - GF'!G123</f>
        <v>0</v>
      </c>
      <c r="AP67" s="303">
        <f>'2c. Patients - GF'!H123</f>
        <v>0</v>
      </c>
      <c r="AQ67" s="303">
        <f>'2c. Patients - GF'!I123</f>
        <v>0</v>
      </c>
      <c r="AR67" s="603" t="str">
        <f>'2c. Patients - GF'!J123</f>
        <v/>
      </c>
      <c r="AS67" s="653">
        <f t="shared" si="2"/>
        <v>0</v>
      </c>
    </row>
    <row r="68" spans="1:45" x14ac:dyDescent="0.2">
      <c r="A68" s="247"/>
      <c r="B68" s="389" t="s">
        <v>47</v>
      </c>
      <c r="C68" s="389" t="s">
        <v>177</v>
      </c>
      <c r="D68" s="179"/>
      <c r="E68" s="389" t="s">
        <v>411</v>
      </c>
      <c r="F68" s="389">
        <v>3</v>
      </c>
      <c r="G68" s="179"/>
      <c r="H68" s="389" t="s">
        <v>721</v>
      </c>
      <c r="I68" s="179"/>
      <c r="J68" s="389" t="s">
        <v>55</v>
      </c>
      <c r="K68" s="179"/>
      <c r="L68" s="382"/>
      <c r="M68" s="382"/>
      <c r="N68" s="382"/>
      <c r="O68" s="382"/>
      <c r="P68" s="179"/>
      <c r="Q68" s="179"/>
      <c r="R68" s="382"/>
      <c r="S68" s="179"/>
      <c r="T68" s="179"/>
      <c r="U68" s="179"/>
      <c r="V68" s="179"/>
      <c r="W68" s="179"/>
      <c r="X68" s="179"/>
      <c r="Y68" s="179"/>
      <c r="Z68" s="179"/>
      <c r="AA68" s="179"/>
      <c r="AB68" s="179"/>
      <c r="AC68" s="179"/>
      <c r="AD68" s="179"/>
      <c r="AE68" s="179"/>
      <c r="AF68" s="179"/>
      <c r="AG68" s="179"/>
      <c r="AH68" s="179"/>
      <c r="AI68" s="179"/>
      <c r="AJ68" s="179"/>
      <c r="AK68" s="100" t="s">
        <v>449</v>
      </c>
      <c r="AL68" s="303">
        <f>'2c. Patients - GF'!D150</f>
        <v>0</v>
      </c>
      <c r="AM68" s="303">
        <f>'2c. Patients - GF'!E150</f>
        <v>0</v>
      </c>
      <c r="AN68" s="303">
        <f>'2c. Patients - GF'!F150</f>
        <v>0</v>
      </c>
      <c r="AO68" s="303">
        <f>'2c. Patients - GF'!G150</f>
        <v>0</v>
      </c>
      <c r="AP68" s="303">
        <f>'2c. Patients - GF'!H150</f>
        <v>0</v>
      </c>
      <c r="AQ68" s="303">
        <f>'2c. Patients - GF'!I150</f>
        <v>0</v>
      </c>
      <c r="AR68" s="603" t="str">
        <f>'2c. Patients - GF'!J150</f>
        <v/>
      </c>
      <c r="AS68" s="653">
        <f t="shared" si="2"/>
        <v>0</v>
      </c>
    </row>
    <row r="69" spans="1:45" x14ac:dyDescent="0.2">
      <c r="A69" s="247"/>
      <c r="B69" s="389" t="s">
        <v>74</v>
      </c>
      <c r="C69" s="389" t="s">
        <v>176</v>
      </c>
      <c r="D69" s="179"/>
      <c r="E69" s="179"/>
      <c r="F69" s="179"/>
      <c r="G69" s="179"/>
      <c r="H69" s="389" t="s">
        <v>722</v>
      </c>
      <c r="I69" s="179"/>
      <c r="J69" s="179"/>
      <c r="K69" s="179"/>
      <c r="L69" s="382"/>
      <c r="M69" s="382"/>
      <c r="N69" s="382"/>
      <c r="O69" s="382"/>
      <c r="P69" s="179"/>
      <c r="Q69" s="179"/>
      <c r="R69" s="382"/>
      <c r="S69" s="179"/>
      <c r="T69" s="179"/>
      <c r="U69" s="179"/>
      <c r="V69" s="179"/>
      <c r="W69" s="179"/>
      <c r="X69" s="179"/>
      <c r="Y69" s="179"/>
      <c r="Z69" s="179"/>
      <c r="AA69" s="179"/>
      <c r="AB69" s="179"/>
      <c r="AC69" s="179"/>
      <c r="AD69" s="179"/>
      <c r="AE69" s="179"/>
      <c r="AF69" s="179"/>
      <c r="AG69" s="179"/>
      <c r="AH69" s="179"/>
      <c r="AI69" s="179"/>
      <c r="AJ69" s="179"/>
      <c r="AK69" s="100" t="s">
        <v>450</v>
      </c>
      <c r="AL69" s="303">
        <f>'2c. Patients - GF'!D177</f>
        <v>0</v>
      </c>
      <c r="AM69" s="303">
        <f>'2c. Patients - GF'!E177</f>
        <v>0</v>
      </c>
      <c r="AN69" s="303">
        <f>'2c. Patients - GF'!F177</f>
        <v>0</v>
      </c>
      <c r="AO69" s="303">
        <f>'2c. Patients - GF'!G177</f>
        <v>0</v>
      </c>
      <c r="AP69" s="303">
        <f>'2c. Patients - GF'!H177</f>
        <v>0</v>
      </c>
      <c r="AQ69" s="303">
        <f>'2c. Patients - GF'!I177</f>
        <v>0</v>
      </c>
      <c r="AR69" s="603" t="str">
        <f>'2c. Patients - GF'!J177</f>
        <v/>
      </c>
      <c r="AS69" s="653">
        <f t="shared" si="2"/>
        <v>0</v>
      </c>
    </row>
    <row r="70" spans="1:45" x14ac:dyDescent="0.2">
      <c r="A70" s="247"/>
      <c r="B70" s="389" t="s">
        <v>75</v>
      </c>
      <c r="C70" s="389" t="s">
        <v>176</v>
      </c>
      <c r="D70" s="179"/>
      <c r="E70" s="308"/>
      <c r="F70" s="179"/>
      <c r="G70" s="179"/>
      <c r="H70" s="389" t="s">
        <v>723</v>
      </c>
      <c r="I70" s="179"/>
      <c r="J70" s="309"/>
      <c r="K70" s="179"/>
      <c r="L70" s="382"/>
      <c r="M70" s="382"/>
      <c r="N70" s="382"/>
      <c r="O70" s="382"/>
      <c r="P70" s="179"/>
      <c r="Q70" s="179"/>
      <c r="R70" s="382"/>
      <c r="S70" s="179"/>
      <c r="T70" s="179"/>
      <c r="U70" s="179"/>
      <c r="V70" s="179"/>
      <c r="W70" s="179"/>
      <c r="X70" s="179"/>
      <c r="Y70" s="179"/>
      <c r="Z70" s="179"/>
      <c r="AA70" s="179"/>
      <c r="AB70" s="179"/>
      <c r="AC70" s="179"/>
      <c r="AD70" s="179"/>
      <c r="AE70" s="179"/>
      <c r="AF70" s="179"/>
      <c r="AG70" s="179"/>
      <c r="AH70" s="179"/>
      <c r="AI70" s="179"/>
      <c r="AJ70" s="179"/>
      <c r="AK70" s="100" t="s">
        <v>451</v>
      </c>
      <c r="AL70" s="311"/>
      <c r="AM70" s="311"/>
      <c r="AN70" s="311"/>
      <c r="AO70" s="311"/>
      <c r="AP70" s="311"/>
      <c r="AQ70" s="311"/>
      <c r="AR70" s="311"/>
      <c r="AS70" s="653">
        <f t="shared" si="2"/>
        <v>0</v>
      </c>
    </row>
    <row r="71" spans="1:45" x14ac:dyDescent="0.2">
      <c r="A71" s="247"/>
      <c r="B71" s="179"/>
      <c r="C71" s="179"/>
      <c r="D71" s="179"/>
      <c r="E71" s="179"/>
      <c r="F71" s="179"/>
      <c r="G71" s="179"/>
      <c r="H71" s="389" t="s">
        <v>724</v>
      </c>
      <c r="I71" s="179"/>
      <c r="J71" s="179"/>
      <c r="K71" s="179"/>
      <c r="L71" s="382"/>
      <c r="M71" s="382"/>
      <c r="N71" s="382"/>
      <c r="O71" s="382"/>
      <c r="P71" s="179"/>
      <c r="Q71" s="179"/>
      <c r="R71" s="382"/>
      <c r="S71" s="179"/>
      <c r="T71" s="179"/>
      <c r="U71" s="179"/>
      <c r="V71" s="179"/>
      <c r="W71" s="179"/>
      <c r="X71" s="179"/>
      <c r="Y71" s="179"/>
      <c r="Z71" s="179"/>
      <c r="AA71" s="179"/>
      <c r="AB71" s="179"/>
      <c r="AC71" s="179"/>
      <c r="AD71" s="179"/>
      <c r="AE71" s="179"/>
      <c r="AF71" s="179"/>
      <c r="AG71" s="179"/>
      <c r="AH71" s="179"/>
      <c r="AI71" s="179"/>
      <c r="AJ71" s="179"/>
      <c r="AK71" s="100" t="s">
        <v>452</v>
      </c>
      <c r="AL71" s="311"/>
      <c r="AM71" s="311"/>
      <c r="AN71" s="311"/>
      <c r="AO71" s="311"/>
      <c r="AP71" s="311"/>
      <c r="AQ71" s="311"/>
      <c r="AR71" s="311"/>
      <c r="AS71" s="653">
        <f t="shared" si="2"/>
        <v>0</v>
      </c>
    </row>
    <row r="72" spans="1:45" x14ac:dyDescent="0.2">
      <c r="A72" s="247"/>
      <c r="B72" s="179"/>
      <c r="C72" s="179"/>
      <c r="D72" s="179"/>
      <c r="E72" s="179"/>
      <c r="F72" s="179"/>
      <c r="G72" s="179"/>
      <c r="H72" s="179"/>
      <c r="I72" s="179"/>
      <c r="J72" s="179"/>
      <c r="K72" s="179"/>
      <c r="L72" s="382"/>
      <c r="M72" s="382"/>
      <c r="N72" s="382"/>
      <c r="O72" s="382"/>
      <c r="P72" s="179"/>
      <c r="Q72" s="179"/>
      <c r="R72" s="382"/>
      <c r="S72" s="179"/>
      <c r="T72" s="179"/>
      <c r="U72" s="179"/>
      <c r="V72" s="179"/>
      <c r="W72" s="179"/>
      <c r="X72" s="179"/>
      <c r="Y72" s="179"/>
      <c r="Z72" s="179"/>
      <c r="AA72" s="179"/>
      <c r="AB72" s="179"/>
      <c r="AC72" s="179"/>
      <c r="AD72" s="179"/>
      <c r="AE72" s="179"/>
      <c r="AF72" s="179"/>
      <c r="AG72" s="179"/>
      <c r="AH72" s="179"/>
      <c r="AI72" s="179"/>
      <c r="AJ72" s="179"/>
      <c r="AK72" s="100" t="s">
        <v>453</v>
      </c>
      <c r="AL72" s="311"/>
      <c r="AM72" s="311"/>
      <c r="AN72" s="311"/>
      <c r="AO72" s="311"/>
      <c r="AP72" s="311"/>
      <c r="AQ72" s="311"/>
      <c r="AR72" s="311"/>
      <c r="AS72" s="653">
        <f t="shared" si="2"/>
        <v>0</v>
      </c>
    </row>
    <row r="73" spans="1:45" x14ac:dyDescent="0.2">
      <c r="A73" s="247"/>
      <c r="B73" s="179"/>
      <c r="C73" s="179"/>
      <c r="D73" s="179"/>
      <c r="E73" s="179"/>
      <c r="F73" s="179"/>
      <c r="G73" s="179"/>
      <c r="H73" s="179"/>
      <c r="I73" s="179"/>
      <c r="J73" s="179"/>
      <c r="K73" s="179"/>
      <c r="L73" s="382"/>
      <c r="M73" s="382"/>
      <c r="N73" s="382"/>
      <c r="O73" s="382"/>
      <c r="P73" s="179"/>
      <c r="Q73" s="179"/>
      <c r="R73" s="382"/>
      <c r="S73" s="179"/>
      <c r="T73" s="179"/>
      <c r="U73" s="179"/>
      <c r="V73" s="179"/>
      <c r="W73" s="179"/>
      <c r="X73" s="179"/>
      <c r="Y73" s="179"/>
      <c r="Z73" s="179"/>
      <c r="AA73" s="179"/>
      <c r="AB73" s="179"/>
      <c r="AC73" s="179"/>
      <c r="AD73" s="179"/>
      <c r="AE73" s="179"/>
      <c r="AF73" s="179"/>
      <c r="AG73" s="179"/>
      <c r="AH73" s="179"/>
      <c r="AI73" s="179"/>
      <c r="AJ73" s="179"/>
      <c r="AK73" s="100" t="s">
        <v>454</v>
      </c>
      <c r="AL73" s="311"/>
      <c r="AM73" s="311"/>
      <c r="AN73" s="311"/>
      <c r="AO73" s="311"/>
      <c r="AP73" s="311"/>
      <c r="AQ73" s="311"/>
      <c r="AR73" s="311"/>
      <c r="AS73" s="653">
        <f t="shared" si="2"/>
        <v>0</v>
      </c>
    </row>
    <row r="74" spans="1:45" x14ac:dyDescent="0.2">
      <c r="A74" s="247"/>
      <c r="B74" s="179"/>
      <c r="C74" s="179"/>
      <c r="D74" s="179"/>
      <c r="E74" s="179"/>
      <c r="F74" s="179"/>
      <c r="G74" s="179"/>
      <c r="H74" s="179"/>
      <c r="I74" s="179"/>
      <c r="J74" s="179"/>
      <c r="K74" s="179"/>
      <c r="L74" s="382"/>
      <c r="M74" s="382"/>
      <c r="N74" s="382"/>
      <c r="O74" s="382"/>
      <c r="P74" s="179"/>
      <c r="Q74" s="179"/>
      <c r="R74" s="382"/>
      <c r="S74" s="179"/>
      <c r="T74" s="179"/>
      <c r="U74" s="179"/>
      <c r="V74" s="179"/>
      <c r="W74" s="179"/>
      <c r="X74" s="179"/>
      <c r="Y74" s="179"/>
      <c r="Z74" s="179"/>
      <c r="AA74" s="179"/>
      <c r="AB74" s="179"/>
      <c r="AC74" s="179"/>
      <c r="AD74" s="179"/>
      <c r="AE74" s="179"/>
      <c r="AF74" s="179"/>
      <c r="AG74" s="179"/>
      <c r="AH74" s="179"/>
      <c r="AI74" s="179"/>
      <c r="AJ74" s="179"/>
      <c r="AK74" s="100" t="s">
        <v>455</v>
      </c>
      <c r="AL74" s="311"/>
      <c r="AM74" s="311"/>
      <c r="AN74" s="311"/>
      <c r="AO74" s="311"/>
      <c r="AP74" s="311"/>
      <c r="AQ74" s="311"/>
      <c r="AR74" s="311"/>
      <c r="AS74" s="653">
        <f t="shared" si="2"/>
        <v>0</v>
      </c>
    </row>
    <row r="75" spans="1:45" x14ac:dyDescent="0.2">
      <c r="A75" s="247"/>
      <c r="B75" s="382"/>
      <c r="C75" s="382"/>
      <c r="D75" s="382"/>
      <c r="E75" s="382"/>
      <c r="F75" s="382"/>
      <c r="G75" s="179"/>
      <c r="H75" s="179"/>
      <c r="I75" s="179"/>
      <c r="J75" s="382"/>
      <c r="K75" s="179"/>
      <c r="L75" s="382"/>
      <c r="M75" s="382"/>
      <c r="N75" s="382"/>
      <c r="O75" s="382"/>
      <c r="P75" s="179"/>
      <c r="Q75" s="179"/>
      <c r="R75" s="382"/>
      <c r="S75" s="179"/>
      <c r="T75" s="179"/>
      <c r="U75" s="179"/>
      <c r="V75" s="179"/>
      <c r="W75" s="179"/>
      <c r="X75" s="179"/>
      <c r="Y75" s="179"/>
      <c r="Z75" s="179"/>
      <c r="AA75" s="179"/>
      <c r="AB75" s="179"/>
      <c r="AC75" s="179"/>
      <c r="AD75" s="179"/>
      <c r="AE75" s="179"/>
      <c r="AF75" s="179"/>
      <c r="AG75" s="179"/>
      <c r="AH75" s="179"/>
      <c r="AI75" s="179"/>
      <c r="AJ75" s="179"/>
      <c r="AK75" s="100" t="s">
        <v>458</v>
      </c>
      <c r="AL75" s="303">
        <f>'2. Patients'!C23</f>
        <v>0</v>
      </c>
      <c r="AM75" s="303">
        <f>'2. Patients'!D23</f>
        <v>0</v>
      </c>
      <c r="AN75" s="303">
        <f>'2. Patients'!E23</f>
        <v>0</v>
      </c>
      <c r="AO75" s="303">
        <f>'2. Patients'!F23</f>
        <v>0</v>
      </c>
      <c r="AP75" s="303">
        <f>'2. Patients'!G23</f>
        <v>0</v>
      </c>
      <c r="AQ75" s="303">
        <f>'2. Patients'!H23</f>
        <v>0</v>
      </c>
      <c r="AR75" s="603">
        <v>1</v>
      </c>
      <c r="AS75" s="653">
        <f t="shared" si="2"/>
        <v>0</v>
      </c>
    </row>
    <row r="76" spans="1:45" x14ac:dyDescent="0.2">
      <c r="A76" s="179"/>
      <c r="B76" s="382"/>
      <c r="C76" s="382"/>
      <c r="D76" s="382"/>
      <c r="E76" s="382"/>
      <c r="F76" s="382"/>
      <c r="G76" s="179"/>
      <c r="H76" s="179"/>
      <c r="I76" s="179"/>
      <c r="J76" s="382"/>
      <c r="K76" s="179"/>
      <c r="L76" s="382"/>
      <c r="M76" s="382"/>
      <c r="N76" s="382"/>
      <c r="O76" s="382"/>
      <c r="P76" s="179"/>
      <c r="Q76" s="179"/>
      <c r="R76" s="382"/>
      <c r="S76" s="179"/>
      <c r="T76" s="179"/>
      <c r="U76" s="179"/>
      <c r="V76" s="179"/>
      <c r="W76" s="179"/>
      <c r="X76" s="179"/>
      <c r="Y76" s="179"/>
      <c r="Z76" s="179"/>
      <c r="AA76" s="179"/>
      <c r="AB76" s="179"/>
      <c r="AC76" s="179"/>
      <c r="AD76" s="179"/>
      <c r="AE76" s="179"/>
      <c r="AF76" s="179"/>
      <c r="AG76" s="179"/>
      <c r="AH76" s="179"/>
      <c r="AI76" s="179"/>
      <c r="AJ76" s="179"/>
      <c r="AK76" s="100" t="s">
        <v>459</v>
      </c>
      <c r="AL76" s="303">
        <f>'2. Patients'!C30</f>
        <v>0</v>
      </c>
      <c r="AM76" s="303">
        <f>'2. Patients'!D30</f>
        <v>0</v>
      </c>
      <c r="AN76" s="303">
        <f>'2. Patients'!E30</f>
        <v>0</v>
      </c>
      <c r="AO76" s="303">
        <f>'2. Patients'!F30</f>
        <v>0</v>
      </c>
      <c r="AP76" s="303">
        <f>'2. Patients'!G30</f>
        <v>0</v>
      </c>
      <c r="AQ76" s="303">
        <f>'2. Patients'!H30</f>
        <v>0</v>
      </c>
      <c r="AR76" s="603">
        <v>1</v>
      </c>
      <c r="AS76" s="653">
        <f t="shared" si="2"/>
        <v>0</v>
      </c>
    </row>
    <row r="77" spans="1:45" x14ac:dyDescent="0.2">
      <c r="A77" s="179"/>
      <c r="B77" s="873" t="s">
        <v>52</v>
      </c>
      <c r="C77" s="731"/>
      <c r="D77" s="179"/>
      <c r="E77" s="873" t="s">
        <v>131</v>
      </c>
      <c r="F77" s="731"/>
      <c r="G77" s="179"/>
      <c r="H77" s="179"/>
      <c r="I77" s="179"/>
      <c r="J77" s="300" t="s">
        <v>184</v>
      </c>
      <c r="K77" s="179"/>
      <c r="L77" s="382"/>
      <c r="M77" s="382"/>
      <c r="N77" s="382"/>
      <c r="O77" s="382"/>
      <c r="P77" s="179"/>
      <c r="Q77" s="179"/>
      <c r="R77" s="382"/>
      <c r="S77" s="179"/>
      <c r="T77" s="179"/>
      <c r="U77" s="179"/>
      <c r="V77" s="179"/>
      <c r="W77" s="179"/>
      <c r="X77" s="179"/>
      <c r="Y77" s="179"/>
      <c r="Z77" s="179"/>
      <c r="AA77" s="179"/>
      <c r="AB77" s="179"/>
      <c r="AC77" s="179"/>
      <c r="AD77" s="179"/>
      <c r="AE77" s="179"/>
      <c r="AF77" s="179"/>
      <c r="AG77" s="179"/>
      <c r="AH77" s="179"/>
      <c r="AI77" s="179"/>
      <c r="AJ77" s="179"/>
      <c r="AK77" s="100" t="s">
        <v>460</v>
      </c>
      <c r="AL77" s="303">
        <f>'2. Patients'!C37</f>
        <v>0</v>
      </c>
      <c r="AM77" s="303">
        <f>'2. Patients'!D37</f>
        <v>0</v>
      </c>
      <c r="AN77" s="303">
        <f>'2. Patients'!E37</f>
        <v>0</v>
      </c>
      <c r="AO77" s="303">
        <f>'2. Patients'!F37</f>
        <v>0</v>
      </c>
      <c r="AP77" s="303">
        <f>'2. Patients'!G37</f>
        <v>0</v>
      </c>
      <c r="AQ77" s="303">
        <f>'2. Patients'!H37</f>
        <v>0</v>
      </c>
      <c r="AR77" s="603">
        <v>1</v>
      </c>
      <c r="AS77" s="653">
        <f t="shared" si="2"/>
        <v>0</v>
      </c>
    </row>
    <row r="78" spans="1:45" x14ac:dyDescent="0.2">
      <c r="A78" s="247"/>
      <c r="B78" s="389" t="s">
        <v>53</v>
      </c>
      <c r="C78" s="389">
        <v>1</v>
      </c>
      <c r="D78" s="179"/>
      <c r="E78" s="389" t="s">
        <v>421</v>
      </c>
      <c r="F78" s="389">
        <v>1</v>
      </c>
      <c r="G78" s="179"/>
      <c r="H78" s="179"/>
      <c r="I78" s="179"/>
      <c r="J78" s="389" t="s">
        <v>173</v>
      </c>
      <c r="K78" s="179"/>
      <c r="L78" s="382"/>
      <c r="M78" s="382"/>
      <c r="N78" s="382"/>
      <c r="O78" s="382"/>
      <c r="P78" s="179"/>
      <c r="Q78" s="179"/>
      <c r="R78" s="382"/>
      <c r="S78" s="179"/>
      <c r="T78" s="179"/>
      <c r="U78" s="179"/>
      <c r="V78" s="179"/>
      <c r="W78" s="179"/>
      <c r="X78" s="179"/>
      <c r="Y78" s="179"/>
      <c r="Z78" s="179"/>
      <c r="AA78" s="179"/>
      <c r="AB78" s="179"/>
      <c r="AC78" s="179"/>
      <c r="AD78" s="179"/>
      <c r="AE78" s="179"/>
      <c r="AF78" s="179"/>
      <c r="AG78" s="179"/>
      <c r="AH78" s="179"/>
      <c r="AI78" s="179"/>
      <c r="AJ78" s="179"/>
      <c r="AK78" s="100" t="s">
        <v>461</v>
      </c>
      <c r="AL78" s="303">
        <f>'2. Patients'!C15</f>
        <v>0</v>
      </c>
      <c r="AM78" s="303">
        <f>'2. Patients'!D15</f>
        <v>0</v>
      </c>
      <c r="AN78" s="303">
        <f>'2. Patients'!E15</f>
        <v>0</v>
      </c>
      <c r="AO78" s="303">
        <f>'2. Patients'!F15</f>
        <v>0</v>
      </c>
      <c r="AP78" s="303">
        <f>'2. Patients'!G15</f>
        <v>0</v>
      </c>
      <c r="AQ78" s="303">
        <f>'2. Patients'!H15</f>
        <v>0</v>
      </c>
      <c r="AR78" s="603">
        <v>1</v>
      </c>
      <c r="AS78" s="653">
        <f t="shared" si="2"/>
        <v>0</v>
      </c>
    </row>
    <row r="79" spans="1:45" x14ac:dyDescent="0.2">
      <c r="A79" s="247"/>
      <c r="B79" s="389" t="s">
        <v>54</v>
      </c>
      <c r="C79" s="389">
        <v>2</v>
      </c>
      <c r="D79" s="179"/>
      <c r="E79" s="389" t="s">
        <v>422</v>
      </c>
      <c r="F79" s="389">
        <v>2</v>
      </c>
      <c r="G79" s="179"/>
      <c r="H79" s="179"/>
      <c r="I79" s="179"/>
      <c r="J79" s="389" t="s">
        <v>189</v>
      </c>
      <c r="K79" s="179"/>
      <c r="L79" s="382"/>
      <c r="M79" s="382"/>
      <c r="N79" s="382"/>
      <c r="O79" s="382"/>
      <c r="P79" s="179"/>
      <c r="Q79" s="179"/>
      <c r="R79" s="382"/>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row>
    <row r="80" spans="1:45" x14ac:dyDescent="0.2">
      <c r="A80" s="247"/>
      <c r="B80" s="389" t="s">
        <v>56</v>
      </c>
      <c r="C80" s="389">
        <v>3</v>
      </c>
      <c r="D80" s="179"/>
      <c r="E80" s="389" t="s">
        <v>208</v>
      </c>
      <c r="F80" s="389">
        <v>3</v>
      </c>
      <c r="G80" s="179"/>
      <c r="H80" s="179"/>
      <c r="I80" s="179"/>
      <c r="J80" s="389" t="s">
        <v>192</v>
      </c>
      <c r="K80" s="179"/>
      <c r="L80" s="382"/>
      <c r="M80" s="382"/>
      <c r="N80" s="382"/>
      <c r="O80" s="382"/>
      <c r="P80" s="179"/>
      <c r="Q80" s="179"/>
      <c r="R80" s="382"/>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row>
    <row r="81" spans="1:43" x14ac:dyDescent="0.2">
      <c r="A81" s="247"/>
      <c r="B81" s="389" t="s">
        <v>304</v>
      </c>
      <c r="C81" s="389">
        <v>0</v>
      </c>
      <c r="D81" s="179"/>
      <c r="E81" s="389" t="s">
        <v>424</v>
      </c>
      <c r="F81" s="389">
        <v>4</v>
      </c>
      <c r="G81" s="179"/>
      <c r="H81" s="179"/>
      <c r="I81" s="179"/>
      <c r="J81" s="179"/>
      <c r="K81" s="179"/>
      <c r="L81" s="382"/>
      <c r="M81" s="382"/>
      <c r="N81" s="382"/>
      <c r="O81" s="382"/>
      <c r="P81" s="179"/>
      <c r="Q81" s="179"/>
      <c r="R81" s="382"/>
      <c r="S81" s="179"/>
      <c r="T81" s="179"/>
      <c r="U81" s="179"/>
      <c r="V81" s="179"/>
      <c r="W81" s="179"/>
      <c r="X81" s="179"/>
      <c r="Y81" s="179"/>
      <c r="Z81" s="179"/>
      <c r="AA81" s="179"/>
      <c r="AB81" s="179"/>
      <c r="AC81" s="179"/>
      <c r="AD81" s="179"/>
      <c r="AE81" s="179"/>
      <c r="AF81" s="179"/>
      <c r="AG81" s="179"/>
      <c r="AH81" s="179"/>
      <c r="AI81" s="179"/>
      <c r="AJ81" s="179"/>
      <c r="AK81" s="179"/>
      <c r="AL81" s="874" t="s">
        <v>457</v>
      </c>
      <c r="AM81" s="874"/>
      <c r="AN81" s="874"/>
      <c r="AO81" s="874"/>
      <c r="AP81" s="874"/>
      <c r="AQ81" s="874"/>
    </row>
    <row r="82" spans="1:43" x14ac:dyDescent="0.2">
      <c r="A82" s="247"/>
      <c r="B82" s="179"/>
      <c r="C82" s="179"/>
      <c r="D82" s="179"/>
      <c r="E82" s="179"/>
      <c r="F82" s="179"/>
      <c r="G82" s="179"/>
      <c r="H82" s="179"/>
      <c r="I82" s="179"/>
      <c r="J82" s="179"/>
      <c r="K82" s="179"/>
      <c r="L82" s="382"/>
      <c r="M82" s="382"/>
      <c r="N82" s="382"/>
      <c r="O82" s="382"/>
      <c r="P82" s="179"/>
      <c r="Q82" s="179"/>
      <c r="R82" s="382"/>
      <c r="S82" s="179"/>
      <c r="T82" s="179"/>
      <c r="U82" s="179"/>
      <c r="V82" s="179"/>
      <c r="W82" s="179"/>
      <c r="X82" s="179"/>
      <c r="Y82" s="179"/>
      <c r="Z82" s="179"/>
      <c r="AA82" s="179"/>
      <c r="AB82" s="179"/>
      <c r="AC82" s="179"/>
      <c r="AD82" s="179"/>
      <c r="AE82" s="179"/>
      <c r="AF82" s="179"/>
      <c r="AG82" s="179"/>
      <c r="AH82" s="179"/>
      <c r="AI82" s="179"/>
      <c r="AJ82" s="179"/>
      <c r="AK82" s="179"/>
      <c r="AL82" s="301">
        <f>FirstYear</f>
        <v>0</v>
      </c>
      <c r="AM82" s="93">
        <f>AL82+1</f>
        <v>1</v>
      </c>
      <c r="AN82" s="93">
        <f>AM82+1</f>
        <v>2</v>
      </c>
      <c r="AO82" s="93">
        <f>AN82+1</f>
        <v>3</v>
      </c>
      <c r="AP82" s="93">
        <f>AO82+1</f>
        <v>4</v>
      </c>
      <c r="AQ82" s="93">
        <f>AP82+1</f>
        <v>5</v>
      </c>
    </row>
    <row r="83" spans="1:43" x14ac:dyDescent="0.2">
      <c r="A83" s="247"/>
      <c r="B83" s="179"/>
      <c r="C83" s="179"/>
      <c r="D83" s="179"/>
      <c r="E83" s="179"/>
      <c r="F83" s="179"/>
      <c r="G83" s="179"/>
      <c r="H83" s="179"/>
      <c r="I83" s="179"/>
      <c r="J83" s="179"/>
      <c r="K83" s="179"/>
      <c r="L83" s="382"/>
      <c r="M83" s="382"/>
      <c r="N83" s="382"/>
      <c r="O83" s="382"/>
      <c r="P83" s="179"/>
      <c r="Q83" s="179"/>
      <c r="R83" s="382"/>
      <c r="S83" s="179"/>
      <c r="T83" s="179"/>
      <c r="U83" s="179"/>
      <c r="V83" s="179"/>
      <c r="W83" s="179"/>
      <c r="X83" s="179"/>
      <c r="Y83" s="179"/>
      <c r="Z83" s="179"/>
      <c r="AA83" s="179"/>
      <c r="AB83" s="179"/>
      <c r="AC83" s="179"/>
      <c r="AD83" s="179"/>
      <c r="AE83" s="179"/>
      <c r="AF83" s="179"/>
      <c r="AG83" s="179"/>
      <c r="AH83" s="179"/>
      <c r="AI83" s="179"/>
      <c r="AJ83" s="179"/>
      <c r="AK83" s="100" t="s">
        <v>426</v>
      </c>
      <c r="AL83" s="303">
        <f>'2a. Patients - incident'!D79</f>
        <v>0</v>
      </c>
      <c r="AM83" s="303">
        <f>'2a. Patients - incident'!E79</f>
        <v>0</v>
      </c>
      <c r="AN83" s="303">
        <f>'2a. Patients - incident'!F79</f>
        <v>0</v>
      </c>
      <c r="AO83" s="303">
        <f>'2a. Patients - incident'!G79</f>
        <v>0</v>
      </c>
      <c r="AP83" s="303">
        <f>'2a. Patients - incident'!H79</f>
        <v>0</v>
      </c>
      <c r="AQ83" s="303">
        <f>'2a. Patients - incident'!I79</f>
        <v>0</v>
      </c>
    </row>
    <row r="84" spans="1:43" x14ac:dyDescent="0.2">
      <c r="A84" s="247"/>
      <c r="B84" s="179"/>
      <c r="C84" s="179"/>
      <c r="D84" s="179"/>
      <c r="E84" s="179"/>
      <c r="F84" s="179"/>
      <c r="G84" s="179"/>
      <c r="H84" s="179"/>
      <c r="I84" s="179"/>
      <c r="J84" s="179"/>
      <c r="K84" s="179"/>
      <c r="L84" s="382"/>
      <c r="M84" s="382"/>
      <c r="N84" s="382"/>
      <c r="O84" s="382"/>
      <c r="P84" s="179"/>
      <c r="Q84" s="179"/>
      <c r="R84" s="382"/>
      <c r="S84" s="179"/>
      <c r="T84" s="179"/>
      <c r="U84" s="179"/>
      <c r="V84" s="179"/>
      <c r="W84" s="179"/>
      <c r="X84" s="179"/>
      <c r="Y84" s="179"/>
      <c r="Z84" s="179"/>
      <c r="AA84" s="179"/>
      <c r="AB84" s="179"/>
      <c r="AC84" s="179"/>
      <c r="AD84" s="179"/>
      <c r="AE84" s="179"/>
      <c r="AF84" s="179"/>
      <c r="AG84" s="179"/>
      <c r="AH84" s="179"/>
      <c r="AI84" s="179"/>
      <c r="AJ84" s="179"/>
      <c r="AK84" s="100" t="s">
        <v>427</v>
      </c>
      <c r="AL84" s="303">
        <f>'2a. Patients - incident'!D115</f>
        <v>0</v>
      </c>
      <c r="AM84" s="303">
        <f>'2a. Patients - incident'!E115</f>
        <v>0</v>
      </c>
      <c r="AN84" s="303">
        <f>'2a. Patients - incident'!F115</f>
        <v>0</v>
      </c>
      <c r="AO84" s="303">
        <f>'2a. Patients - incident'!G115</f>
        <v>0</v>
      </c>
      <c r="AP84" s="303">
        <f>'2a. Patients - incident'!H115</f>
        <v>0</v>
      </c>
      <c r="AQ84" s="303">
        <f>'2a. Patients - incident'!I115</f>
        <v>0</v>
      </c>
    </row>
    <row r="85" spans="1:43" x14ac:dyDescent="0.2">
      <c r="A85" s="247"/>
      <c r="B85" s="179"/>
      <c r="C85" s="179"/>
      <c r="D85" s="179"/>
      <c r="E85" s="179"/>
      <c r="F85" s="179"/>
      <c r="G85" s="179"/>
      <c r="H85" s="179"/>
      <c r="I85" s="179"/>
      <c r="J85" s="179"/>
      <c r="K85" s="179"/>
      <c r="L85" s="382"/>
      <c r="M85" s="382"/>
      <c r="N85" s="382"/>
      <c r="O85" s="382"/>
      <c r="P85" s="179"/>
      <c r="Q85" s="179"/>
      <c r="R85" s="382"/>
      <c r="S85" s="179"/>
      <c r="T85" s="179"/>
      <c r="U85" s="179"/>
      <c r="V85" s="179"/>
      <c r="W85" s="179"/>
      <c r="X85" s="179"/>
      <c r="Y85" s="179"/>
      <c r="Z85" s="179"/>
      <c r="AA85" s="179"/>
      <c r="AB85" s="179"/>
      <c r="AC85" s="179"/>
      <c r="AD85" s="179"/>
      <c r="AE85" s="179"/>
      <c r="AF85" s="179"/>
      <c r="AG85" s="179"/>
      <c r="AH85" s="179"/>
      <c r="AI85" s="179"/>
      <c r="AJ85" s="179"/>
      <c r="AK85" s="100" t="s">
        <v>428</v>
      </c>
      <c r="AL85" s="303">
        <f>'2a. Patients - incident'!D151</f>
        <v>0</v>
      </c>
      <c r="AM85" s="303">
        <f>'2a. Patients - incident'!E151</f>
        <v>0</v>
      </c>
      <c r="AN85" s="303">
        <f>'2a. Patients - incident'!F151</f>
        <v>0</v>
      </c>
      <c r="AO85" s="303">
        <f>'2a. Patients - incident'!G151</f>
        <v>0</v>
      </c>
      <c r="AP85" s="303">
        <f>'2a. Patients - incident'!H151</f>
        <v>0</v>
      </c>
      <c r="AQ85" s="303">
        <f>'2a. Patients - incident'!I151</f>
        <v>0</v>
      </c>
    </row>
    <row r="86" spans="1:43" x14ac:dyDescent="0.2">
      <c r="A86" s="247"/>
      <c r="B86" s="179"/>
      <c r="C86" s="179"/>
      <c r="D86" s="179"/>
      <c r="E86" s="179"/>
      <c r="F86" s="179"/>
      <c r="G86" s="179"/>
      <c r="H86" s="179"/>
      <c r="I86" s="179"/>
      <c r="J86" s="179"/>
      <c r="K86" s="179"/>
      <c r="L86" s="382"/>
      <c r="M86" s="382"/>
      <c r="N86" s="382"/>
      <c r="O86" s="382"/>
      <c r="P86" s="179"/>
      <c r="Q86" s="179"/>
      <c r="R86" s="382"/>
      <c r="S86" s="179"/>
      <c r="T86" s="179"/>
      <c r="U86" s="179"/>
      <c r="V86" s="179"/>
      <c r="W86" s="179"/>
      <c r="X86" s="179"/>
      <c r="Y86" s="179"/>
      <c r="Z86" s="179"/>
      <c r="AA86" s="179"/>
      <c r="AB86" s="179"/>
      <c r="AC86" s="179"/>
      <c r="AD86" s="179"/>
      <c r="AE86" s="179"/>
      <c r="AF86" s="179"/>
      <c r="AG86" s="179"/>
      <c r="AH86" s="179"/>
      <c r="AI86" s="179"/>
      <c r="AJ86" s="179"/>
      <c r="AK86" s="100" t="s">
        <v>429</v>
      </c>
      <c r="AL86" s="303">
        <f>'2a. Patients - incident'!D187</f>
        <v>0</v>
      </c>
      <c r="AM86" s="303">
        <f>'2a. Patients - incident'!E187</f>
        <v>0</v>
      </c>
      <c r="AN86" s="303">
        <f>'2a. Patients - incident'!F187</f>
        <v>0</v>
      </c>
      <c r="AO86" s="303">
        <f>'2a. Patients - incident'!G187</f>
        <v>0</v>
      </c>
      <c r="AP86" s="303">
        <f>'2a. Patients - incident'!H187</f>
        <v>0</v>
      </c>
      <c r="AQ86" s="303">
        <f>'2a. Patients - incident'!I187</f>
        <v>0</v>
      </c>
    </row>
    <row r="87" spans="1:43" x14ac:dyDescent="0.2">
      <c r="A87" s="247"/>
      <c r="B87" s="382"/>
      <c r="C87" s="382"/>
      <c r="D87" s="179"/>
      <c r="E87" s="179"/>
      <c r="F87" s="179"/>
      <c r="G87" s="179"/>
      <c r="H87" s="179"/>
      <c r="I87" s="179"/>
      <c r="J87" s="179"/>
      <c r="K87" s="179"/>
      <c r="L87" s="382"/>
      <c r="M87" s="382"/>
      <c r="N87" s="382"/>
      <c r="O87" s="382"/>
      <c r="P87" s="179"/>
      <c r="Q87" s="179"/>
      <c r="R87" s="382"/>
      <c r="S87" s="179"/>
      <c r="T87" s="179"/>
      <c r="U87" s="179"/>
      <c r="V87" s="179"/>
      <c r="W87" s="179"/>
      <c r="X87" s="179"/>
      <c r="Y87" s="179"/>
      <c r="Z87" s="179"/>
      <c r="AA87" s="179"/>
      <c r="AB87" s="179"/>
      <c r="AC87" s="179"/>
      <c r="AD87" s="179"/>
      <c r="AE87" s="179"/>
      <c r="AF87" s="179"/>
      <c r="AG87" s="179"/>
      <c r="AH87" s="179"/>
      <c r="AI87" s="179"/>
      <c r="AJ87" s="179"/>
      <c r="AK87" s="100" t="s">
        <v>430</v>
      </c>
      <c r="AL87" s="303">
        <f>'2a. Patients - incident'!D223</f>
        <v>0</v>
      </c>
      <c r="AM87" s="303">
        <f>'2a. Patients - incident'!E223</f>
        <v>0</v>
      </c>
      <c r="AN87" s="303">
        <f>'2a. Patients - incident'!F223</f>
        <v>0</v>
      </c>
      <c r="AO87" s="303">
        <f>'2a. Patients - incident'!G223</f>
        <v>0</v>
      </c>
      <c r="AP87" s="303">
        <f>'2a. Patients - incident'!H223</f>
        <v>0</v>
      </c>
      <c r="AQ87" s="303">
        <f>'2a. Patients - incident'!I223</f>
        <v>0</v>
      </c>
    </row>
    <row r="88" spans="1:43" x14ac:dyDescent="0.2">
      <c r="A88" s="179"/>
      <c r="B88" s="382"/>
      <c r="C88" s="382"/>
      <c r="D88" s="179"/>
      <c r="E88" s="179"/>
      <c r="F88" s="179"/>
      <c r="G88" s="179"/>
      <c r="H88" s="179"/>
      <c r="I88" s="179"/>
      <c r="J88" s="179"/>
      <c r="K88" s="179"/>
      <c r="L88" s="382"/>
      <c r="M88" s="382"/>
      <c r="N88" s="382"/>
      <c r="O88" s="382"/>
      <c r="P88" s="179"/>
      <c r="Q88" s="179"/>
      <c r="R88" s="382"/>
      <c r="S88" s="179"/>
      <c r="T88" s="179"/>
      <c r="U88" s="179"/>
      <c r="V88" s="179"/>
      <c r="W88" s="179"/>
      <c r="X88" s="179"/>
      <c r="Y88" s="179"/>
      <c r="Z88" s="179"/>
      <c r="AA88" s="179"/>
      <c r="AB88" s="179"/>
      <c r="AC88" s="179"/>
      <c r="AD88" s="179"/>
      <c r="AE88" s="179"/>
      <c r="AF88" s="179"/>
      <c r="AG88" s="179"/>
      <c r="AH88" s="179"/>
      <c r="AI88" s="179"/>
      <c r="AJ88" s="179"/>
      <c r="AK88" s="100" t="s">
        <v>431</v>
      </c>
      <c r="AL88" s="303">
        <f>'2a. Patients - incident'!D259</f>
        <v>0</v>
      </c>
      <c r="AM88" s="303">
        <f>'2a. Patients - incident'!E259</f>
        <v>0</v>
      </c>
      <c r="AN88" s="303">
        <f>'2a. Patients - incident'!F259</f>
        <v>0</v>
      </c>
      <c r="AO88" s="303">
        <f>'2a. Patients - incident'!G259</f>
        <v>0</v>
      </c>
      <c r="AP88" s="303">
        <f>'2a. Patients - incident'!H259</f>
        <v>0</v>
      </c>
      <c r="AQ88" s="303">
        <f>'2a. Patients - incident'!I259</f>
        <v>0</v>
      </c>
    </row>
    <row r="89" spans="1:43" x14ac:dyDescent="0.2">
      <c r="A89" s="179"/>
      <c r="B89" s="873" t="s">
        <v>232</v>
      </c>
      <c r="C89" s="731"/>
      <c r="D89" s="179"/>
      <c r="E89" s="179"/>
      <c r="F89" s="179"/>
      <c r="G89" s="179"/>
      <c r="H89" s="179"/>
      <c r="I89" s="179"/>
      <c r="J89" s="618" t="s">
        <v>828</v>
      </c>
      <c r="K89" s="179"/>
      <c r="L89" s="382"/>
      <c r="M89" s="382"/>
      <c r="N89" s="382"/>
      <c r="O89" s="382"/>
      <c r="P89" s="179"/>
      <c r="Q89" s="179"/>
      <c r="R89" s="382"/>
      <c r="S89" s="179"/>
      <c r="T89" s="179"/>
      <c r="U89" s="179"/>
      <c r="V89" s="179"/>
      <c r="W89" s="179"/>
      <c r="X89" s="179"/>
      <c r="Y89" s="179"/>
      <c r="Z89" s="179"/>
      <c r="AA89" s="179"/>
      <c r="AB89" s="179"/>
      <c r="AC89" s="179"/>
      <c r="AD89" s="179"/>
      <c r="AE89" s="179"/>
      <c r="AF89" s="179"/>
      <c r="AG89" s="179"/>
      <c r="AH89" s="179"/>
      <c r="AI89" s="179"/>
      <c r="AJ89" s="179"/>
      <c r="AK89" s="100" t="s">
        <v>432</v>
      </c>
      <c r="AL89" s="303">
        <f>'2a. Patients - incident'!D295</f>
        <v>0</v>
      </c>
      <c r="AM89" s="303">
        <f>'2a. Patients - incident'!E295</f>
        <v>0</v>
      </c>
      <c r="AN89" s="303">
        <f>'2a. Patients - incident'!F295</f>
        <v>0</v>
      </c>
      <c r="AO89" s="303">
        <f>'2a. Patients - incident'!G295</f>
        <v>0</v>
      </c>
      <c r="AP89" s="303">
        <f>'2a. Patients - incident'!H295</f>
        <v>0</v>
      </c>
      <c r="AQ89" s="303">
        <f>'2a. Patients - incident'!I295</f>
        <v>0</v>
      </c>
    </row>
    <row r="90" spans="1:43" x14ac:dyDescent="0.2">
      <c r="A90" s="179"/>
      <c r="B90" s="389">
        <v>0</v>
      </c>
      <c r="C90" s="389" t="s">
        <v>650</v>
      </c>
      <c r="D90" s="179"/>
      <c r="E90" s="179"/>
      <c r="F90" s="179"/>
      <c r="G90" s="179"/>
      <c r="H90" s="179"/>
      <c r="I90" s="179"/>
      <c r="J90" s="389">
        <v>1</v>
      </c>
      <c r="K90" s="179"/>
      <c r="L90" s="382"/>
      <c r="M90" s="382"/>
      <c r="N90" s="382"/>
      <c r="O90" s="382"/>
      <c r="P90" s="179"/>
      <c r="Q90" s="179"/>
      <c r="R90" s="382"/>
      <c r="S90" s="179"/>
      <c r="T90" s="179"/>
      <c r="U90" s="179"/>
      <c r="V90" s="179"/>
      <c r="W90" s="179"/>
      <c r="X90" s="179"/>
      <c r="Y90" s="179"/>
      <c r="Z90" s="179"/>
      <c r="AA90" s="179"/>
      <c r="AB90" s="179"/>
      <c r="AC90" s="179"/>
      <c r="AD90" s="179"/>
      <c r="AE90" s="179"/>
      <c r="AF90" s="179"/>
      <c r="AG90" s="179"/>
      <c r="AH90" s="179"/>
      <c r="AI90" s="179"/>
      <c r="AJ90" s="179"/>
      <c r="AK90" s="100" t="s">
        <v>433</v>
      </c>
      <c r="AL90" s="303">
        <f>'2a. Patients - incident'!D331</f>
        <v>0</v>
      </c>
      <c r="AM90" s="303">
        <f>'2a. Patients - incident'!E331</f>
        <v>0</v>
      </c>
      <c r="AN90" s="303">
        <f>'2a. Patients - incident'!F331</f>
        <v>0</v>
      </c>
      <c r="AO90" s="303">
        <f>'2a. Patients - incident'!G331</f>
        <v>0</v>
      </c>
      <c r="AP90" s="303">
        <f>'2a. Patients - incident'!H331</f>
        <v>0</v>
      </c>
      <c r="AQ90" s="303">
        <f>'2a. Patients - incident'!I331</f>
        <v>0</v>
      </c>
    </row>
    <row r="91" spans="1:43" x14ac:dyDescent="0.2">
      <c r="A91" s="179"/>
      <c r="B91" s="389">
        <v>1</v>
      </c>
      <c r="C91" s="389" t="s">
        <v>651</v>
      </c>
      <c r="D91" s="179"/>
      <c r="E91" s="179"/>
      <c r="F91" s="179"/>
      <c r="G91" s="179"/>
      <c r="H91" s="179"/>
      <c r="I91" s="179"/>
      <c r="J91" s="389">
        <v>2</v>
      </c>
      <c r="K91" s="179"/>
      <c r="L91" s="382"/>
      <c r="M91" s="382"/>
      <c r="N91" s="382"/>
      <c r="O91" s="382"/>
      <c r="P91" s="179"/>
      <c r="Q91" s="179"/>
      <c r="R91" s="382"/>
      <c r="S91" s="179"/>
      <c r="T91" s="179"/>
      <c r="U91" s="179"/>
      <c r="V91" s="179"/>
      <c r="W91" s="179"/>
      <c r="X91" s="179"/>
      <c r="Y91" s="179"/>
      <c r="Z91" s="179"/>
      <c r="AA91" s="179"/>
      <c r="AB91" s="179"/>
      <c r="AC91" s="179"/>
      <c r="AD91" s="179"/>
      <c r="AE91" s="179"/>
      <c r="AF91" s="179"/>
      <c r="AG91" s="179"/>
      <c r="AH91" s="179"/>
      <c r="AI91" s="179"/>
      <c r="AJ91" s="179"/>
      <c r="AK91" s="100" t="s">
        <v>434</v>
      </c>
      <c r="AL91" s="303">
        <f>'2a. Patients - incident'!D367</f>
        <v>0</v>
      </c>
      <c r="AM91" s="303">
        <f>'2a. Patients - incident'!E367</f>
        <v>0</v>
      </c>
      <c r="AN91" s="303">
        <f>'2a. Patients - incident'!F367</f>
        <v>0</v>
      </c>
      <c r="AO91" s="303">
        <f>'2a. Patients - incident'!G367</f>
        <v>0</v>
      </c>
      <c r="AP91" s="303">
        <f>'2a. Patients - incident'!H367</f>
        <v>0</v>
      </c>
      <c r="AQ91" s="303">
        <f>'2a. Patients - incident'!I367</f>
        <v>0</v>
      </c>
    </row>
    <row r="92" spans="1:43" x14ac:dyDescent="0.2">
      <c r="A92" s="179"/>
      <c r="B92" s="179"/>
      <c r="C92" s="179"/>
      <c r="D92" s="179"/>
      <c r="E92" s="179"/>
      <c r="F92" s="179"/>
      <c r="G92" s="179"/>
      <c r="H92" s="179"/>
      <c r="I92" s="179"/>
      <c r="J92" s="389">
        <v>3</v>
      </c>
      <c r="K92" s="179"/>
      <c r="L92" s="382"/>
      <c r="M92" s="382"/>
      <c r="N92" s="382"/>
      <c r="O92" s="382"/>
      <c r="P92" s="179"/>
      <c r="Q92" s="179"/>
      <c r="R92" s="382"/>
      <c r="S92" s="179"/>
      <c r="T92" s="179"/>
      <c r="U92" s="179"/>
      <c r="V92" s="179"/>
      <c r="W92" s="179"/>
      <c r="X92" s="179"/>
      <c r="Y92" s="179"/>
      <c r="Z92" s="179"/>
      <c r="AA92" s="179"/>
      <c r="AB92" s="179"/>
      <c r="AC92" s="179"/>
      <c r="AD92" s="179"/>
      <c r="AE92" s="179"/>
      <c r="AF92" s="179"/>
      <c r="AG92" s="179"/>
      <c r="AH92" s="179"/>
      <c r="AI92" s="179"/>
      <c r="AJ92" s="179"/>
      <c r="AK92" s="100" t="s">
        <v>435</v>
      </c>
      <c r="AL92" s="303">
        <f>'2a. Patients - incident'!D403</f>
        <v>0</v>
      </c>
      <c r="AM92" s="303">
        <f>'2a. Patients - incident'!E403</f>
        <v>0</v>
      </c>
      <c r="AN92" s="303">
        <f>'2a. Patients - incident'!F403</f>
        <v>0</v>
      </c>
      <c r="AO92" s="303">
        <f>'2a. Patients - incident'!G403</f>
        <v>0</v>
      </c>
      <c r="AP92" s="303">
        <f>'2a. Patients - incident'!H403</f>
        <v>0</v>
      </c>
      <c r="AQ92" s="303">
        <f>'2a. Patients - incident'!I403</f>
        <v>0</v>
      </c>
    </row>
    <row r="93" spans="1:43" x14ac:dyDescent="0.2">
      <c r="A93" s="179"/>
      <c r="B93" s="179"/>
      <c r="C93" s="179"/>
      <c r="D93" s="179"/>
      <c r="E93" s="179"/>
      <c r="F93" s="179"/>
      <c r="G93" s="179"/>
      <c r="H93" s="179"/>
      <c r="I93" s="179"/>
      <c r="J93" s="389">
        <v>4</v>
      </c>
      <c r="K93" s="179"/>
      <c r="L93" s="382"/>
      <c r="M93" s="382"/>
      <c r="N93" s="382"/>
      <c r="O93" s="382"/>
      <c r="P93" s="179"/>
      <c r="Q93" s="179"/>
      <c r="R93" s="382"/>
      <c r="S93" s="179"/>
      <c r="T93" s="179"/>
      <c r="U93" s="179"/>
      <c r="V93" s="179"/>
      <c r="W93" s="179"/>
      <c r="X93" s="179"/>
      <c r="Y93" s="179"/>
      <c r="Z93" s="179"/>
      <c r="AA93" s="179"/>
      <c r="AB93" s="179"/>
      <c r="AC93" s="179"/>
      <c r="AD93" s="179"/>
      <c r="AE93" s="179"/>
      <c r="AF93" s="179"/>
      <c r="AG93" s="179"/>
      <c r="AH93" s="179"/>
      <c r="AI93" s="179"/>
      <c r="AJ93" s="179"/>
      <c r="AK93" s="100" t="s">
        <v>436</v>
      </c>
      <c r="AL93" s="303">
        <f>'2b. Patients - prevalent'!D79</f>
        <v>0</v>
      </c>
      <c r="AM93" s="303">
        <f>'2b. Patients - prevalent'!E79</f>
        <v>0</v>
      </c>
      <c r="AN93" s="303">
        <f>'2b. Patients - prevalent'!F79</f>
        <v>0</v>
      </c>
      <c r="AO93" s="303">
        <f>'2b. Patients - prevalent'!G79</f>
        <v>0</v>
      </c>
      <c r="AP93" s="303">
        <f>'2b. Patients - prevalent'!H79</f>
        <v>0</v>
      </c>
      <c r="AQ93" s="303">
        <f>'2b. Patients - prevalent'!I79</f>
        <v>0</v>
      </c>
    </row>
    <row r="94" spans="1:43" x14ac:dyDescent="0.2">
      <c r="A94" s="179"/>
      <c r="B94" s="179"/>
      <c r="C94" s="179"/>
      <c r="D94" s="179"/>
      <c r="E94" s="179"/>
      <c r="F94" s="179"/>
      <c r="G94" s="179"/>
      <c r="H94" s="179"/>
      <c r="I94" s="179"/>
      <c r="J94" s="389">
        <v>5</v>
      </c>
      <c r="K94" s="179"/>
      <c r="L94" s="382"/>
      <c r="M94" s="382"/>
      <c r="N94" s="382"/>
      <c r="O94" s="382"/>
      <c r="P94" s="179"/>
      <c r="Q94" s="179"/>
      <c r="R94" s="382"/>
      <c r="S94" s="179"/>
      <c r="T94" s="179"/>
      <c r="U94" s="179"/>
      <c r="V94" s="179"/>
      <c r="W94" s="179"/>
      <c r="X94" s="179"/>
      <c r="Y94" s="179"/>
      <c r="Z94" s="179"/>
      <c r="AA94" s="179"/>
      <c r="AB94" s="179"/>
      <c r="AC94" s="179"/>
      <c r="AD94" s="179"/>
      <c r="AE94" s="179"/>
      <c r="AF94" s="179"/>
      <c r="AG94" s="179"/>
      <c r="AH94" s="179"/>
      <c r="AI94" s="179"/>
      <c r="AJ94" s="179"/>
      <c r="AK94" s="100" t="s">
        <v>437</v>
      </c>
      <c r="AL94" s="303">
        <f>'2b. Patients - prevalent'!D115</f>
        <v>0</v>
      </c>
      <c r="AM94" s="303">
        <f>'2b. Patients - prevalent'!E115</f>
        <v>0</v>
      </c>
      <c r="AN94" s="303">
        <f>'2b. Patients - prevalent'!F115</f>
        <v>0</v>
      </c>
      <c r="AO94" s="303">
        <f>'2b. Patients - prevalent'!G115</f>
        <v>0</v>
      </c>
      <c r="AP94" s="303">
        <f>'2b. Patients - prevalent'!H115</f>
        <v>0</v>
      </c>
      <c r="AQ94" s="303">
        <f>'2b. Patients - prevalent'!I115</f>
        <v>0</v>
      </c>
    </row>
    <row r="95" spans="1:43" x14ac:dyDescent="0.2">
      <c r="A95" s="179"/>
      <c r="B95" s="179"/>
      <c r="C95" s="179"/>
      <c r="D95" s="179"/>
      <c r="E95" s="179"/>
      <c r="F95" s="179"/>
      <c r="G95" s="179"/>
      <c r="H95" s="179"/>
      <c r="I95" s="179"/>
      <c r="J95" s="179"/>
      <c r="K95" s="179"/>
      <c r="L95" s="382"/>
      <c r="M95" s="382"/>
      <c r="N95" s="382"/>
      <c r="O95" s="382"/>
      <c r="P95" s="179"/>
      <c r="Q95" s="179"/>
      <c r="R95" s="382"/>
      <c r="S95" s="179"/>
      <c r="T95" s="179"/>
      <c r="U95" s="179"/>
      <c r="V95" s="179"/>
      <c r="W95" s="179"/>
      <c r="X95" s="179"/>
      <c r="Y95" s="179"/>
      <c r="Z95" s="179"/>
      <c r="AA95" s="179"/>
      <c r="AB95" s="179"/>
      <c r="AC95" s="179"/>
      <c r="AD95" s="179"/>
      <c r="AE95" s="179"/>
      <c r="AF95" s="179"/>
      <c r="AG95" s="179"/>
      <c r="AH95" s="179"/>
      <c r="AI95" s="179"/>
      <c r="AJ95" s="179"/>
      <c r="AK95" s="100" t="s">
        <v>438</v>
      </c>
      <c r="AL95" s="303">
        <f>'2b. Patients - prevalent'!D151</f>
        <v>0</v>
      </c>
      <c r="AM95" s="303">
        <f>'2b. Patients - prevalent'!E151</f>
        <v>0</v>
      </c>
      <c r="AN95" s="303">
        <f>'2b. Patients - prevalent'!F151</f>
        <v>0</v>
      </c>
      <c r="AO95" s="303">
        <f>'2b. Patients - prevalent'!G151</f>
        <v>0</v>
      </c>
      <c r="AP95" s="303">
        <f>'2b. Patients - prevalent'!H151</f>
        <v>0</v>
      </c>
      <c r="AQ95" s="303">
        <f>'2b. Patients - prevalent'!I151</f>
        <v>0</v>
      </c>
    </row>
    <row r="96" spans="1:43" x14ac:dyDescent="0.2">
      <c r="A96" s="179"/>
      <c r="B96" s="179"/>
      <c r="C96" s="179"/>
      <c r="D96" s="179"/>
      <c r="E96" s="179"/>
      <c r="F96" s="179"/>
      <c r="G96" s="179"/>
      <c r="H96" s="179"/>
      <c r="I96" s="179"/>
      <c r="J96" s="179"/>
      <c r="K96" s="179"/>
      <c r="L96" s="382"/>
      <c r="M96" s="382"/>
      <c r="N96" s="382"/>
      <c r="O96" s="382"/>
      <c r="P96" s="179"/>
      <c r="Q96" s="179"/>
      <c r="R96" s="382"/>
      <c r="S96" s="179"/>
      <c r="T96" s="179"/>
      <c r="U96" s="179"/>
      <c r="V96" s="179"/>
      <c r="W96" s="179"/>
      <c r="X96" s="179"/>
      <c r="Y96" s="179"/>
      <c r="Z96" s="179"/>
      <c r="AA96" s="179"/>
      <c r="AB96" s="179"/>
      <c r="AC96" s="179"/>
      <c r="AD96" s="179"/>
      <c r="AE96" s="179"/>
      <c r="AF96" s="179"/>
      <c r="AG96" s="179"/>
      <c r="AH96" s="179"/>
      <c r="AI96" s="179"/>
      <c r="AJ96" s="179"/>
      <c r="AK96" s="100" t="s">
        <v>439</v>
      </c>
      <c r="AL96" s="303">
        <f>'2b. Patients - prevalent'!D187</f>
        <v>0</v>
      </c>
      <c r="AM96" s="303">
        <f>'2b. Patients - prevalent'!E187</f>
        <v>0</v>
      </c>
      <c r="AN96" s="303">
        <f>'2b. Patients - prevalent'!F187</f>
        <v>0</v>
      </c>
      <c r="AO96" s="303">
        <f>'2b. Patients - prevalent'!G187</f>
        <v>0</v>
      </c>
      <c r="AP96" s="303">
        <f>'2b. Patients - prevalent'!H187</f>
        <v>0</v>
      </c>
      <c r="AQ96" s="303">
        <f>'2b. Patients - prevalent'!I187</f>
        <v>0</v>
      </c>
    </row>
    <row r="97" spans="1:43" x14ac:dyDescent="0.2">
      <c r="A97" s="179"/>
      <c r="B97" s="179"/>
      <c r="C97" s="179"/>
      <c r="D97" s="179"/>
      <c r="E97" s="179"/>
      <c r="F97" s="179"/>
      <c r="G97" s="179"/>
      <c r="H97" s="179"/>
      <c r="I97" s="179"/>
      <c r="J97" s="179"/>
      <c r="K97" s="179"/>
      <c r="L97" s="382"/>
      <c r="M97" s="382"/>
      <c r="N97" s="382"/>
      <c r="O97" s="382"/>
      <c r="P97" s="179"/>
      <c r="Q97" s="179"/>
      <c r="R97" s="382"/>
      <c r="S97" s="179"/>
      <c r="T97" s="179"/>
      <c r="U97" s="179"/>
      <c r="V97" s="179"/>
      <c r="W97" s="179"/>
      <c r="X97" s="179"/>
      <c r="Y97" s="179"/>
      <c r="Z97" s="179"/>
      <c r="AA97" s="179"/>
      <c r="AB97" s="179"/>
      <c r="AC97" s="179"/>
      <c r="AD97" s="179"/>
      <c r="AE97" s="179"/>
      <c r="AF97" s="179"/>
      <c r="AG97" s="179"/>
      <c r="AH97" s="179"/>
      <c r="AI97" s="179"/>
      <c r="AJ97" s="179"/>
      <c r="AK97" s="100" t="s">
        <v>440</v>
      </c>
      <c r="AL97" s="303">
        <f>'2b. Patients - prevalent'!D223</f>
        <v>0</v>
      </c>
      <c r="AM97" s="303">
        <f>'2b. Patients - prevalent'!E223</f>
        <v>0</v>
      </c>
      <c r="AN97" s="303">
        <f>'2b. Patients - prevalent'!F223</f>
        <v>0</v>
      </c>
      <c r="AO97" s="303">
        <f>'2b. Patients - prevalent'!G223</f>
        <v>0</v>
      </c>
      <c r="AP97" s="303">
        <f>'2b. Patients - prevalent'!H223</f>
        <v>0</v>
      </c>
      <c r="AQ97" s="303">
        <f>'2b. Patients - prevalent'!I223</f>
        <v>0</v>
      </c>
    </row>
    <row r="98" spans="1:43" x14ac:dyDescent="0.2">
      <c r="A98" s="179"/>
      <c r="B98" s="179"/>
      <c r="C98" s="179"/>
      <c r="D98" s="179"/>
      <c r="E98" s="179"/>
      <c r="F98" s="179"/>
      <c r="G98" s="179"/>
      <c r="H98" s="179"/>
      <c r="I98" s="179"/>
      <c r="J98" s="179"/>
      <c r="K98" s="179"/>
      <c r="L98" s="382"/>
      <c r="M98" s="382"/>
      <c r="N98" s="382"/>
      <c r="O98" s="382"/>
      <c r="P98" s="179"/>
      <c r="Q98" s="179"/>
      <c r="R98" s="382"/>
      <c r="S98" s="179"/>
      <c r="T98" s="179"/>
      <c r="U98" s="179"/>
      <c r="V98" s="179"/>
      <c r="W98" s="179"/>
      <c r="X98" s="179"/>
      <c r="Y98" s="179"/>
      <c r="Z98" s="179"/>
      <c r="AA98" s="179"/>
      <c r="AB98" s="179"/>
      <c r="AC98" s="179"/>
      <c r="AD98" s="179"/>
      <c r="AE98" s="179"/>
      <c r="AF98" s="179"/>
      <c r="AG98" s="179"/>
      <c r="AH98" s="179"/>
      <c r="AI98" s="179"/>
      <c r="AJ98" s="179"/>
      <c r="AK98" s="100" t="s">
        <v>441</v>
      </c>
      <c r="AL98" s="303">
        <f>'2b. Patients - prevalent'!D259</f>
        <v>0</v>
      </c>
      <c r="AM98" s="303">
        <f>'2b. Patients - prevalent'!E259</f>
        <v>0</v>
      </c>
      <c r="AN98" s="303">
        <f>'2b. Patients - prevalent'!F259</f>
        <v>0</v>
      </c>
      <c r="AO98" s="303">
        <f>'2b. Patients - prevalent'!G259</f>
        <v>0</v>
      </c>
      <c r="AP98" s="303">
        <f>'2b. Patients - prevalent'!H259</f>
        <v>0</v>
      </c>
      <c r="AQ98" s="303">
        <f>'2b. Patients - prevalent'!I259</f>
        <v>0</v>
      </c>
    </row>
    <row r="99" spans="1:43" x14ac:dyDescent="0.2">
      <c r="A99" s="179"/>
      <c r="B99" s="179"/>
      <c r="C99" s="179"/>
      <c r="D99" s="179"/>
      <c r="E99" s="179"/>
      <c r="F99" s="179"/>
      <c r="G99" s="179"/>
      <c r="H99" s="179"/>
      <c r="I99" s="179"/>
      <c r="J99" s="179"/>
      <c r="K99" s="179"/>
      <c r="L99" s="382"/>
      <c r="M99" s="382"/>
      <c r="N99" s="382"/>
      <c r="O99" s="382"/>
      <c r="P99" s="179"/>
      <c r="Q99" s="179"/>
      <c r="R99" s="382"/>
      <c r="S99" s="179"/>
      <c r="T99" s="179"/>
      <c r="U99" s="179"/>
      <c r="V99" s="179"/>
      <c r="W99" s="179"/>
      <c r="X99" s="179"/>
      <c r="Y99" s="179"/>
      <c r="Z99" s="179"/>
      <c r="AA99" s="179"/>
      <c r="AB99" s="179"/>
      <c r="AC99" s="179"/>
      <c r="AD99" s="179"/>
      <c r="AE99" s="179"/>
      <c r="AF99" s="179"/>
      <c r="AG99" s="179"/>
      <c r="AH99" s="179"/>
      <c r="AI99" s="179"/>
      <c r="AJ99" s="179"/>
      <c r="AK99" s="100" t="s">
        <v>442</v>
      </c>
      <c r="AL99" s="303">
        <f>'2b. Patients - prevalent'!D295</f>
        <v>0</v>
      </c>
      <c r="AM99" s="303">
        <f>'2b. Patients - prevalent'!E295</f>
        <v>0</v>
      </c>
      <c r="AN99" s="303">
        <f>'2b. Patients - prevalent'!F295</f>
        <v>0</v>
      </c>
      <c r="AO99" s="303">
        <f>'2b. Patients - prevalent'!G295</f>
        <v>0</v>
      </c>
      <c r="AP99" s="303">
        <f>'2b. Patients - prevalent'!H295</f>
        <v>0</v>
      </c>
      <c r="AQ99" s="303">
        <f>'2b. Patients - prevalent'!I295</f>
        <v>0</v>
      </c>
    </row>
    <row r="100" spans="1:43" x14ac:dyDescent="0.2">
      <c r="A100" s="179"/>
      <c r="B100" s="179"/>
      <c r="C100" s="179"/>
      <c r="D100" s="179"/>
      <c r="E100" s="179"/>
      <c r="F100" s="179"/>
      <c r="G100" s="179"/>
      <c r="H100" s="179"/>
      <c r="I100" s="179"/>
      <c r="J100" s="179"/>
      <c r="K100" s="179"/>
      <c r="L100" s="382"/>
      <c r="M100" s="382"/>
      <c r="N100" s="382"/>
      <c r="O100" s="382"/>
      <c r="P100" s="179"/>
      <c r="Q100" s="179"/>
      <c r="R100" s="382"/>
      <c r="S100" s="179"/>
      <c r="T100" s="179"/>
      <c r="U100" s="179"/>
      <c r="V100" s="179"/>
      <c r="W100" s="179"/>
      <c r="X100" s="179"/>
      <c r="Y100" s="179"/>
      <c r="Z100" s="179"/>
      <c r="AA100" s="179"/>
      <c r="AB100" s="179"/>
      <c r="AC100" s="179"/>
      <c r="AD100" s="179"/>
      <c r="AE100" s="179"/>
      <c r="AF100" s="179"/>
      <c r="AG100" s="179"/>
      <c r="AH100" s="179"/>
      <c r="AI100" s="179"/>
      <c r="AJ100" s="179"/>
      <c r="AK100" s="100" t="s">
        <v>443</v>
      </c>
      <c r="AL100" s="303">
        <f>'2b. Patients - prevalent'!D331</f>
        <v>0</v>
      </c>
      <c r="AM100" s="303">
        <f>'2b. Patients - prevalent'!E331</f>
        <v>0</v>
      </c>
      <c r="AN100" s="303">
        <f>'2b. Patients - prevalent'!F331</f>
        <v>0</v>
      </c>
      <c r="AO100" s="303">
        <f>'2b. Patients - prevalent'!G331</f>
        <v>0</v>
      </c>
      <c r="AP100" s="303">
        <f>'2b. Patients - prevalent'!H331</f>
        <v>0</v>
      </c>
      <c r="AQ100" s="303">
        <f>'2b. Patients - prevalent'!I331</f>
        <v>0</v>
      </c>
    </row>
    <row r="101" spans="1:43" x14ac:dyDescent="0.2">
      <c r="A101" s="179"/>
      <c r="B101" s="873" t="s">
        <v>788</v>
      </c>
      <c r="C101" s="731"/>
      <c r="D101" s="179"/>
      <c r="E101" s="179"/>
      <c r="F101" s="179"/>
      <c r="G101" s="179"/>
      <c r="H101" s="179"/>
      <c r="I101" s="179"/>
      <c r="J101" s="717" t="s">
        <v>978</v>
      </c>
      <c r="K101" s="179"/>
      <c r="L101" s="382"/>
      <c r="M101" s="382"/>
      <c r="N101" s="382"/>
      <c r="O101" s="382"/>
      <c r="P101" s="179"/>
      <c r="Q101" s="179"/>
      <c r="R101" s="382"/>
      <c r="S101" s="179"/>
      <c r="T101" s="179"/>
      <c r="U101" s="179"/>
      <c r="V101" s="179"/>
      <c r="W101" s="179"/>
      <c r="X101" s="179"/>
      <c r="Y101" s="179"/>
      <c r="Z101" s="179"/>
      <c r="AA101" s="179"/>
      <c r="AB101" s="179"/>
      <c r="AC101" s="179"/>
      <c r="AD101" s="179"/>
      <c r="AE101" s="179"/>
      <c r="AF101" s="179"/>
      <c r="AG101" s="179"/>
      <c r="AH101" s="179"/>
      <c r="AI101" s="179"/>
      <c r="AJ101" s="179"/>
      <c r="AK101" s="100" t="s">
        <v>444</v>
      </c>
      <c r="AL101" s="303">
        <f>'2b. Patients - prevalent'!D367</f>
        <v>0</v>
      </c>
      <c r="AM101" s="303">
        <f>'2b. Patients - prevalent'!E367</f>
        <v>0</v>
      </c>
      <c r="AN101" s="303">
        <f>'2b. Patients - prevalent'!F367</f>
        <v>0</v>
      </c>
      <c r="AO101" s="303">
        <f>'2b. Patients - prevalent'!G367</f>
        <v>0</v>
      </c>
      <c r="AP101" s="303">
        <f>'2b. Patients - prevalent'!H367</f>
        <v>0</v>
      </c>
      <c r="AQ101" s="303">
        <f>'2b. Patients - prevalent'!I367</f>
        <v>0</v>
      </c>
    </row>
    <row r="102" spans="1:43" x14ac:dyDescent="0.2">
      <c r="A102" s="179"/>
      <c r="B102" s="609" t="s">
        <v>789</v>
      </c>
      <c r="C102" s="609" t="s">
        <v>790</v>
      </c>
      <c r="D102" s="179"/>
      <c r="E102" s="179"/>
      <c r="F102" s="179"/>
      <c r="G102" s="179"/>
      <c r="H102" s="179"/>
      <c r="I102" s="179"/>
      <c r="J102" s="718">
        <v>0.8</v>
      </c>
      <c r="K102" s="179"/>
      <c r="L102" s="382"/>
      <c r="M102" s="382"/>
      <c r="N102" s="382"/>
      <c r="O102" s="382"/>
      <c r="P102" s="179"/>
      <c r="Q102" s="179"/>
      <c r="R102" s="382"/>
      <c r="S102" s="179"/>
      <c r="T102" s="179"/>
      <c r="U102" s="179"/>
      <c r="V102" s="179"/>
      <c r="W102" s="179"/>
      <c r="X102" s="179"/>
      <c r="Y102" s="179"/>
      <c r="Z102" s="179"/>
      <c r="AA102" s="179"/>
      <c r="AB102" s="179"/>
      <c r="AC102" s="179"/>
      <c r="AD102" s="179"/>
      <c r="AE102" s="179"/>
      <c r="AF102" s="179"/>
      <c r="AG102" s="179"/>
      <c r="AH102" s="179"/>
      <c r="AI102" s="179"/>
      <c r="AJ102" s="179"/>
      <c r="AK102" s="100" t="s">
        <v>445</v>
      </c>
      <c r="AL102" s="303">
        <f>'2b. Patients - prevalent'!D403</f>
        <v>0</v>
      </c>
      <c r="AM102" s="303">
        <f>'2b. Patients - prevalent'!E403</f>
        <v>0</v>
      </c>
      <c r="AN102" s="303">
        <f>'2b. Patients - prevalent'!F403</f>
        <v>0</v>
      </c>
      <c r="AO102" s="303">
        <f>'2b. Patients - prevalent'!G403</f>
        <v>0</v>
      </c>
      <c r="AP102" s="303">
        <f>'2b. Patients - prevalent'!H403</f>
        <v>0</v>
      </c>
      <c r="AQ102" s="303">
        <f>'2b. Patients - prevalent'!I403</f>
        <v>0</v>
      </c>
    </row>
    <row r="103" spans="1:43" x14ac:dyDescent="0.2">
      <c r="A103" s="179"/>
      <c r="B103" s="568" t="str">
        <f>IF(TPAll&gt;0,VLOOKUP(B110,TPShortReverse,2,FALSE),IF(TPInit&gt;0,VLOOKUP(B110,TPShortReverse,2,FALSE),""))</f>
        <v/>
      </c>
      <c r="C103" s="568" t="str">
        <f>IF(TPAll&gt;0,"",IF(TPCont&gt;0,VLOOKUP(C110,TPShortReverse,2,FALSE),""))</f>
        <v/>
      </c>
      <c r="D103" s="179"/>
      <c r="E103" s="179"/>
      <c r="F103" s="179"/>
      <c r="G103" s="179"/>
      <c r="H103" s="179"/>
      <c r="I103" s="179"/>
      <c r="J103" s="179"/>
      <c r="K103" s="179"/>
      <c r="L103" s="382"/>
      <c r="M103" s="382"/>
      <c r="N103" s="382"/>
      <c r="O103" s="382"/>
      <c r="P103" s="179"/>
      <c r="Q103" s="179"/>
      <c r="R103" s="382"/>
      <c r="S103" s="179"/>
      <c r="T103" s="179"/>
      <c r="U103" s="179"/>
      <c r="V103" s="179"/>
      <c r="W103" s="179"/>
      <c r="X103" s="179"/>
      <c r="Y103" s="179"/>
      <c r="Z103" s="179"/>
      <c r="AA103" s="179"/>
      <c r="AB103" s="179"/>
      <c r="AC103" s="179"/>
      <c r="AD103" s="179"/>
      <c r="AE103" s="179"/>
      <c r="AF103" s="179"/>
      <c r="AG103" s="179"/>
      <c r="AH103" s="179"/>
      <c r="AI103" s="179"/>
      <c r="AJ103" s="179"/>
      <c r="AK103" s="100" t="s">
        <v>446</v>
      </c>
      <c r="AL103" s="303">
        <f>'2c. Patients - GF'!D70</f>
        <v>0</v>
      </c>
      <c r="AM103" s="303">
        <f>'2c. Patients - GF'!E70</f>
        <v>0</v>
      </c>
      <c r="AN103" s="303">
        <f>'2c. Patients - GF'!F70</f>
        <v>0</v>
      </c>
      <c r="AO103" s="303">
        <f>'2c. Patients - GF'!G70</f>
        <v>0</v>
      </c>
      <c r="AP103" s="303">
        <f>'2c. Patients - GF'!H70</f>
        <v>0</v>
      </c>
      <c r="AQ103" s="303">
        <f>'2c. Patients - GF'!I70</f>
        <v>0</v>
      </c>
    </row>
    <row r="104" spans="1:43" x14ac:dyDescent="0.2">
      <c r="A104" s="179"/>
      <c r="B104" s="568" t="str">
        <f>LOWER(B103)</f>
        <v/>
      </c>
      <c r="C104" s="568" t="str">
        <f>LOWER(C103)</f>
        <v/>
      </c>
      <c r="D104" s="179"/>
      <c r="E104" s="179"/>
      <c r="F104" s="179"/>
      <c r="G104" s="179"/>
      <c r="H104" s="179"/>
      <c r="I104" s="179"/>
      <c r="J104" s="179"/>
      <c r="K104" s="179"/>
      <c r="L104" s="382"/>
      <c r="M104" s="382"/>
      <c r="N104" s="382"/>
      <c r="O104" s="382"/>
      <c r="P104" s="179"/>
      <c r="Q104" s="179"/>
      <c r="R104" s="382"/>
      <c r="S104" s="179"/>
      <c r="T104" s="179"/>
      <c r="U104" s="179"/>
      <c r="V104" s="179"/>
      <c r="W104" s="179"/>
      <c r="X104" s="179"/>
      <c r="Y104" s="179"/>
      <c r="Z104" s="179"/>
      <c r="AA104" s="179"/>
      <c r="AB104" s="179"/>
      <c r="AC104" s="179"/>
      <c r="AD104" s="179"/>
      <c r="AE104" s="179"/>
      <c r="AF104" s="179"/>
      <c r="AG104" s="179"/>
      <c r="AH104" s="179"/>
      <c r="AI104" s="179"/>
      <c r="AJ104" s="179"/>
      <c r="AK104" s="100" t="s">
        <v>447</v>
      </c>
      <c r="AL104" s="303">
        <f>'2c. Patients - GF'!D97</f>
        <v>0</v>
      </c>
      <c r="AM104" s="303">
        <f>'2c. Patients - GF'!E97</f>
        <v>0</v>
      </c>
      <c r="AN104" s="303">
        <f>'2c. Patients - GF'!F97</f>
        <v>0</v>
      </c>
      <c r="AO104" s="303">
        <f>'2c. Patients - GF'!G97</f>
        <v>0</v>
      </c>
      <c r="AP104" s="303">
        <f>'2c. Patients - GF'!H97</f>
        <v>0</v>
      </c>
      <c r="AQ104" s="303">
        <f>'2c. Patients - GF'!I97</f>
        <v>0</v>
      </c>
    </row>
    <row r="105" spans="1:43" x14ac:dyDescent="0.2">
      <c r="A105" s="179"/>
      <c r="B105" s="568" t="str">
        <f>IF(TxPhase1&lt;&gt;"",TxPhase1 &amp; " patients (#)","")</f>
        <v/>
      </c>
      <c r="C105" s="568" t="str">
        <f>IF(TxPhase2&lt;&gt;"",TxPhase2 &amp; " patients (#)","")</f>
        <v/>
      </c>
      <c r="D105" s="179"/>
      <c r="E105" s="179"/>
      <c r="F105" s="179"/>
      <c r="G105" s="179"/>
      <c r="H105" s="179"/>
      <c r="I105" s="179"/>
      <c r="J105" s="179"/>
      <c r="K105" s="179"/>
      <c r="L105" s="382"/>
      <c r="M105" s="382"/>
      <c r="N105" s="382"/>
      <c r="O105" s="382"/>
      <c r="P105" s="179"/>
      <c r="Q105" s="179"/>
      <c r="R105" s="382"/>
      <c r="S105" s="179"/>
      <c r="T105" s="179"/>
      <c r="U105" s="179"/>
      <c r="V105" s="179"/>
      <c r="W105" s="179"/>
      <c r="X105" s="179"/>
      <c r="Y105" s="179"/>
      <c r="Z105" s="179"/>
      <c r="AA105" s="179"/>
      <c r="AB105" s="179"/>
      <c r="AC105" s="179"/>
      <c r="AD105" s="179"/>
      <c r="AE105" s="179"/>
      <c r="AF105" s="179"/>
      <c r="AG105" s="179"/>
      <c r="AH105" s="179"/>
      <c r="AI105" s="179"/>
      <c r="AJ105" s="179"/>
      <c r="AK105" s="100" t="s">
        <v>448</v>
      </c>
      <c r="AL105" s="303">
        <f>'2c. Patients - GF'!D124</f>
        <v>0</v>
      </c>
      <c r="AM105" s="303">
        <f>'2c. Patients - GF'!E124</f>
        <v>0</v>
      </c>
      <c r="AN105" s="303">
        <f>'2c. Patients - GF'!F124</f>
        <v>0</v>
      </c>
      <c r="AO105" s="303">
        <f>'2c. Patients - GF'!G124</f>
        <v>0</v>
      </c>
      <c r="AP105" s="303">
        <f>'2c. Patients - GF'!H124</f>
        <v>0</v>
      </c>
      <c r="AQ105" s="303">
        <f>'2c. Patients - GF'!I124</f>
        <v>0</v>
      </c>
    </row>
    <row r="106" spans="1:43" x14ac:dyDescent="0.2">
      <c r="A106" s="593"/>
      <c r="B106" s="568" t="str">
        <f>IF(B104&lt;&gt;"","Total " &amp; B104 &amp; " patients","")</f>
        <v/>
      </c>
      <c r="C106" s="568" t="str">
        <f>IF(C104&lt;&gt;"","Total " &amp; C104 &amp; " patients","")</f>
        <v/>
      </c>
      <c r="D106" s="593"/>
      <c r="E106" s="593"/>
      <c r="F106" s="593"/>
      <c r="G106" s="593"/>
      <c r="H106" s="593"/>
      <c r="I106" s="593"/>
      <c r="J106" s="593"/>
      <c r="K106" s="593"/>
      <c r="L106" s="593"/>
      <c r="M106" s="593"/>
      <c r="N106" s="593"/>
      <c r="O106" s="593"/>
      <c r="P106" s="593"/>
      <c r="Q106" s="593"/>
      <c r="R106" s="593"/>
      <c r="S106" s="593"/>
      <c r="T106" s="593"/>
      <c r="U106" s="593"/>
      <c r="V106" s="593"/>
      <c r="W106" s="593"/>
      <c r="X106" s="593"/>
      <c r="Y106" s="593"/>
      <c r="Z106" s="593"/>
      <c r="AA106" s="593"/>
      <c r="AB106" s="593"/>
      <c r="AC106" s="593"/>
      <c r="AD106" s="593"/>
      <c r="AE106" s="593"/>
      <c r="AF106" s="593"/>
      <c r="AG106" s="593"/>
      <c r="AH106" s="179"/>
      <c r="AI106" s="179"/>
      <c r="AJ106" s="593"/>
      <c r="AK106" s="100" t="s">
        <v>449</v>
      </c>
      <c r="AL106" s="303">
        <f>'2c. Patients - GF'!D151</f>
        <v>0</v>
      </c>
      <c r="AM106" s="303">
        <f>'2c. Patients - GF'!E151</f>
        <v>0</v>
      </c>
      <c r="AN106" s="303">
        <f>'2c. Patients - GF'!F151</f>
        <v>0</v>
      </c>
      <c r="AO106" s="303">
        <f>'2c. Patients - GF'!G151</f>
        <v>0</v>
      </c>
      <c r="AP106" s="303">
        <f>'2c. Patients - GF'!H151</f>
        <v>0</v>
      </c>
      <c r="AQ106" s="303">
        <f>'2c. Patients - GF'!I151</f>
        <v>0</v>
      </c>
    </row>
    <row r="107" spans="1:43" x14ac:dyDescent="0.2">
      <c r="A107" s="179"/>
      <c r="B107" s="568" t="str">
        <f>IF(TxPhase1&lt;&gt;"",TxPhase1 &amp; " treatment","")</f>
        <v/>
      </c>
      <c r="C107" s="568" t="str">
        <f>IF(TxPhase2&lt;&gt;"",TxPhase2 &amp; " treatment","")</f>
        <v/>
      </c>
      <c r="D107" s="179"/>
      <c r="E107" s="179"/>
      <c r="F107" s="179"/>
      <c r="G107" s="179"/>
      <c r="H107" s="179"/>
      <c r="I107" s="179"/>
      <c r="J107" s="179"/>
      <c r="K107" s="179"/>
      <c r="L107" s="382"/>
      <c r="M107" s="382"/>
      <c r="N107" s="382"/>
      <c r="O107" s="382"/>
      <c r="P107" s="179"/>
      <c r="Q107" s="179"/>
      <c r="R107" s="382"/>
      <c r="S107" s="179"/>
      <c r="T107" s="179"/>
      <c r="U107" s="179"/>
      <c r="V107" s="179"/>
      <c r="W107" s="179"/>
      <c r="X107" s="179"/>
      <c r="Y107" s="179"/>
      <c r="Z107" s="179"/>
      <c r="AA107" s="179"/>
      <c r="AB107" s="179"/>
      <c r="AC107" s="179"/>
      <c r="AD107" s="179"/>
      <c r="AE107" s="179"/>
      <c r="AF107" s="179"/>
      <c r="AG107" s="179"/>
      <c r="AH107" s="179"/>
      <c r="AI107" s="179"/>
      <c r="AJ107" s="179"/>
      <c r="AK107" s="100" t="s">
        <v>450</v>
      </c>
      <c r="AL107" s="303">
        <f>'2c. Patients - GF'!D178</f>
        <v>0</v>
      </c>
      <c r="AM107" s="303">
        <f>'2c. Patients - GF'!E178</f>
        <v>0</v>
      </c>
      <c r="AN107" s="303">
        <f>'2c. Patients - GF'!F178</f>
        <v>0</v>
      </c>
      <c r="AO107" s="303">
        <f>'2c. Patients - GF'!G178</f>
        <v>0</v>
      </c>
      <c r="AP107" s="303">
        <f>'2c. Patients - GF'!H178</f>
        <v>0</v>
      </c>
      <c r="AQ107" s="303">
        <f>'2c. Patients - GF'!I178</f>
        <v>0</v>
      </c>
    </row>
    <row r="108" spans="1:43" x14ac:dyDescent="0.2">
      <c r="A108" s="179"/>
      <c r="B108" s="568" t="str">
        <f>IF(TxPhase1&lt;&gt;"",TxPhase1 &amp; " scripts (#)","")</f>
        <v/>
      </c>
      <c r="C108" s="568" t="str">
        <f>IF(TxPhase2&lt;&gt;"",TxPhase2 &amp; " scripts (#)","")</f>
        <v/>
      </c>
      <c r="D108" s="179"/>
      <c r="E108" s="179"/>
      <c r="F108" s="179"/>
      <c r="G108" s="179"/>
      <c r="H108" s="179"/>
      <c r="I108" s="179"/>
      <c r="J108" s="179"/>
      <c r="K108" s="179"/>
      <c r="L108" s="382"/>
      <c r="M108" s="382"/>
      <c r="N108" s="382"/>
      <c r="O108" s="382"/>
      <c r="P108" s="179"/>
      <c r="Q108" s="179"/>
      <c r="R108" s="382"/>
      <c r="S108" s="179"/>
      <c r="T108" s="179"/>
      <c r="U108" s="179"/>
      <c r="V108" s="179"/>
      <c r="W108" s="179"/>
      <c r="X108" s="179"/>
      <c r="Y108" s="179"/>
      <c r="Z108" s="179"/>
      <c r="AA108" s="179"/>
      <c r="AB108" s="179"/>
      <c r="AC108" s="179"/>
      <c r="AD108" s="179"/>
      <c r="AE108" s="179"/>
      <c r="AF108" s="179"/>
      <c r="AG108" s="179"/>
      <c r="AH108" s="179"/>
      <c r="AI108" s="179"/>
      <c r="AJ108" s="179"/>
      <c r="AK108" s="100" t="s">
        <v>451</v>
      </c>
      <c r="AL108" s="311"/>
      <c r="AM108" s="311"/>
      <c r="AN108" s="311"/>
      <c r="AO108" s="311"/>
      <c r="AP108" s="311"/>
      <c r="AQ108" s="311"/>
    </row>
    <row r="109" spans="1:43" x14ac:dyDescent="0.2">
      <c r="A109" s="179"/>
      <c r="B109" s="568" t="str">
        <f>IF(B104&lt;&gt;"","Total " &amp; B104 &amp; " scripts","")</f>
        <v/>
      </c>
      <c r="C109" s="568" t="str">
        <f>IF(C104&lt;&gt;"","Total " &amp; C104 &amp; " scripts","")</f>
        <v/>
      </c>
      <c r="D109" s="179"/>
      <c r="E109" s="179"/>
      <c r="F109" s="179"/>
      <c r="G109" s="179"/>
      <c r="H109" s="179"/>
      <c r="I109" s="179"/>
      <c r="J109" s="179"/>
      <c r="K109" s="179"/>
      <c r="L109" s="382"/>
      <c r="M109" s="382"/>
      <c r="N109" s="382"/>
      <c r="O109" s="382"/>
      <c r="P109" s="179"/>
      <c r="Q109" s="179"/>
      <c r="R109" s="382"/>
      <c r="S109" s="179"/>
      <c r="T109" s="179"/>
      <c r="U109" s="179"/>
      <c r="V109" s="179"/>
      <c r="W109" s="179"/>
      <c r="X109" s="179"/>
      <c r="Y109" s="179"/>
      <c r="Z109" s="179"/>
      <c r="AA109" s="179"/>
      <c r="AB109" s="179"/>
      <c r="AC109" s="179"/>
      <c r="AD109" s="179"/>
      <c r="AE109" s="179"/>
      <c r="AF109" s="179"/>
      <c r="AG109" s="179"/>
      <c r="AH109" s="179"/>
      <c r="AI109" s="179"/>
      <c r="AJ109" s="179"/>
      <c r="AK109" s="100" t="s">
        <v>452</v>
      </c>
      <c r="AL109" s="311"/>
      <c r="AM109" s="311"/>
      <c r="AN109" s="311"/>
      <c r="AO109" s="311"/>
      <c r="AP109" s="311"/>
      <c r="AQ109" s="311"/>
    </row>
    <row r="110" spans="1:43" x14ac:dyDescent="0.2">
      <c r="A110" s="179"/>
      <c r="B110" s="568" t="str">
        <f>IF(TPAll&gt;0,"IC",IF(TPInit&gt;0,"I",""))</f>
        <v/>
      </c>
      <c r="C110" s="568" t="str">
        <f>IF(TPAll&gt;0,"",IF(TPCont&gt;0,"C",""))</f>
        <v/>
      </c>
      <c r="D110" s="179"/>
      <c r="E110" s="179"/>
      <c r="F110" s="179"/>
      <c r="G110" s="179"/>
      <c r="H110" s="179"/>
      <c r="I110" s="179"/>
      <c r="J110" s="179"/>
      <c r="K110" s="179"/>
      <c r="L110" s="382"/>
      <c r="M110" s="382"/>
      <c r="N110" s="382"/>
      <c r="O110" s="382"/>
      <c r="P110" s="179"/>
      <c r="Q110" s="179"/>
      <c r="R110" s="382"/>
      <c r="S110" s="179"/>
      <c r="T110" s="179"/>
      <c r="U110" s="179"/>
      <c r="V110" s="179"/>
      <c r="W110" s="179"/>
      <c r="X110" s="179"/>
      <c r="Y110" s="179"/>
      <c r="Z110" s="179"/>
      <c r="AA110" s="179"/>
      <c r="AB110" s="179"/>
      <c r="AC110" s="179"/>
      <c r="AD110" s="179"/>
      <c r="AE110" s="179"/>
      <c r="AF110" s="179"/>
      <c r="AG110" s="179"/>
      <c r="AH110" s="179"/>
      <c r="AI110" s="179"/>
      <c r="AJ110" s="179"/>
      <c r="AK110" s="100" t="s">
        <v>453</v>
      </c>
      <c r="AL110" s="311"/>
      <c r="AM110" s="311"/>
      <c r="AN110" s="311"/>
      <c r="AO110" s="311"/>
      <c r="AP110" s="311"/>
      <c r="AQ110" s="311"/>
    </row>
    <row r="111" spans="1:43" x14ac:dyDescent="0.2">
      <c r="A111" s="179"/>
      <c r="B111" s="179"/>
      <c r="C111" s="179"/>
      <c r="D111" s="179"/>
      <c r="E111" s="179"/>
      <c r="F111" s="179"/>
      <c r="G111" s="179"/>
      <c r="H111" s="179"/>
      <c r="I111" s="179"/>
      <c r="J111" s="179"/>
      <c r="K111" s="179"/>
      <c r="L111" s="382"/>
      <c r="M111" s="382"/>
      <c r="N111" s="382"/>
      <c r="O111" s="382"/>
      <c r="P111" s="179"/>
      <c r="Q111" s="179"/>
      <c r="R111" s="382"/>
      <c r="S111" s="179"/>
      <c r="T111" s="179"/>
      <c r="U111" s="179"/>
      <c r="V111" s="179"/>
      <c r="W111" s="179"/>
      <c r="X111" s="179"/>
      <c r="Y111" s="179"/>
      <c r="Z111" s="179"/>
      <c r="AA111" s="179"/>
      <c r="AB111" s="179"/>
      <c r="AC111" s="179"/>
      <c r="AD111" s="179"/>
      <c r="AE111" s="179"/>
      <c r="AF111" s="179"/>
      <c r="AG111" s="179"/>
      <c r="AH111" s="179"/>
      <c r="AI111" s="179"/>
      <c r="AJ111" s="179"/>
      <c r="AK111" s="100" t="s">
        <v>454</v>
      </c>
      <c r="AL111" s="311"/>
      <c r="AM111" s="311"/>
      <c r="AN111" s="311"/>
      <c r="AO111" s="311"/>
      <c r="AP111" s="311"/>
      <c r="AQ111" s="311"/>
    </row>
    <row r="112" spans="1:43" x14ac:dyDescent="0.2">
      <c r="A112" s="179"/>
      <c r="B112" s="179"/>
      <c r="C112" s="179"/>
      <c r="D112" s="179"/>
      <c r="E112" s="179"/>
      <c r="F112" s="179"/>
      <c r="G112" s="179"/>
      <c r="H112" s="179"/>
      <c r="I112" s="179"/>
      <c r="J112" s="179"/>
      <c r="K112" s="179"/>
      <c r="L112" s="382"/>
      <c r="M112" s="382"/>
      <c r="N112" s="382"/>
      <c r="O112" s="382"/>
      <c r="P112" s="179"/>
      <c r="Q112" s="179"/>
      <c r="R112" s="382"/>
      <c r="S112" s="179"/>
      <c r="T112" s="179"/>
      <c r="U112" s="179"/>
      <c r="V112" s="179"/>
      <c r="W112" s="179"/>
      <c r="X112" s="179"/>
      <c r="Y112" s="179"/>
      <c r="Z112" s="179"/>
      <c r="AA112" s="179"/>
      <c r="AB112" s="179"/>
      <c r="AC112" s="179"/>
      <c r="AD112" s="179"/>
      <c r="AE112" s="179"/>
      <c r="AF112" s="179"/>
      <c r="AG112" s="179"/>
      <c r="AH112" s="179"/>
      <c r="AI112" s="179"/>
      <c r="AJ112" s="179"/>
      <c r="AK112" s="100" t="s">
        <v>455</v>
      </c>
      <c r="AL112" s="311"/>
      <c r="AM112" s="311"/>
      <c r="AN112" s="311"/>
      <c r="AO112" s="311"/>
      <c r="AP112" s="311"/>
      <c r="AQ112" s="311"/>
    </row>
    <row r="113" spans="1:43" x14ac:dyDescent="0.2">
      <c r="A113" s="179"/>
      <c r="B113" s="179"/>
      <c r="C113" s="179"/>
      <c r="D113" s="179"/>
      <c r="E113" s="179"/>
      <c r="F113" s="179"/>
      <c r="G113" s="179"/>
      <c r="H113" s="179"/>
      <c r="I113" s="179"/>
      <c r="J113" s="179"/>
      <c r="K113" s="179"/>
      <c r="L113" s="382"/>
      <c r="M113" s="382"/>
      <c r="N113" s="382"/>
      <c r="O113" s="382"/>
      <c r="P113" s="179"/>
      <c r="Q113" s="179"/>
      <c r="R113" s="382"/>
      <c r="S113" s="179"/>
      <c r="T113" s="179"/>
      <c r="U113" s="179"/>
      <c r="V113" s="179"/>
      <c r="W113" s="179"/>
      <c r="X113" s="179"/>
      <c r="Y113" s="179"/>
      <c r="Z113" s="179"/>
      <c r="AA113" s="179"/>
      <c r="AB113" s="179"/>
      <c r="AC113" s="179"/>
      <c r="AD113" s="179"/>
      <c r="AE113" s="179"/>
      <c r="AF113" s="179"/>
      <c r="AG113" s="179"/>
      <c r="AH113" s="179"/>
      <c r="AI113" s="179"/>
      <c r="AJ113" s="179"/>
      <c r="AK113" s="100" t="s">
        <v>458</v>
      </c>
      <c r="AL113" s="303">
        <f>'2. Patients'!C24</f>
        <v>0</v>
      </c>
      <c r="AM113" s="303">
        <f>'2. Patients'!D24</f>
        <v>0</v>
      </c>
      <c r="AN113" s="303">
        <f>'2. Patients'!E24</f>
        <v>0</v>
      </c>
      <c r="AO113" s="303">
        <f>'2. Patients'!F24</f>
        <v>0</v>
      </c>
      <c r="AP113" s="303">
        <f>'2. Patients'!G24</f>
        <v>0</v>
      </c>
      <c r="AQ113" s="303">
        <f>'2. Patients'!H24</f>
        <v>0</v>
      </c>
    </row>
    <row r="114" spans="1:43" ht="12.75" customHeight="1" x14ac:dyDescent="0.2">
      <c r="B114" s="179"/>
      <c r="C114" s="179"/>
      <c r="D114" s="179"/>
      <c r="E114" s="179"/>
      <c r="F114" s="179"/>
      <c r="G114" s="179"/>
      <c r="H114" s="179"/>
      <c r="I114" s="179"/>
      <c r="J114" s="179"/>
      <c r="L114" s="503"/>
      <c r="M114" s="503"/>
      <c r="N114" s="503"/>
      <c r="O114" s="503"/>
      <c r="R114" s="503"/>
      <c r="AH114" s="179"/>
      <c r="AI114" s="179"/>
      <c r="AK114" s="100" t="s">
        <v>459</v>
      </c>
      <c r="AL114" s="303">
        <f>'2. Patients'!C31</f>
        <v>0</v>
      </c>
      <c r="AM114" s="303">
        <f>'2. Patients'!D31</f>
        <v>0</v>
      </c>
      <c r="AN114" s="303">
        <f>'2. Patients'!E31</f>
        <v>0</v>
      </c>
      <c r="AO114" s="303">
        <f>'2. Patients'!F31</f>
        <v>0</v>
      </c>
      <c r="AP114" s="303">
        <f>'2. Patients'!G31</f>
        <v>0</v>
      </c>
      <c r="AQ114" s="303">
        <f>'2. Patients'!H31</f>
        <v>0</v>
      </c>
    </row>
    <row r="115" spans="1:43" ht="12.75" customHeight="1" x14ac:dyDescent="0.2">
      <c r="B115" s="179"/>
      <c r="C115" s="179"/>
      <c r="D115" s="179"/>
      <c r="E115" s="179"/>
      <c r="F115" s="179"/>
      <c r="G115" s="179"/>
      <c r="H115" s="179"/>
      <c r="I115" s="179"/>
      <c r="J115" s="179"/>
      <c r="L115" s="503"/>
      <c r="M115" s="503"/>
      <c r="N115" s="503"/>
      <c r="O115" s="503"/>
      <c r="R115" s="503"/>
      <c r="AH115" s="179"/>
      <c r="AI115" s="179"/>
      <c r="AK115" s="100" t="s">
        <v>460</v>
      </c>
      <c r="AL115" s="303">
        <f>'2. Patients'!C38</f>
        <v>0</v>
      </c>
      <c r="AM115" s="303">
        <f>'2. Patients'!D38</f>
        <v>0</v>
      </c>
      <c r="AN115" s="303">
        <f>'2. Patients'!E38</f>
        <v>0</v>
      </c>
      <c r="AO115" s="303">
        <f>'2. Patients'!F38</f>
        <v>0</v>
      </c>
      <c r="AP115" s="303">
        <f>'2. Patients'!G38</f>
        <v>0</v>
      </c>
      <c r="AQ115" s="303">
        <f>'2. Patients'!H38</f>
        <v>0</v>
      </c>
    </row>
    <row r="116" spans="1:43" ht="12.75" customHeight="1" x14ac:dyDescent="0.2">
      <c r="B116" s="179"/>
      <c r="C116" s="179"/>
      <c r="D116" s="179"/>
      <c r="E116" s="179"/>
      <c r="F116" s="179"/>
      <c r="G116" s="179"/>
      <c r="H116" s="179"/>
      <c r="L116" s="503"/>
      <c r="M116" s="503"/>
      <c r="N116" s="503"/>
      <c r="O116" s="503"/>
      <c r="R116" s="503"/>
      <c r="AH116" s="179"/>
      <c r="AI116" s="179"/>
      <c r="AK116" s="100" t="s">
        <v>461</v>
      </c>
      <c r="AL116" s="303">
        <f>'2. Patients'!C16</f>
        <v>0</v>
      </c>
      <c r="AM116" s="303">
        <f>'2. Patients'!D16</f>
        <v>0</v>
      </c>
      <c r="AN116" s="303">
        <f>'2. Patients'!E16</f>
        <v>0</v>
      </c>
      <c r="AO116" s="303">
        <f>'2. Patients'!F16</f>
        <v>0</v>
      </c>
      <c r="AP116" s="303">
        <f>'2. Patients'!G16</f>
        <v>0</v>
      </c>
      <c r="AQ116" s="303">
        <f>'2. Patients'!H16</f>
        <v>0</v>
      </c>
    </row>
    <row r="117" spans="1:43" ht="12.75" customHeight="1" x14ac:dyDescent="0.2">
      <c r="B117" s="179"/>
      <c r="C117" s="179"/>
      <c r="D117" s="179"/>
      <c r="E117" s="179"/>
      <c r="F117" s="179"/>
      <c r="G117" s="179"/>
      <c r="H117" s="179"/>
      <c r="L117" s="503"/>
      <c r="M117" s="503"/>
      <c r="N117" s="503"/>
      <c r="O117" s="503"/>
      <c r="R117" s="503"/>
      <c r="AH117" s="179"/>
      <c r="AI117" s="179"/>
    </row>
    <row r="118" spans="1:43" ht="12.75" customHeight="1" x14ac:dyDescent="0.2">
      <c r="AH118" s="179"/>
      <c r="AI118" s="179"/>
    </row>
    <row r="119" spans="1:43" ht="12.75" customHeight="1" x14ac:dyDescent="0.2">
      <c r="AH119" s="179"/>
      <c r="AI119" s="179"/>
    </row>
    <row r="120" spans="1:43" ht="12.75" customHeight="1" x14ac:dyDescent="0.2">
      <c r="AH120" s="179"/>
      <c r="AI120" s="179"/>
    </row>
    <row r="121" spans="1:43" ht="12.75" customHeight="1" x14ac:dyDescent="0.2">
      <c r="AH121" s="179"/>
      <c r="AI121" s="179"/>
    </row>
    <row r="122" spans="1:43" ht="12.75" customHeight="1" x14ac:dyDescent="0.2">
      <c r="AH122" s="179"/>
      <c r="AI122" s="179"/>
    </row>
    <row r="123" spans="1:43" ht="12.75" customHeight="1" x14ac:dyDescent="0.2">
      <c r="AH123" s="179"/>
      <c r="AI123" s="179"/>
    </row>
    <row r="124" spans="1:43" ht="12.75" customHeight="1" x14ac:dyDescent="0.2">
      <c r="AH124" s="179"/>
      <c r="AI124" s="179"/>
    </row>
    <row r="125" spans="1:43" ht="12.75" customHeight="1" x14ac:dyDescent="0.2">
      <c r="AH125" s="593"/>
      <c r="AI125" s="593"/>
    </row>
    <row r="126" spans="1:43" ht="12.75" customHeight="1" x14ac:dyDescent="0.2">
      <c r="AH126" s="179"/>
      <c r="AI126" s="179"/>
    </row>
    <row r="127" spans="1:43" ht="12.75" customHeight="1" x14ac:dyDescent="0.2">
      <c r="AH127" s="179"/>
      <c r="AI127" s="179"/>
    </row>
    <row r="128" spans="1:43" ht="12.75" customHeight="1" x14ac:dyDescent="0.2">
      <c r="AH128" s="179"/>
      <c r="AI128" s="179"/>
    </row>
    <row r="129" spans="34:35" ht="12.75" customHeight="1" x14ac:dyDescent="0.2">
      <c r="AH129" s="179"/>
      <c r="AI129" s="179"/>
    </row>
    <row r="130" spans="34:35" ht="12.75" customHeight="1" x14ac:dyDescent="0.2">
      <c r="AH130" s="179"/>
      <c r="AI130" s="179"/>
    </row>
    <row r="131" spans="34:35" ht="12.75" customHeight="1" x14ac:dyDescent="0.2">
      <c r="AH131" s="179"/>
      <c r="AI131" s="179"/>
    </row>
    <row r="132" spans="34:35" ht="12.75" customHeight="1" x14ac:dyDescent="0.2">
      <c r="AH132" s="179"/>
      <c r="AI132" s="179"/>
    </row>
  </sheetData>
  <mergeCells count="27">
    <mergeCell ref="B101:C101"/>
    <mergeCell ref="B5:C5"/>
    <mergeCell ref="B29:C29"/>
    <mergeCell ref="B41:C41"/>
    <mergeCell ref="E17:F17"/>
    <mergeCell ref="B17:C17"/>
    <mergeCell ref="E29:F29"/>
    <mergeCell ref="B89:C89"/>
    <mergeCell ref="E53:F53"/>
    <mergeCell ref="E41:F41"/>
    <mergeCell ref="B53:C53"/>
    <mergeCell ref="B65:C65"/>
    <mergeCell ref="B77:C77"/>
    <mergeCell ref="E65:F65"/>
    <mergeCell ref="B36:C36"/>
    <mergeCell ref="L5:N5"/>
    <mergeCell ref="AL81:AQ81"/>
    <mergeCell ref="AH65:AI65"/>
    <mergeCell ref="E77:F77"/>
    <mergeCell ref="AL43:AQ43"/>
    <mergeCell ref="AL5:AQ5"/>
    <mergeCell ref="AB21:AE21"/>
    <mergeCell ref="AB5:AE5"/>
    <mergeCell ref="E5:F5"/>
    <mergeCell ref="AH21:AI21"/>
    <mergeCell ref="AH43:AI43"/>
    <mergeCell ref="R5:U5"/>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T250"/>
  <sheetViews>
    <sheetView showGridLines="0" workbookViewId="0">
      <pane ySplit="3" topLeftCell="A4" activePane="bottomLeft" state="frozen"/>
      <selection pane="bottomLeft"/>
    </sheetView>
  </sheetViews>
  <sheetFormatPr defaultRowHeight="12.75" customHeight="1" x14ac:dyDescent="0.2"/>
  <cols>
    <col min="1" max="1" width="3.7109375" customWidth="1"/>
    <col min="2" max="2" width="15.7109375" customWidth="1"/>
    <col min="3" max="16" width="9.140625" customWidth="1"/>
  </cols>
  <sheetData>
    <row r="1" spans="1:20" ht="23.25" x14ac:dyDescent="0.2">
      <c r="A1" s="436"/>
      <c r="B1" s="297" t="s">
        <v>33</v>
      </c>
      <c r="C1" s="436"/>
      <c r="D1" s="436"/>
      <c r="E1" s="436"/>
      <c r="F1" s="436"/>
      <c r="G1" s="436"/>
      <c r="H1" s="436"/>
      <c r="I1" s="436"/>
      <c r="J1" s="436"/>
      <c r="K1" s="436"/>
      <c r="L1" s="436"/>
      <c r="M1" s="436"/>
      <c r="N1" s="436"/>
      <c r="O1" s="436"/>
      <c r="P1" s="436"/>
      <c r="Q1" s="436"/>
      <c r="R1" s="436"/>
      <c r="S1" s="436"/>
      <c r="T1" s="436"/>
    </row>
    <row r="2" spans="1:20" ht="15.75" x14ac:dyDescent="0.2">
      <c r="A2" s="437"/>
      <c r="B2" s="438" t="s">
        <v>501</v>
      </c>
      <c r="C2" s="437"/>
      <c r="D2" s="437"/>
      <c r="E2" s="437"/>
      <c r="F2" s="437"/>
      <c r="G2" s="437"/>
      <c r="H2" s="437"/>
      <c r="I2" s="437"/>
      <c r="J2" s="437"/>
      <c r="K2" s="437"/>
      <c r="L2" s="437"/>
      <c r="M2" s="437"/>
      <c r="N2" s="437"/>
      <c r="O2" s="437"/>
      <c r="P2" s="437"/>
      <c r="Q2" s="437"/>
      <c r="R2" s="437"/>
      <c r="S2" s="437"/>
      <c r="T2" s="437"/>
    </row>
    <row r="3" spans="1:20" ht="15.75" x14ac:dyDescent="0.2">
      <c r="A3" s="437"/>
      <c r="B3" s="439" t="str">
        <f>References!H3</f>
        <v>Version 10 - 17/2/2020</v>
      </c>
      <c r="C3" s="437"/>
      <c r="D3" s="437"/>
      <c r="E3" s="437"/>
      <c r="F3" s="437"/>
      <c r="G3" s="437"/>
      <c r="H3" s="437"/>
      <c r="I3" s="437"/>
      <c r="J3" s="437"/>
      <c r="K3" s="437"/>
      <c r="L3" s="437"/>
      <c r="M3" s="437"/>
      <c r="N3" s="437"/>
      <c r="O3" s="437"/>
      <c r="P3" s="437"/>
      <c r="Q3" s="437"/>
      <c r="R3" s="437"/>
      <c r="S3" s="437"/>
      <c r="T3" s="437"/>
    </row>
    <row r="4" spans="1:20" ht="15" x14ac:dyDescent="0.2">
      <c r="A4" s="171"/>
      <c r="B4" s="230"/>
    </row>
    <row r="5" spans="1:20" s="570" customFormat="1" ht="20.25" thickBot="1" x14ac:dyDescent="0.25">
      <c r="A5" s="592"/>
      <c r="B5" s="608" t="s">
        <v>829</v>
      </c>
    </row>
    <row r="6" spans="1:20" s="570" customFormat="1" ht="13.5" thickTop="1" x14ac:dyDescent="0.2">
      <c r="A6" s="592"/>
      <c r="B6" s="572" t="s">
        <v>830</v>
      </c>
    </row>
    <row r="7" spans="1:20" s="570" customFormat="1" x14ac:dyDescent="0.2">
      <c r="A7" s="592"/>
      <c r="B7" s="572" t="s">
        <v>831</v>
      </c>
    </row>
    <row r="8" spans="1:20" s="570" customFormat="1" x14ac:dyDescent="0.2">
      <c r="A8" s="592"/>
      <c r="B8" s="572" t="s">
        <v>832</v>
      </c>
    </row>
    <row r="9" spans="1:20" s="570" customFormat="1" x14ac:dyDescent="0.2">
      <c r="A9" s="592"/>
      <c r="B9" s="572" t="s">
        <v>835</v>
      </c>
    </row>
    <row r="10" spans="1:20" s="570" customFormat="1" x14ac:dyDescent="0.2">
      <c r="A10" s="592"/>
      <c r="B10" s="572" t="s">
        <v>833</v>
      </c>
    </row>
    <row r="11" spans="1:20" s="570" customFormat="1" x14ac:dyDescent="0.2">
      <c r="A11" s="592"/>
      <c r="B11" s="572" t="s">
        <v>834</v>
      </c>
    </row>
    <row r="12" spans="1:20" s="570" customFormat="1" x14ac:dyDescent="0.2">
      <c r="A12" s="592"/>
      <c r="B12" s="572" t="s">
        <v>836</v>
      </c>
    </row>
    <row r="13" spans="1:20" s="570" customFormat="1" x14ac:dyDescent="0.2">
      <c r="A13" s="592"/>
      <c r="B13" s="572" t="s">
        <v>838</v>
      </c>
    </row>
    <row r="14" spans="1:20" s="570" customFormat="1" x14ac:dyDescent="0.2">
      <c r="A14" s="592"/>
      <c r="B14" s="572" t="s">
        <v>839</v>
      </c>
    </row>
    <row r="15" spans="1:20" s="570" customFormat="1" x14ac:dyDescent="0.2">
      <c r="A15" s="592"/>
      <c r="B15" s="572" t="s">
        <v>840</v>
      </c>
    </row>
    <row r="16" spans="1:20" s="570" customFormat="1" x14ac:dyDescent="0.2">
      <c r="A16" s="592"/>
      <c r="B16" s="572" t="s">
        <v>841</v>
      </c>
    </row>
    <row r="17" spans="1:2" s="570" customFormat="1" x14ac:dyDescent="0.2">
      <c r="A17" s="592"/>
      <c r="B17" s="572" t="s">
        <v>842</v>
      </c>
    </row>
    <row r="18" spans="1:2" s="570" customFormat="1" x14ac:dyDescent="0.2">
      <c r="A18" s="592"/>
      <c r="B18" s="572" t="s">
        <v>843</v>
      </c>
    </row>
    <row r="19" spans="1:2" s="570" customFormat="1" x14ac:dyDescent="0.2">
      <c r="A19" s="592"/>
      <c r="B19" s="572" t="s">
        <v>847</v>
      </c>
    </row>
    <row r="20" spans="1:2" s="570" customFormat="1" x14ac:dyDescent="0.2">
      <c r="A20" s="592"/>
      <c r="B20" s="572" t="s">
        <v>848</v>
      </c>
    </row>
    <row r="21" spans="1:2" s="570" customFormat="1" x14ac:dyDescent="0.2">
      <c r="A21" s="592"/>
      <c r="B21" s="572" t="s">
        <v>849</v>
      </c>
    </row>
    <row r="22" spans="1:2" s="570" customFormat="1" x14ac:dyDescent="0.2">
      <c r="A22" s="592"/>
      <c r="B22" s="572" t="s">
        <v>850</v>
      </c>
    </row>
    <row r="23" spans="1:2" s="570" customFormat="1" x14ac:dyDescent="0.2">
      <c r="A23" s="592"/>
      <c r="B23" s="572" t="s">
        <v>851</v>
      </c>
    </row>
    <row r="24" spans="1:2" s="570" customFormat="1" x14ac:dyDescent="0.2">
      <c r="A24" s="592"/>
      <c r="B24" s="572" t="s">
        <v>852</v>
      </c>
    </row>
    <row r="25" spans="1:2" s="570" customFormat="1" x14ac:dyDescent="0.2">
      <c r="A25" s="592"/>
      <c r="B25" s="572" t="s">
        <v>853</v>
      </c>
    </row>
    <row r="26" spans="1:2" s="570" customFormat="1" x14ac:dyDescent="0.2">
      <c r="A26" s="592"/>
      <c r="B26" s="572" t="s">
        <v>854</v>
      </c>
    </row>
    <row r="27" spans="1:2" s="570" customFormat="1" x14ac:dyDescent="0.2">
      <c r="A27" s="592"/>
      <c r="B27" s="572" t="s">
        <v>855</v>
      </c>
    </row>
    <row r="28" spans="1:2" s="570" customFormat="1" x14ac:dyDescent="0.2">
      <c r="A28" s="592"/>
      <c r="B28" s="572" t="s">
        <v>865</v>
      </c>
    </row>
    <row r="29" spans="1:2" s="570" customFormat="1" x14ac:dyDescent="0.2">
      <c r="A29" s="592"/>
      <c r="B29" s="572" t="s">
        <v>866</v>
      </c>
    </row>
    <row r="30" spans="1:2" s="570" customFormat="1" x14ac:dyDescent="0.2">
      <c r="A30" s="592"/>
      <c r="B30" s="572" t="s">
        <v>867</v>
      </c>
    </row>
    <row r="31" spans="1:2" s="570" customFormat="1" x14ac:dyDescent="0.2">
      <c r="A31" s="592"/>
      <c r="B31" s="572" t="s">
        <v>869</v>
      </c>
    </row>
    <row r="32" spans="1:2" s="570" customFormat="1" x14ac:dyDescent="0.2">
      <c r="A32" s="592"/>
      <c r="B32" s="572" t="s">
        <v>868</v>
      </c>
    </row>
    <row r="33" spans="1:2" s="570" customFormat="1" x14ac:dyDescent="0.2">
      <c r="A33" s="592"/>
      <c r="B33" s="572" t="s">
        <v>872</v>
      </c>
    </row>
    <row r="34" spans="1:2" s="570" customFormat="1" x14ac:dyDescent="0.2">
      <c r="A34" s="592"/>
      <c r="B34" s="572" t="s">
        <v>873</v>
      </c>
    </row>
    <row r="35" spans="1:2" s="570" customFormat="1" x14ac:dyDescent="0.2">
      <c r="A35" s="592"/>
      <c r="B35" s="572" t="s">
        <v>874</v>
      </c>
    </row>
    <row r="36" spans="1:2" s="570" customFormat="1" x14ac:dyDescent="0.2">
      <c r="A36" s="592"/>
      <c r="B36" s="572"/>
    </row>
    <row r="37" spans="1:2" s="570" customFormat="1" ht="20.25" thickBot="1" x14ac:dyDescent="0.25">
      <c r="A37" s="592"/>
      <c r="B37" s="608" t="s">
        <v>799</v>
      </c>
    </row>
    <row r="38" spans="1:2" s="570" customFormat="1" ht="13.5" thickTop="1" x14ac:dyDescent="0.2">
      <c r="A38" s="592"/>
      <c r="B38" s="572" t="s">
        <v>800</v>
      </c>
    </row>
    <row r="39" spans="1:2" s="570" customFormat="1" x14ac:dyDescent="0.2">
      <c r="A39" s="592"/>
      <c r="B39" s="572" t="s">
        <v>801</v>
      </c>
    </row>
    <row r="40" spans="1:2" s="570" customFormat="1" x14ac:dyDescent="0.2">
      <c r="A40" s="592"/>
      <c r="B40" s="572" t="s">
        <v>802</v>
      </c>
    </row>
    <row r="41" spans="1:2" s="570" customFormat="1" x14ac:dyDescent="0.2">
      <c r="A41" s="592"/>
      <c r="B41" s="572" t="s">
        <v>803</v>
      </c>
    </row>
    <row r="42" spans="1:2" s="570" customFormat="1" x14ac:dyDescent="0.2">
      <c r="A42" s="592"/>
      <c r="B42" s="572" t="s">
        <v>804</v>
      </c>
    </row>
    <row r="43" spans="1:2" s="570" customFormat="1" x14ac:dyDescent="0.2">
      <c r="A43" s="592"/>
      <c r="B43" s="572" t="s">
        <v>805</v>
      </c>
    </row>
    <row r="44" spans="1:2" s="570" customFormat="1" x14ac:dyDescent="0.2">
      <c r="A44" s="592"/>
      <c r="B44" s="572" t="s">
        <v>806</v>
      </c>
    </row>
    <row r="45" spans="1:2" s="570" customFormat="1" x14ac:dyDescent="0.2">
      <c r="A45" s="592"/>
      <c r="B45" s="572" t="s">
        <v>807</v>
      </c>
    </row>
    <row r="46" spans="1:2" s="570" customFormat="1" x14ac:dyDescent="0.2">
      <c r="A46" s="592"/>
      <c r="B46" s="572" t="s">
        <v>808</v>
      </c>
    </row>
    <row r="47" spans="1:2" s="570" customFormat="1" x14ac:dyDescent="0.2">
      <c r="A47" s="592"/>
      <c r="B47" s="572" t="s">
        <v>809</v>
      </c>
    </row>
    <row r="48" spans="1:2" s="570" customFormat="1" x14ac:dyDescent="0.2">
      <c r="A48" s="592"/>
      <c r="B48" s="572" t="s">
        <v>810</v>
      </c>
    </row>
    <row r="49" spans="1:2" s="570" customFormat="1" x14ac:dyDescent="0.2">
      <c r="A49" s="592"/>
      <c r="B49" s="572" t="s">
        <v>811</v>
      </c>
    </row>
    <row r="50" spans="1:2" s="570" customFormat="1" x14ac:dyDescent="0.2">
      <c r="A50" s="592"/>
      <c r="B50" s="572" t="s">
        <v>812</v>
      </c>
    </row>
    <row r="51" spans="1:2" s="570" customFormat="1" x14ac:dyDescent="0.2">
      <c r="A51" s="592"/>
      <c r="B51" s="572" t="s">
        <v>813</v>
      </c>
    </row>
    <row r="52" spans="1:2" s="570" customFormat="1" x14ac:dyDescent="0.2">
      <c r="A52" s="592"/>
      <c r="B52" s="572"/>
    </row>
    <row r="53" spans="1:2" ht="20.25" thickBot="1" x14ac:dyDescent="0.25">
      <c r="A53" s="592"/>
      <c r="B53" s="608" t="s">
        <v>795</v>
      </c>
    </row>
    <row r="54" spans="1:2" ht="13.5" thickTop="1" x14ac:dyDescent="0.2">
      <c r="A54" s="171"/>
      <c r="B54" s="502" t="s">
        <v>763</v>
      </c>
    </row>
    <row r="55" spans="1:2" x14ac:dyDescent="0.2">
      <c r="A55" s="171"/>
      <c r="B55" s="502" t="s">
        <v>762</v>
      </c>
    </row>
    <row r="56" spans="1:2" x14ac:dyDescent="0.2">
      <c r="A56" s="171"/>
      <c r="B56" s="502" t="s">
        <v>764</v>
      </c>
    </row>
    <row r="57" spans="1:2" x14ac:dyDescent="0.2">
      <c r="A57" s="171"/>
      <c r="B57" s="502" t="s">
        <v>766</v>
      </c>
    </row>
    <row r="58" spans="1:2" x14ac:dyDescent="0.2">
      <c r="A58" s="171"/>
      <c r="B58" s="502" t="s">
        <v>768</v>
      </c>
    </row>
    <row r="59" spans="1:2" x14ac:dyDescent="0.2">
      <c r="A59" s="171"/>
      <c r="B59" s="502" t="s">
        <v>769</v>
      </c>
    </row>
    <row r="60" spans="1:2" x14ac:dyDescent="0.2">
      <c r="A60" s="171"/>
      <c r="B60" s="502" t="s">
        <v>770</v>
      </c>
    </row>
    <row r="61" spans="1:2" x14ac:dyDescent="0.2">
      <c r="A61" s="171"/>
      <c r="B61" s="502" t="s">
        <v>771</v>
      </c>
    </row>
    <row r="62" spans="1:2" x14ac:dyDescent="0.2">
      <c r="A62" s="171"/>
      <c r="B62" s="502" t="s">
        <v>772</v>
      </c>
    </row>
    <row r="63" spans="1:2" x14ac:dyDescent="0.2">
      <c r="A63" s="171"/>
      <c r="B63" s="502" t="s">
        <v>773</v>
      </c>
    </row>
    <row r="64" spans="1:2" x14ac:dyDescent="0.2">
      <c r="A64" s="171"/>
      <c r="B64" s="502" t="s">
        <v>774</v>
      </c>
    </row>
    <row r="65" spans="1:2" x14ac:dyDescent="0.2">
      <c r="A65" s="171"/>
      <c r="B65" s="502" t="s">
        <v>775</v>
      </c>
    </row>
    <row r="66" spans="1:2" x14ac:dyDescent="0.2">
      <c r="A66" s="171"/>
      <c r="B66" s="502" t="s">
        <v>776</v>
      </c>
    </row>
    <row r="67" spans="1:2" x14ac:dyDescent="0.2">
      <c r="A67" s="171"/>
      <c r="B67" s="502" t="s">
        <v>777</v>
      </c>
    </row>
    <row r="68" spans="1:2" x14ac:dyDescent="0.2">
      <c r="A68" s="171"/>
      <c r="B68" s="502" t="s">
        <v>780</v>
      </c>
    </row>
    <row r="69" spans="1:2" x14ac:dyDescent="0.2">
      <c r="A69" s="171"/>
      <c r="B69" s="502" t="s">
        <v>779</v>
      </c>
    </row>
    <row r="70" spans="1:2" x14ac:dyDescent="0.2">
      <c r="A70" s="171"/>
      <c r="B70" s="502" t="s">
        <v>781</v>
      </c>
    </row>
    <row r="71" spans="1:2" x14ac:dyDescent="0.2">
      <c r="A71" s="171"/>
      <c r="B71" s="502" t="s">
        <v>782</v>
      </c>
    </row>
    <row r="72" spans="1:2" x14ac:dyDescent="0.2">
      <c r="A72" s="171"/>
      <c r="B72" s="502" t="s">
        <v>785</v>
      </c>
    </row>
    <row r="73" spans="1:2" x14ac:dyDescent="0.2">
      <c r="A73" s="171"/>
      <c r="B73" s="502" t="s">
        <v>786</v>
      </c>
    </row>
    <row r="74" spans="1:2" x14ac:dyDescent="0.2">
      <c r="A74" s="171"/>
      <c r="B74" s="502" t="s">
        <v>787</v>
      </c>
    </row>
    <row r="75" spans="1:2" x14ac:dyDescent="0.2">
      <c r="A75" s="592"/>
      <c r="B75" s="572"/>
    </row>
    <row r="76" spans="1:2" ht="20.25" thickBot="1" x14ac:dyDescent="0.25">
      <c r="A76" s="171"/>
      <c r="B76" s="435" t="s">
        <v>736</v>
      </c>
    </row>
    <row r="77" spans="1:2" ht="13.5" thickTop="1" x14ac:dyDescent="0.2">
      <c r="A77" s="171"/>
      <c r="B77" s="502" t="s">
        <v>737</v>
      </c>
    </row>
    <row r="78" spans="1:2" x14ac:dyDescent="0.2">
      <c r="A78" s="171"/>
      <c r="B78" s="502" t="s">
        <v>739</v>
      </c>
    </row>
    <row r="79" spans="1:2" x14ac:dyDescent="0.2">
      <c r="A79" s="171"/>
      <c r="B79" s="502" t="s">
        <v>738</v>
      </c>
    </row>
    <row r="80" spans="1:2" x14ac:dyDescent="0.2">
      <c r="A80" s="171"/>
      <c r="B80" s="502" t="s">
        <v>741</v>
      </c>
    </row>
    <row r="81" spans="1:2" x14ac:dyDescent="0.2">
      <c r="A81" s="171"/>
      <c r="B81" s="502" t="s">
        <v>742</v>
      </c>
    </row>
    <row r="82" spans="1:2" x14ac:dyDescent="0.2">
      <c r="A82" s="171"/>
      <c r="B82" s="502" t="s">
        <v>748</v>
      </c>
    </row>
    <row r="83" spans="1:2" x14ac:dyDescent="0.2">
      <c r="A83" s="171"/>
      <c r="B83" s="502" t="s">
        <v>749</v>
      </c>
    </row>
    <row r="84" spans="1:2" x14ac:dyDescent="0.2">
      <c r="A84" s="171"/>
      <c r="B84" s="502" t="s">
        <v>750</v>
      </c>
    </row>
    <row r="85" spans="1:2" x14ac:dyDescent="0.2">
      <c r="A85" s="171"/>
      <c r="B85" s="502" t="s">
        <v>751</v>
      </c>
    </row>
    <row r="86" spans="1:2" x14ac:dyDescent="0.2">
      <c r="A86" s="171"/>
      <c r="B86" s="502" t="s">
        <v>752</v>
      </c>
    </row>
    <row r="87" spans="1:2" x14ac:dyDescent="0.2">
      <c r="A87" s="171"/>
      <c r="B87" s="502" t="s">
        <v>753</v>
      </c>
    </row>
    <row r="88" spans="1:2" x14ac:dyDescent="0.2">
      <c r="A88" s="171"/>
      <c r="B88" s="502" t="s">
        <v>754</v>
      </c>
    </row>
    <row r="89" spans="1:2" x14ac:dyDescent="0.2">
      <c r="A89" s="171"/>
      <c r="B89" s="502" t="s">
        <v>755</v>
      </c>
    </row>
    <row r="90" spans="1:2" x14ac:dyDescent="0.2">
      <c r="A90" s="171"/>
      <c r="B90" s="502" t="s">
        <v>756</v>
      </c>
    </row>
    <row r="91" spans="1:2" x14ac:dyDescent="0.2">
      <c r="A91" s="171"/>
      <c r="B91" s="502" t="s">
        <v>757</v>
      </c>
    </row>
    <row r="92" spans="1:2" x14ac:dyDescent="0.2">
      <c r="A92" s="171"/>
      <c r="B92" s="502" t="s">
        <v>758</v>
      </c>
    </row>
    <row r="93" spans="1:2" x14ac:dyDescent="0.2">
      <c r="A93" s="171"/>
      <c r="B93" s="502" t="s">
        <v>760</v>
      </c>
    </row>
    <row r="94" spans="1:2" x14ac:dyDescent="0.2">
      <c r="A94" s="171"/>
      <c r="B94" s="502"/>
    </row>
    <row r="95" spans="1:2" ht="20.25" thickBot="1" x14ac:dyDescent="0.25">
      <c r="A95" s="171"/>
      <c r="B95" s="435" t="s">
        <v>698</v>
      </c>
    </row>
    <row r="96" spans="1:2" ht="13.5" thickTop="1" x14ac:dyDescent="0.2">
      <c r="A96" s="171"/>
      <c r="B96" s="502" t="s">
        <v>708</v>
      </c>
    </row>
    <row r="97" spans="1:2" x14ac:dyDescent="0.2">
      <c r="A97" s="171"/>
      <c r="B97" s="502" t="s">
        <v>711</v>
      </c>
    </row>
    <row r="98" spans="1:2" x14ac:dyDescent="0.2">
      <c r="A98" s="171"/>
      <c r="B98" s="502"/>
    </row>
    <row r="99" spans="1:2" ht="20.25" thickBot="1" x14ac:dyDescent="0.25">
      <c r="A99" s="171"/>
      <c r="B99" s="435" t="s">
        <v>696</v>
      </c>
    </row>
    <row r="100" spans="1:2" ht="13.5" thickTop="1" x14ac:dyDescent="0.2">
      <c r="A100" s="171"/>
      <c r="B100" s="502" t="s">
        <v>690</v>
      </c>
    </row>
    <row r="101" spans="1:2" x14ac:dyDescent="0.2">
      <c r="A101" s="171"/>
      <c r="B101" s="502" t="s">
        <v>689</v>
      </c>
    </row>
    <row r="102" spans="1:2" x14ac:dyDescent="0.2">
      <c r="A102" s="171"/>
      <c r="B102" s="502" t="s">
        <v>691</v>
      </c>
    </row>
    <row r="103" spans="1:2" x14ac:dyDescent="0.2">
      <c r="A103" s="171"/>
      <c r="B103" s="502" t="s">
        <v>692</v>
      </c>
    </row>
    <row r="104" spans="1:2" x14ac:dyDescent="0.2">
      <c r="A104" s="171"/>
      <c r="B104" s="502" t="s">
        <v>695</v>
      </c>
    </row>
    <row r="105" spans="1:2" ht="15" x14ac:dyDescent="0.2">
      <c r="A105" s="171"/>
      <c r="B105" s="230"/>
    </row>
    <row r="106" spans="1:2" ht="20.25" thickBot="1" x14ac:dyDescent="0.25">
      <c r="A106" s="171"/>
      <c r="B106" s="435" t="s">
        <v>665</v>
      </c>
    </row>
    <row r="107" spans="1:2" ht="13.5" thickTop="1" x14ac:dyDescent="0.2">
      <c r="A107" s="171"/>
      <c r="B107" s="502" t="s">
        <v>663</v>
      </c>
    </row>
    <row r="108" spans="1:2" x14ac:dyDescent="0.2">
      <c r="A108" s="171"/>
      <c r="B108" s="502" t="s">
        <v>662</v>
      </c>
    </row>
    <row r="109" spans="1:2" x14ac:dyDescent="0.2">
      <c r="A109" s="171"/>
      <c r="B109" s="502" t="s">
        <v>664</v>
      </c>
    </row>
    <row r="110" spans="1:2" x14ac:dyDescent="0.2">
      <c r="A110" s="171"/>
      <c r="B110" s="502" t="s">
        <v>666</v>
      </c>
    </row>
    <row r="111" spans="1:2" x14ac:dyDescent="0.2">
      <c r="A111" s="171"/>
      <c r="B111" s="502" t="s">
        <v>667</v>
      </c>
    </row>
    <row r="112" spans="1:2" x14ac:dyDescent="0.2">
      <c r="A112" s="171"/>
      <c r="B112" s="502" t="s">
        <v>668</v>
      </c>
    </row>
    <row r="113" spans="1:2" x14ac:dyDescent="0.2">
      <c r="A113" s="171"/>
      <c r="B113" s="502" t="s">
        <v>670</v>
      </c>
    </row>
    <row r="114" spans="1:2" x14ac:dyDescent="0.2">
      <c r="A114" s="171"/>
      <c r="B114" s="502" t="s">
        <v>669</v>
      </c>
    </row>
    <row r="115" spans="1:2" x14ac:dyDescent="0.2">
      <c r="A115" s="171"/>
      <c r="B115" s="502" t="s">
        <v>671</v>
      </c>
    </row>
    <row r="116" spans="1:2" x14ac:dyDescent="0.2">
      <c r="A116" s="171"/>
      <c r="B116" s="502" t="s">
        <v>672</v>
      </c>
    </row>
    <row r="117" spans="1:2" x14ac:dyDescent="0.2">
      <c r="A117" s="171"/>
      <c r="B117" s="502" t="s">
        <v>670</v>
      </c>
    </row>
    <row r="118" spans="1:2" x14ac:dyDescent="0.2">
      <c r="A118" s="171"/>
      <c r="B118" s="502" t="s">
        <v>673</v>
      </c>
    </row>
    <row r="119" spans="1:2" x14ac:dyDescent="0.2">
      <c r="A119" s="171"/>
      <c r="B119" s="502" t="s">
        <v>674</v>
      </c>
    </row>
    <row r="120" spans="1:2" x14ac:dyDescent="0.2">
      <c r="A120" s="171"/>
      <c r="B120" s="502" t="s">
        <v>675</v>
      </c>
    </row>
    <row r="121" spans="1:2" x14ac:dyDescent="0.2">
      <c r="A121" s="171"/>
      <c r="B121" s="502" t="s">
        <v>681</v>
      </c>
    </row>
    <row r="122" spans="1:2" x14ac:dyDescent="0.2">
      <c r="A122" s="171"/>
      <c r="B122" s="502"/>
    </row>
    <row r="123" spans="1:2" ht="20.25" thickBot="1" x14ac:dyDescent="0.25">
      <c r="A123" s="171"/>
      <c r="B123" s="435" t="s">
        <v>652</v>
      </c>
    </row>
    <row r="124" spans="1:2" ht="13.5" thickTop="1" x14ac:dyDescent="0.2">
      <c r="A124" s="171"/>
      <c r="B124" s="502" t="s">
        <v>653</v>
      </c>
    </row>
    <row r="125" spans="1:2" x14ac:dyDescent="0.2">
      <c r="A125" s="171"/>
      <c r="B125" s="502" t="s">
        <v>654</v>
      </c>
    </row>
    <row r="126" spans="1:2" x14ac:dyDescent="0.2">
      <c r="A126" s="171"/>
      <c r="B126" s="502" t="s">
        <v>608</v>
      </c>
    </row>
    <row r="127" spans="1:2" x14ac:dyDescent="0.2">
      <c r="A127" s="171"/>
      <c r="B127" s="502" t="s">
        <v>655</v>
      </c>
    </row>
    <row r="128" spans="1:2" x14ac:dyDescent="0.2">
      <c r="A128" s="171"/>
      <c r="B128" s="502" t="s">
        <v>663</v>
      </c>
    </row>
    <row r="129" spans="1:2" x14ac:dyDescent="0.2">
      <c r="A129" s="171"/>
      <c r="B129" s="502" t="s">
        <v>662</v>
      </c>
    </row>
    <row r="130" spans="1:2" x14ac:dyDescent="0.2">
      <c r="A130" s="171"/>
      <c r="B130" s="502" t="s">
        <v>664</v>
      </c>
    </row>
    <row r="131" spans="1:2" ht="15" x14ac:dyDescent="0.2">
      <c r="A131" s="171"/>
      <c r="B131" s="230"/>
    </row>
    <row r="132" spans="1:2" ht="20.25" thickBot="1" x14ac:dyDescent="0.25">
      <c r="A132" s="171"/>
      <c r="B132" s="435" t="s">
        <v>605</v>
      </c>
    </row>
    <row r="133" spans="1:2" ht="13.5" thickTop="1" x14ac:dyDescent="0.2">
      <c r="A133" s="171"/>
      <c r="B133" s="502" t="s">
        <v>606</v>
      </c>
    </row>
    <row r="134" spans="1:2" x14ac:dyDescent="0.2">
      <c r="A134" s="171"/>
      <c r="B134" s="502" t="s">
        <v>607</v>
      </c>
    </row>
    <row r="135" spans="1:2" x14ac:dyDescent="0.2">
      <c r="A135" s="171"/>
      <c r="B135" s="502" t="s">
        <v>608</v>
      </c>
    </row>
    <row r="136" spans="1:2" ht="15" x14ac:dyDescent="0.2">
      <c r="A136" s="171"/>
      <c r="B136" s="230"/>
    </row>
    <row r="137" spans="1:2" ht="20.25" thickBot="1" x14ac:dyDescent="0.25">
      <c r="A137" s="171"/>
      <c r="B137" s="435" t="s">
        <v>603</v>
      </c>
    </row>
    <row r="138" spans="1:2" ht="13.5" thickTop="1" x14ac:dyDescent="0.2">
      <c r="A138" s="171"/>
      <c r="B138" s="220" t="s">
        <v>604</v>
      </c>
    </row>
    <row r="139" spans="1:2" ht="15" x14ac:dyDescent="0.2">
      <c r="A139" s="171"/>
      <c r="B139" s="230"/>
    </row>
    <row r="140" spans="1:2" ht="20.25" thickBot="1" x14ac:dyDescent="0.25">
      <c r="A140" s="171"/>
      <c r="B140" s="435" t="s">
        <v>596</v>
      </c>
    </row>
    <row r="141" spans="1:2" ht="13.5" thickTop="1" x14ac:dyDescent="0.2">
      <c r="A141" s="171"/>
      <c r="B141" s="220" t="s">
        <v>597</v>
      </c>
    </row>
    <row r="142" spans="1:2" x14ac:dyDescent="0.2">
      <c r="A142" s="171"/>
      <c r="B142" s="220" t="s">
        <v>598</v>
      </c>
    </row>
    <row r="143" spans="1:2" x14ac:dyDescent="0.2">
      <c r="A143" s="171"/>
      <c r="B143" s="220"/>
    </row>
    <row r="144" spans="1:2" ht="20.25" thickBot="1" x14ac:dyDescent="0.25">
      <c r="A144" s="171"/>
      <c r="B144" s="435" t="s">
        <v>594</v>
      </c>
    </row>
    <row r="145" spans="1:2" ht="13.5" thickTop="1" x14ac:dyDescent="0.2">
      <c r="A145" s="171"/>
      <c r="B145" s="220" t="s">
        <v>595</v>
      </c>
    </row>
    <row r="146" spans="1:2" x14ac:dyDescent="0.2">
      <c r="A146" s="171"/>
      <c r="B146" s="220"/>
    </row>
    <row r="147" spans="1:2" ht="20.25" thickBot="1" x14ac:dyDescent="0.25">
      <c r="A147" s="171"/>
      <c r="B147" s="435" t="s">
        <v>584</v>
      </c>
    </row>
    <row r="148" spans="1:2" ht="13.5" thickTop="1" x14ac:dyDescent="0.2">
      <c r="A148" s="171"/>
      <c r="B148" s="220" t="s">
        <v>585</v>
      </c>
    </row>
    <row r="149" spans="1:2" x14ac:dyDescent="0.2">
      <c r="A149" s="171"/>
      <c r="B149" s="220" t="s">
        <v>586</v>
      </c>
    </row>
    <row r="150" spans="1:2" x14ac:dyDescent="0.2">
      <c r="A150" s="171"/>
      <c r="B150" s="220" t="s">
        <v>588</v>
      </c>
    </row>
    <row r="151" spans="1:2" x14ac:dyDescent="0.2">
      <c r="A151" s="171"/>
      <c r="B151" s="220" t="s">
        <v>587</v>
      </c>
    </row>
    <row r="152" spans="1:2" x14ac:dyDescent="0.2">
      <c r="A152" s="171"/>
      <c r="B152" s="220" t="s">
        <v>589</v>
      </c>
    </row>
    <row r="153" spans="1:2" x14ac:dyDescent="0.2">
      <c r="A153" s="171"/>
      <c r="B153" s="220" t="s">
        <v>590</v>
      </c>
    </row>
    <row r="154" spans="1:2" x14ac:dyDescent="0.2">
      <c r="A154" s="171"/>
      <c r="B154" s="220" t="s">
        <v>591</v>
      </c>
    </row>
    <row r="155" spans="1:2" x14ac:dyDescent="0.2">
      <c r="A155" s="171"/>
      <c r="B155" s="220" t="s">
        <v>593</v>
      </c>
    </row>
    <row r="156" spans="1:2" x14ac:dyDescent="0.2">
      <c r="A156" s="171"/>
      <c r="B156" s="220" t="s">
        <v>592</v>
      </c>
    </row>
    <row r="157" spans="1:2" ht="14.25" x14ac:dyDescent="0.2">
      <c r="A157" s="171"/>
      <c r="B157" s="491"/>
    </row>
    <row r="158" spans="1:2" ht="20.25" thickBot="1" x14ac:dyDescent="0.25">
      <c r="A158" s="171"/>
      <c r="B158" s="435" t="s">
        <v>562</v>
      </c>
    </row>
    <row r="159" spans="1:2" ht="13.5" thickTop="1" x14ac:dyDescent="0.2">
      <c r="A159" s="220"/>
      <c r="B159" s="220" t="s">
        <v>563</v>
      </c>
    </row>
    <row r="160" spans="1:2" x14ac:dyDescent="0.2">
      <c r="A160" s="220"/>
      <c r="B160" s="220" t="s">
        <v>564</v>
      </c>
    </row>
    <row r="161" spans="1:2" x14ac:dyDescent="0.2">
      <c r="A161" s="220"/>
      <c r="B161" s="220" t="s">
        <v>565</v>
      </c>
    </row>
    <row r="162" spans="1:2" x14ac:dyDescent="0.2">
      <c r="A162" s="220"/>
      <c r="B162" s="220" t="s">
        <v>566</v>
      </c>
    </row>
    <row r="163" spans="1:2" x14ac:dyDescent="0.2">
      <c r="A163" s="220"/>
      <c r="B163" s="220" t="s">
        <v>567</v>
      </c>
    </row>
    <row r="164" spans="1:2" x14ac:dyDescent="0.2">
      <c r="A164" s="220"/>
      <c r="B164" s="220" t="s">
        <v>568</v>
      </c>
    </row>
    <row r="165" spans="1:2" x14ac:dyDescent="0.2">
      <c r="A165" s="220"/>
      <c r="B165" s="220" t="s">
        <v>569</v>
      </c>
    </row>
    <row r="166" spans="1:2" x14ac:dyDescent="0.2">
      <c r="A166" s="220"/>
      <c r="B166" s="220" t="s">
        <v>570</v>
      </c>
    </row>
    <row r="167" spans="1:2" x14ac:dyDescent="0.2">
      <c r="A167" s="220"/>
      <c r="B167" s="220" t="s">
        <v>571</v>
      </c>
    </row>
    <row r="168" spans="1:2" x14ac:dyDescent="0.2">
      <c r="A168" s="220"/>
      <c r="B168" s="220" t="s">
        <v>572</v>
      </c>
    </row>
    <row r="169" spans="1:2" x14ac:dyDescent="0.2">
      <c r="A169" s="220"/>
      <c r="B169" s="220" t="s">
        <v>573</v>
      </c>
    </row>
    <row r="170" spans="1:2" x14ac:dyDescent="0.2">
      <c r="A170" s="220"/>
      <c r="B170" s="220" t="s">
        <v>575</v>
      </c>
    </row>
    <row r="171" spans="1:2" x14ac:dyDescent="0.2">
      <c r="A171" s="220"/>
      <c r="B171" s="220" t="s">
        <v>580</v>
      </c>
    </row>
    <row r="172" spans="1:2" x14ac:dyDescent="0.2">
      <c r="A172" s="220"/>
      <c r="B172" s="220" t="s">
        <v>579</v>
      </c>
    </row>
    <row r="173" spans="1:2" x14ac:dyDescent="0.2">
      <c r="A173" s="220"/>
      <c r="B173" s="220" t="s">
        <v>578</v>
      </c>
    </row>
    <row r="174" spans="1:2" x14ac:dyDescent="0.2">
      <c r="A174" s="220"/>
      <c r="B174" s="220" t="s">
        <v>577</v>
      </c>
    </row>
    <row r="175" spans="1:2" x14ac:dyDescent="0.2">
      <c r="A175" s="220"/>
      <c r="B175" s="220" t="s">
        <v>576</v>
      </c>
    </row>
    <row r="176" spans="1:2" ht="15" x14ac:dyDescent="0.2">
      <c r="A176" s="171"/>
      <c r="B176" s="230"/>
    </row>
    <row r="177" spans="1:2" ht="20.25" thickBot="1" x14ac:dyDescent="0.25">
      <c r="A177" s="171"/>
      <c r="B177" s="435" t="s">
        <v>560</v>
      </c>
    </row>
    <row r="178" spans="1:2" ht="13.5" thickTop="1" x14ac:dyDescent="0.2">
      <c r="A178" s="220"/>
      <c r="B178" s="220" t="s">
        <v>561</v>
      </c>
    </row>
    <row r="179" spans="1:2" x14ac:dyDescent="0.2">
      <c r="A179" s="220"/>
      <c r="B179" s="220"/>
    </row>
    <row r="180" spans="1:2" ht="20.25" thickBot="1" x14ac:dyDescent="0.25">
      <c r="B180" s="435" t="s">
        <v>549</v>
      </c>
    </row>
    <row r="181" spans="1:2" ht="13.5" thickTop="1" x14ac:dyDescent="0.2">
      <c r="B181" t="s">
        <v>514</v>
      </c>
    </row>
    <row r="182" spans="1:2" x14ac:dyDescent="0.2">
      <c r="B182" t="s">
        <v>517</v>
      </c>
    </row>
    <row r="183" spans="1:2" x14ac:dyDescent="0.2">
      <c r="B183" t="s">
        <v>521</v>
      </c>
    </row>
    <row r="184" spans="1:2" x14ac:dyDescent="0.2">
      <c r="B184" t="s">
        <v>510</v>
      </c>
    </row>
    <row r="185" spans="1:2" x14ac:dyDescent="0.2">
      <c r="B185" t="s">
        <v>536</v>
      </c>
    </row>
    <row r="186" spans="1:2" x14ac:dyDescent="0.2">
      <c r="B186" t="s">
        <v>537</v>
      </c>
    </row>
    <row r="187" spans="1:2" x14ac:dyDescent="0.2">
      <c r="B187" s="453" t="s">
        <v>538</v>
      </c>
    </row>
    <row r="188" spans="1:2" x14ac:dyDescent="0.2">
      <c r="A188" s="453"/>
      <c r="B188" s="453" t="s">
        <v>539</v>
      </c>
    </row>
    <row r="189" spans="1:2" x14ac:dyDescent="0.2">
      <c r="A189" s="453"/>
      <c r="B189" s="453" t="s">
        <v>540</v>
      </c>
    </row>
    <row r="190" spans="1:2" x14ac:dyDescent="0.2">
      <c r="A190" s="453"/>
      <c r="B190" s="453" t="s">
        <v>542</v>
      </c>
    </row>
    <row r="191" spans="1:2" x14ac:dyDescent="0.2">
      <c r="A191" s="453"/>
      <c r="B191" s="453" t="s">
        <v>543</v>
      </c>
    </row>
    <row r="192" spans="1:2" x14ac:dyDescent="0.2">
      <c r="A192" s="453"/>
      <c r="B192" s="453" t="s">
        <v>544</v>
      </c>
    </row>
    <row r="193" spans="1:2" x14ac:dyDescent="0.2">
      <c r="A193" s="453"/>
      <c r="B193" s="453" t="s">
        <v>545</v>
      </c>
    </row>
    <row r="194" spans="1:2" x14ac:dyDescent="0.2">
      <c r="A194" s="453"/>
      <c r="B194" s="453" t="s">
        <v>546</v>
      </c>
    </row>
    <row r="195" spans="1:2" x14ac:dyDescent="0.2">
      <c r="A195" s="453"/>
      <c r="B195" s="453" t="s">
        <v>547</v>
      </c>
    </row>
    <row r="196" spans="1:2" x14ac:dyDescent="0.2">
      <c r="A196" s="453"/>
      <c r="B196" s="453" t="s">
        <v>548</v>
      </c>
    </row>
    <row r="197" spans="1:2" x14ac:dyDescent="0.2">
      <c r="A197" s="453"/>
      <c r="B197" s="453" t="s">
        <v>558</v>
      </c>
    </row>
    <row r="198" spans="1:2" x14ac:dyDescent="0.2">
      <c r="A198" s="453"/>
      <c r="B198" s="453" t="s">
        <v>559</v>
      </c>
    </row>
    <row r="199" spans="1:2" x14ac:dyDescent="0.2">
      <c r="A199" s="453"/>
      <c r="B199" s="453"/>
    </row>
    <row r="200" spans="1:2" ht="20.25" thickBot="1" x14ac:dyDescent="0.25">
      <c r="B200" s="435" t="s">
        <v>550</v>
      </c>
    </row>
    <row r="201" spans="1:2" ht="13.5" thickTop="1" x14ac:dyDescent="0.2">
      <c r="B201" t="s">
        <v>481</v>
      </c>
    </row>
    <row r="202" spans="1:2" x14ac:dyDescent="0.2">
      <c r="B202" t="s">
        <v>482</v>
      </c>
    </row>
    <row r="203" spans="1:2" x14ac:dyDescent="0.2">
      <c r="B203" t="s">
        <v>483</v>
      </c>
    </row>
    <row r="204" spans="1:2" x14ac:dyDescent="0.2">
      <c r="B204" t="s">
        <v>485</v>
      </c>
    </row>
    <row r="205" spans="1:2" x14ac:dyDescent="0.2">
      <c r="B205" t="s">
        <v>486</v>
      </c>
    </row>
    <row r="206" spans="1:2" x14ac:dyDescent="0.2">
      <c r="B206" t="s">
        <v>487</v>
      </c>
    </row>
    <row r="207" spans="1:2" x14ac:dyDescent="0.2">
      <c r="B207" t="s">
        <v>488</v>
      </c>
    </row>
    <row r="208" spans="1:2" x14ac:dyDescent="0.2">
      <c r="B208" t="s">
        <v>484</v>
      </c>
    </row>
    <row r="209" spans="2:2" x14ac:dyDescent="0.2">
      <c r="B209" t="s">
        <v>489</v>
      </c>
    </row>
    <row r="210" spans="2:2" x14ac:dyDescent="0.2">
      <c r="B210" t="s">
        <v>490</v>
      </c>
    </row>
    <row r="211" spans="2:2" x14ac:dyDescent="0.2">
      <c r="B211" t="s">
        <v>491</v>
      </c>
    </row>
    <row r="212" spans="2:2" x14ac:dyDescent="0.2">
      <c r="B212" t="s">
        <v>492</v>
      </c>
    </row>
    <row r="213" spans="2:2" x14ac:dyDescent="0.2">
      <c r="B213" t="s">
        <v>494</v>
      </c>
    </row>
    <row r="214" spans="2:2" x14ac:dyDescent="0.2">
      <c r="B214" t="s">
        <v>493</v>
      </c>
    </row>
    <row r="215" spans="2:2" x14ac:dyDescent="0.2">
      <c r="B215" t="s">
        <v>495</v>
      </c>
    </row>
    <row r="216" spans="2:2" x14ac:dyDescent="0.2">
      <c r="B216" t="s">
        <v>496</v>
      </c>
    </row>
    <row r="217" spans="2:2" x14ac:dyDescent="0.2">
      <c r="B217" t="s">
        <v>497</v>
      </c>
    </row>
    <row r="218" spans="2:2" x14ac:dyDescent="0.2">
      <c r="B218" t="s">
        <v>498</v>
      </c>
    </row>
    <row r="219" spans="2:2" x14ac:dyDescent="0.2">
      <c r="B219" t="s">
        <v>500</v>
      </c>
    </row>
    <row r="220" spans="2:2" x14ac:dyDescent="0.2">
      <c r="B220" t="s">
        <v>499</v>
      </c>
    </row>
    <row r="221" spans="2:2" x14ac:dyDescent="0.2">
      <c r="B221" t="s">
        <v>515</v>
      </c>
    </row>
    <row r="222" spans="2:2" x14ac:dyDescent="0.2">
      <c r="B222" t="s">
        <v>516</v>
      </c>
    </row>
    <row r="224" spans="2:2" ht="20.25" thickBot="1" x14ac:dyDescent="0.25">
      <c r="B224" s="435" t="s">
        <v>551</v>
      </c>
    </row>
    <row r="225" spans="2:2" ht="13.5" thickTop="1" x14ac:dyDescent="0.2">
      <c r="B225" t="s">
        <v>481</v>
      </c>
    </row>
    <row r="226" spans="2:2" x14ac:dyDescent="0.2">
      <c r="B226" t="s">
        <v>482</v>
      </c>
    </row>
    <row r="228" spans="2:2" ht="20.25" thickBot="1" x14ac:dyDescent="0.25">
      <c r="B228" s="435" t="s">
        <v>552</v>
      </c>
    </row>
    <row r="229" spans="2:2" ht="13.5" thickTop="1" x14ac:dyDescent="0.2">
      <c r="B229" t="s">
        <v>502</v>
      </c>
    </row>
    <row r="230" spans="2:2" x14ac:dyDescent="0.2">
      <c r="B230" t="s">
        <v>503</v>
      </c>
    </row>
    <row r="231" spans="2:2" x14ac:dyDescent="0.2">
      <c r="B231" t="s">
        <v>504</v>
      </c>
    </row>
    <row r="232" spans="2:2" x14ac:dyDescent="0.2">
      <c r="B232" t="s">
        <v>505</v>
      </c>
    </row>
    <row r="233" spans="2:2" x14ac:dyDescent="0.2">
      <c r="B233" t="s">
        <v>506</v>
      </c>
    </row>
    <row r="234" spans="2:2" x14ac:dyDescent="0.2">
      <c r="B234" t="s">
        <v>507</v>
      </c>
    </row>
    <row r="235" spans="2:2" x14ac:dyDescent="0.2">
      <c r="B235" t="s">
        <v>508</v>
      </c>
    </row>
    <row r="236" spans="2:2" x14ac:dyDescent="0.2">
      <c r="B236" t="s">
        <v>509</v>
      </c>
    </row>
    <row r="238" spans="2:2" ht="20.25" thickBot="1" x14ac:dyDescent="0.25">
      <c r="B238" s="435" t="s">
        <v>553</v>
      </c>
    </row>
    <row r="239" spans="2:2" ht="13.5" thickTop="1" x14ac:dyDescent="0.2">
      <c r="B239" t="s">
        <v>502</v>
      </c>
    </row>
    <row r="240" spans="2:2" x14ac:dyDescent="0.2">
      <c r="B240" t="s">
        <v>503</v>
      </c>
    </row>
    <row r="241" spans="2:2" x14ac:dyDescent="0.2">
      <c r="B241" t="s">
        <v>504</v>
      </c>
    </row>
    <row r="243" spans="2:2" ht="20.25" thickBot="1" x14ac:dyDescent="0.25">
      <c r="B243" s="435" t="s">
        <v>554</v>
      </c>
    </row>
    <row r="244" spans="2:2" ht="13.5" thickTop="1" x14ac:dyDescent="0.2">
      <c r="B244" t="s">
        <v>519</v>
      </c>
    </row>
    <row r="246" spans="2:2" ht="20.25" thickBot="1" x14ac:dyDescent="0.25">
      <c r="B246" s="435" t="s">
        <v>555</v>
      </c>
    </row>
    <row r="247" spans="2:2" ht="13.5" thickTop="1" x14ac:dyDescent="0.2">
      <c r="B247" t="s">
        <v>520</v>
      </c>
    </row>
    <row r="249" spans="2:2" ht="20.25" thickBot="1" x14ac:dyDescent="0.25">
      <c r="B249" s="435" t="s">
        <v>556</v>
      </c>
    </row>
    <row r="250" spans="2:2" ht="13.5" thickTop="1" x14ac:dyDescent="0.2">
      <c r="B250" t="s">
        <v>519</v>
      </c>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sheetPr>
  <dimension ref="A1:O19"/>
  <sheetViews>
    <sheetView showGridLines="0" workbookViewId="0">
      <pane ySplit="3" topLeftCell="A4" activePane="bottomLeft" state="frozen"/>
      <selection pane="bottomLeft"/>
    </sheetView>
  </sheetViews>
  <sheetFormatPr defaultRowHeight="12.75" customHeight="1" x14ac:dyDescent="0.2"/>
  <cols>
    <col min="1" max="1" width="3.7109375" customWidth="1"/>
    <col min="2" max="4" width="30.7109375" customWidth="1"/>
    <col min="5" max="5" width="25.7109375" customWidth="1"/>
    <col min="6" max="6" width="30.7109375" customWidth="1"/>
    <col min="7" max="7" width="20.7109375" customWidth="1"/>
    <col min="8" max="16" width="10.7109375" customWidth="1"/>
  </cols>
  <sheetData>
    <row r="1" spans="1:15" ht="23.25" x14ac:dyDescent="0.2">
      <c r="A1" s="289">
        <f>IF(COUNTA(C10:C15)=0,0,2)</f>
        <v>0</v>
      </c>
      <c r="B1" s="290" t="s">
        <v>26</v>
      </c>
      <c r="C1" s="291"/>
      <c r="D1" s="291"/>
      <c r="E1" s="291"/>
      <c r="F1" s="291"/>
      <c r="G1" s="291"/>
      <c r="H1" s="291"/>
      <c r="I1" s="291"/>
      <c r="J1" s="291"/>
      <c r="K1" s="291"/>
      <c r="L1" s="291"/>
      <c r="M1" s="291"/>
      <c r="N1" s="291"/>
      <c r="O1" s="291"/>
    </row>
    <row r="2" spans="1:15" ht="15.75" x14ac:dyDescent="0.2">
      <c r="A2" s="291"/>
      <c r="B2" s="292" t="str">
        <f>CONCATENATE("Name of medicine: ", MedicineBrand)</f>
        <v>Name of medicine:  (®)</v>
      </c>
      <c r="C2" s="291"/>
      <c r="D2" s="291"/>
      <c r="E2" s="291"/>
      <c r="F2" s="291"/>
      <c r="G2" s="291"/>
      <c r="H2" s="291"/>
      <c r="I2" s="291"/>
      <c r="J2" s="291"/>
      <c r="K2" s="291"/>
      <c r="L2" s="291"/>
      <c r="M2" s="291"/>
      <c r="N2" s="291"/>
      <c r="O2" s="291"/>
    </row>
    <row r="3" spans="1:15" ht="15.75" x14ac:dyDescent="0.2">
      <c r="A3" s="291"/>
      <c r="B3" s="292" t="str">
        <f>CONCATENATE("Indication: ",Indication)</f>
        <v xml:space="preserve">Indication: </v>
      </c>
      <c r="C3" s="291"/>
      <c r="D3" s="291"/>
      <c r="E3" s="291"/>
      <c r="F3" s="291"/>
      <c r="G3" s="291"/>
      <c r="H3" s="291"/>
      <c r="I3" s="291"/>
      <c r="J3" s="291"/>
      <c r="K3" s="291"/>
      <c r="L3" s="291"/>
      <c r="M3" s="291"/>
      <c r="N3" s="291"/>
      <c r="O3" s="291"/>
    </row>
    <row r="4" spans="1:15" s="575" customFormat="1" x14ac:dyDescent="0.2">
      <c r="A4" s="572"/>
      <c r="B4" s="595"/>
      <c r="C4" s="572"/>
      <c r="D4" s="572"/>
      <c r="E4" s="572"/>
      <c r="F4" s="572"/>
      <c r="G4" s="572"/>
    </row>
    <row r="5" spans="1:15" x14ac:dyDescent="0.2">
      <c r="A5" s="171"/>
      <c r="B5" s="220" t="s">
        <v>86</v>
      </c>
      <c r="C5" s="220"/>
      <c r="D5" s="220"/>
      <c r="E5" s="220"/>
      <c r="F5" s="220"/>
      <c r="G5" s="220"/>
    </row>
    <row r="6" spans="1:15" x14ac:dyDescent="0.2">
      <c r="A6" s="171"/>
      <c r="B6" s="220" t="s">
        <v>295</v>
      </c>
      <c r="C6" s="220"/>
      <c r="D6" s="220"/>
      <c r="E6" s="220"/>
      <c r="F6" s="220"/>
      <c r="G6" s="220"/>
    </row>
    <row r="7" spans="1:15" x14ac:dyDescent="0.2">
      <c r="A7" s="171"/>
      <c r="B7" s="36" t="s">
        <v>87</v>
      </c>
      <c r="C7" s="36"/>
      <c r="D7" s="36"/>
      <c r="E7" s="36"/>
      <c r="F7" s="36"/>
      <c r="G7" s="36"/>
    </row>
    <row r="8" spans="1:15" x14ac:dyDescent="0.2">
      <c r="A8" s="171"/>
      <c r="B8" s="171"/>
      <c r="C8" s="171"/>
      <c r="D8" s="171"/>
      <c r="E8" s="171"/>
      <c r="F8" s="171"/>
      <c r="G8" s="171"/>
    </row>
    <row r="9" spans="1:15" ht="14.25" x14ac:dyDescent="0.2">
      <c r="A9" s="171"/>
      <c r="B9" s="293"/>
      <c r="C9" s="427" t="s">
        <v>32</v>
      </c>
      <c r="D9" s="427" t="s">
        <v>14</v>
      </c>
      <c r="E9" s="427" t="s">
        <v>16</v>
      </c>
      <c r="F9" s="427" t="s">
        <v>15</v>
      </c>
      <c r="G9" s="427" t="s">
        <v>17</v>
      </c>
    </row>
    <row r="10" spans="1:15" x14ac:dyDescent="0.2">
      <c r="A10" s="171"/>
      <c r="B10" s="428" t="s">
        <v>18</v>
      </c>
      <c r="C10" s="294"/>
      <c r="D10" s="295"/>
      <c r="E10" s="241"/>
      <c r="F10" s="295"/>
      <c r="G10" s="391"/>
    </row>
    <row r="11" spans="1:15" x14ac:dyDescent="0.2">
      <c r="A11" s="171"/>
      <c r="B11" s="428" t="s">
        <v>19</v>
      </c>
      <c r="C11" s="294"/>
      <c r="D11" s="295"/>
      <c r="E11" s="241"/>
      <c r="F11" s="295"/>
      <c r="G11" s="295"/>
    </row>
    <row r="12" spans="1:15" x14ac:dyDescent="0.2">
      <c r="A12" s="171"/>
      <c r="B12" s="428" t="s">
        <v>20</v>
      </c>
      <c r="C12" s="294"/>
      <c r="D12" s="295"/>
      <c r="E12" s="241"/>
      <c r="F12" s="295"/>
      <c r="G12" s="295"/>
    </row>
    <row r="13" spans="1:15" x14ac:dyDescent="0.2">
      <c r="A13" s="171"/>
      <c r="B13" s="428" t="s">
        <v>21</v>
      </c>
      <c r="C13" s="294"/>
      <c r="D13" s="295"/>
      <c r="E13" s="241"/>
      <c r="F13" s="295"/>
      <c r="G13" s="295"/>
    </row>
    <row r="14" spans="1:15" x14ac:dyDescent="0.2">
      <c r="A14" s="171"/>
      <c r="B14" s="428" t="s">
        <v>22</v>
      </c>
      <c r="C14" s="294"/>
      <c r="D14" s="295"/>
      <c r="E14" s="241"/>
      <c r="F14" s="295"/>
      <c r="G14" s="295"/>
    </row>
    <row r="15" spans="1:15" x14ac:dyDescent="0.2">
      <c r="A15" s="171"/>
      <c r="B15" s="428" t="s">
        <v>23</v>
      </c>
      <c r="C15" s="294"/>
      <c r="D15" s="295"/>
      <c r="E15" s="241"/>
      <c r="F15" s="295"/>
      <c r="G15" s="295"/>
    </row>
    <row r="16" spans="1:15" ht="12.75" customHeight="1" x14ac:dyDescent="0.2">
      <c r="B16" s="517" t="s">
        <v>682</v>
      </c>
      <c r="C16" s="294"/>
      <c r="D16" s="295"/>
      <c r="E16" s="241"/>
      <c r="F16" s="295"/>
      <c r="G16" s="295"/>
    </row>
    <row r="17" spans="2:7" ht="12.75" customHeight="1" x14ac:dyDescent="0.2">
      <c r="B17" s="517" t="s">
        <v>683</v>
      </c>
      <c r="C17" s="294"/>
      <c r="D17" s="295"/>
      <c r="E17" s="241"/>
      <c r="F17" s="295"/>
      <c r="G17" s="295"/>
    </row>
    <row r="18" spans="2:7" ht="12.75" customHeight="1" x14ac:dyDescent="0.2">
      <c r="B18" s="517" t="s">
        <v>684</v>
      </c>
      <c r="C18" s="294"/>
      <c r="D18" s="295"/>
      <c r="E18" s="241"/>
      <c r="F18" s="295"/>
      <c r="G18" s="295"/>
    </row>
    <row r="19" spans="2:7" ht="12.75" customHeight="1" x14ac:dyDescent="0.2">
      <c r="B19" s="517" t="s">
        <v>685</v>
      </c>
      <c r="C19" s="294"/>
      <c r="D19" s="295"/>
      <c r="E19" s="241"/>
      <c r="F19" s="295"/>
      <c r="G19" s="295"/>
    </row>
  </sheetData>
  <dataValidations count="2">
    <dataValidation allowBlank="1" showErrorMessage="1" sqref="C10:D19 F10:G19"/>
    <dataValidation type="list" allowBlank="1" showErrorMessage="1" sqref="E10:E19">
      <formula1>DataSource</formula1>
    </dataValidation>
  </dataValidation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sheetPr>
  <dimension ref="A1:W20"/>
  <sheetViews>
    <sheetView showGridLines="0" workbookViewId="0">
      <pane ySplit="3" topLeftCell="A4" activePane="bottomLeft" state="frozen"/>
      <selection pane="bottomLeft"/>
    </sheetView>
  </sheetViews>
  <sheetFormatPr defaultRowHeight="12.75" customHeight="1" x14ac:dyDescent="0.2"/>
  <cols>
    <col min="1" max="1" width="3.7109375" customWidth="1"/>
    <col min="2" max="2" width="30.7109375" customWidth="1"/>
    <col min="3" max="24" width="10.7109375" customWidth="1"/>
  </cols>
  <sheetData>
    <row r="1" spans="1:23" ht="23.25" x14ac:dyDescent="0.2">
      <c r="A1" s="289"/>
      <c r="B1" s="290" t="s">
        <v>747</v>
      </c>
      <c r="C1" s="289"/>
      <c r="D1" s="289"/>
      <c r="E1" s="289"/>
      <c r="F1" s="289"/>
      <c r="G1" s="289"/>
      <c r="H1" s="289"/>
      <c r="I1" s="289"/>
      <c r="J1" s="289"/>
      <c r="K1" s="289"/>
      <c r="L1" s="289"/>
      <c r="M1" s="289"/>
      <c r="N1" s="289"/>
      <c r="O1" s="289"/>
      <c r="P1" s="289"/>
      <c r="Q1" s="289"/>
      <c r="R1" s="289"/>
      <c r="S1" s="289"/>
      <c r="T1" s="289"/>
      <c r="U1" s="289"/>
      <c r="V1" s="289"/>
      <c r="W1" s="289"/>
    </row>
    <row r="2" spans="1:23" ht="15.75" x14ac:dyDescent="0.2">
      <c r="A2" s="291"/>
      <c r="B2" s="292" t="str">
        <f>CONCATENATE("Name of medicine: ", MedicineBrand)</f>
        <v>Name of medicine:  (®)</v>
      </c>
      <c r="C2" s="291"/>
      <c r="D2" s="291"/>
      <c r="E2" s="291"/>
      <c r="F2" s="291"/>
      <c r="G2" s="291"/>
      <c r="H2" s="291"/>
      <c r="I2" s="291"/>
      <c r="J2" s="291"/>
      <c r="K2" s="291"/>
      <c r="L2" s="291"/>
      <c r="M2" s="291"/>
      <c r="N2" s="291"/>
      <c r="O2" s="291"/>
      <c r="P2" s="291"/>
      <c r="Q2" s="291"/>
      <c r="R2" s="291"/>
      <c r="S2" s="291"/>
      <c r="T2" s="291"/>
      <c r="U2" s="291"/>
      <c r="V2" s="291"/>
      <c r="W2" s="291"/>
    </row>
    <row r="3" spans="1:23" ht="15.75" x14ac:dyDescent="0.2">
      <c r="A3" s="291"/>
      <c r="B3" s="292" t="str">
        <f>CONCATENATE("Indication: ",Indication)</f>
        <v xml:space="preserve">Indication: </v>
      </c>
      <c r="C3" s="291"/>
      <c r="D3" s="291"/>
      <c r="E3" s="291"/>
      <c r="F3" s="291"/>
      <c r="G3" s="291"/>
      <c r="H3" s="291"/>
      <c r="I3" s="291"/>
      <c r="J3" s="291"/>
      <c r="K3" s="291"/>
      <c r="L3" s="291"/>
      <c r="M3" s="291"/>
      <c r="N3" s="291"/>
      <c r="O3" s="291"/>
      <c r="P3" s="291"/>
      <c r="Q3" s="291"/>
      <c r="R3" s="291"/>
      <c r="S3" s="291"/>
      <c r="T3" s="291"/>
      <c r="U3" s="291"/>
      <c r="V3" s="291"/>
      <c r="W3" s="291"/>
    </row>
    <row r="4" spans="1:23" s="575" customFormat="1" ht="12.75" customHeight="1" x14ac:dyDescent="0.2"/>
    <row r="5" spans="1:23" s="575" customFormat="1" ht="12.75" customHeight="1" x14ac:dyDescent="0.2"/>
    <row r="6" spans="1:23" s="575" customFormat="1" ht="12.75" customHeight="1" x14ac:dyDescent="0.2"/>
    <row r="7" spans="1:23" s="575" customFormat="1" ht="12.75" customHeight="1" x14ac:dyDescent="0.2"/>
    <row r="8" spans="1:23" s="575" customFormat="1" ht="12.75" customHeight="1" x14ac:dyDescent="0.2"/>
    <row r="9" spans="1:23" s="575" customFormat="1" ht="12.75" customHeight="1" x14ac:dyDescent="0.2"/>
    <row r="10" spans="1:23" s="575" customFormat="1" ht="12.75" customHeight="1" x14ac:dyDescent="0.2"/>
    <row r="11" spans="1:23" s="575" customFormat="1" ht="12.75" customHeight="1" x14ac:dyDescent="0.2"/>
    <row r="12" spans="1:23" s="575" customFormat="1" ht="12.75" customHeight="1" x14ac:dyDescent="0.2"/>
    <row r="13" spans="1:23" s="575" customFormat="1" ht="12.75" customHeight="1" x14ac:dyDescent="0.2"/>
    <row r="14" spans="1:23" s="575" customFormat="1" ht="12.75" customHeight="1" x14ac:dyDescent="0.2"/>
    <row r="15" spans="1:23" s="575" customFormat="1" ht="12.75" customHeight="1" x14ac:dyDescent="0.2"/>
    <row r="16" spans="1:23" s="575" customFormat="1" ht="12.75" customHeight="1" x14ac:dyDescent="0.2"/>
    <row r="17" s="575" customFormat="1" ht="12.75" customHeight="1" x14ac:dyDescent="0.2"/>
    <row r="18" s="575" customFormat="1" ht="12.75" customHeight="1" x14ac:dyDescent="0.2"/>
    <row r="19" s="575" customFormat="1" ht="12.75" customHeight="1" x14ac:dyDescent="0.2"/>
    <row r="20" s="575" customFormat="1" ht="12.75" customHeight="1" x14ac:dyDescent="0.2"/>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pageSetUpPr fitToPage="1"/>
  </sheetPr>
  <dimension ref="A1:J3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5.7109375" customWidth="1"/>
    <col min="3" max="10" width="15.7109375" customWidth="1"/>
    <col min="11" max="19" width="10.7109375" customWidth="1"/>
  </cols>
  <sheetData>
    <row r="1" spans="1:10" ht="23.25" x14ac:dyDescent="0.2">
      <c r="A1" s="144">
        <f>IF((SUM(C15:H15)+SUM(C16:H16)&lt;&gt;0),2,0)</f>
        <v>0</v>
      </c>
      <c r="B1" s="145" t="s">
        <v>364</v>
      </c>
      <c r="C1" s="146"/>
      <c r="D1" s="146"/>
      <c r="E1" s="146"/>
      <c r="F1" s="146"/>
      <c r="G1" s="146"/>
      <c r="H1" s="773" t="str">
        <f>IF(OR(ScriptSourceCode=0,ScriptSourceCode=2),MsgNotRequired,"")</f>
        <v>** NOT REQUIRED **</v>
      </c>
      <c r="I1" s="773"/>
      <c r="J1" s="773"/>
    </row>
    <row r="2" spans="1:10" ht="15.75" x14ac:dyDescent="0.2">
      <c r="A2" s="146"/>
      <c r="B2" s="147" t="str">
        <f>CONCATENATE("Name of medicine: ",MedicineBrand)</f>
        <v>Name of medicine:  (®)</v>
      </c>
      <c r="C2" s="146"/>
      <c r="D2" s="146"/>
      <c r="E2" s="146"/>
      <c r="F2" s="146"/>
      <c r="G2" s="146"/>
      <c r="H2" s="146"/>
      <c r="I2" s="148"/>
      <c r="J2" s="148"/>
    </row>
    <row r="3" spans="1:10" ht="15.75" x14ac:dyDescent="0.2">
      <c r="A3" s="146"/>
      <c r="B3" s="147" t="str">
        <f>CONCATENATE("Indication: ", Indication)</f>
        <v xml:space="preserve">Indication: </v>
      </c>
      <c r="C3" s="146"/>
      <c r="D3" s="146"/>
      <c r="E3" s="146"/>
      <c r="F3" s="146"/>
      <c r="G3" s="146"/>
      <c r="H3" s="146"/>
      <c r="I3" s="148"/>
      <c r="J3" s="148"/>
    </row>
    <row r="4" spans="1:10" x14ac:dyDescent="0.2">
      <c r="A4" s="149"/>
      <c r="B4" s="149"/>
      <c r="C4" s="84"/>
      <c r="D4" s="84"/>
      <c r="E4" s="84"/>
      <c r="F4" s="84"/>
      <c r="G4" s="84"/>
      <c r="H4" s="84"/>
      <c r="I4" s="149"/>
      <c r="J4" s="149"/>
    </row>
    <row r="5" spans="1:10" ht="15.75" x14ac:dyDescent="0.2">
      <c r="A5" s="150"/>
      <c r="B5" s="110" t="s">
        <v>2</v>
      </c>
      <c r="C5" s="151"/>
      <c r="D5" s="151"/>
      <c r="E5" s="151"/>
      <c r="F5" s="151"/>
      <c r="G5" s="151"/>
      <c r="H5" s="151"/>
      <c r="I5" s="151"/>
      <c r="J5" s="151"/>
    </row>
    <row r="6" spans="1:10" x14ac:dyDescent="0.2">
      <c r="A6" s="149"/>
      <c r="B6" s="149"/>
      <c r="C6" s="84"/>
      <c r="D6" s="84"/>
      <c r="E6" s="84"/>
      <c r="F6" s="84"/>
      <c r="G6" s="84"/>
      <c r="H6" s="84"/>
      <c r="I6" s="149"/>
      <c r="J6" s="149"/>
    </row>
    <row r="7" spans="1:10" x14ac:dyDescent="0.2">
      <c r="A7" s="149"/>
      <c r="B7" s="84" t="s">
        <v>910</v>
      </c>
      <c r="C7" s="84"/>
      <c r="D7" s="84"/>
      <c r="E7" s="84"/>
      <c r="F7" s="84"/>
      <c r="G7" s="84"/>
      <c r="H7" s="84"/>
      <c r="I7" s="149"/>
      <c r="J7" s="149"/>
    </row>
    <row r="8" spans="1:10" x14ac:dyDescent="0.2">
      <c r="A8" s="149"/>
      <c r="B8" s="84" t="s">
        <v>909</v>
      </c>
      <c r="C8" s="84"/>
      <c r="D8" s="84"/>
      <c r="E8" s="84"/>
      <c r="F8" s="84"/>
      <c r="G8" s="84"/>
      <c r="H8" s="84"/>
      <c r="I8" s="149"/>
      <c r="J8" s="149"/>
    </row>
    <row r="9" spans="1:10" x14ac:dyDescent="0.2">
      <c r="A9" s="149"/>
      <c r="B9" s="84"/>
      <c r="C9" s="84"/>
      <c r="D9" s="84"/>
      <c r="E9" s="84"/>
      <c r="F9" s="84"/>
      <c r="G9" s="84"/>
      <c r="H9" s="149"/>
      <c r="I9" s="149"/>
      <c r="J9" s="149"/>
    </row>
    <row r="10" spans="1:10" ht="15.75" x14ac:dyDescent="0.2">
      <c r="A10" s="152"/>
      <c r="B10" s="110" t="s">
        <v>936</v>
      </c>
      <c r="C10" s="153"/>
      <c r="D10" s="153"/>
      <c r="E10" s="153"/>
      <c r="F10" s="153"/>
      <c r="G10" s="153"/>
      <c r="H10" s="154"/>
      <c r="I10" s="151"/>
      <c r="J10" s="151"/>
    </row>
    <row r="11" spans="1:10" x14ac:dyDescent="0.2">
      <c r="A11" s="149"/>
      <c r="B11" s="149"/>
      <c r="C11" s="149"/>
      <c r="D11" s="149"/>
      <c r="E11" s="149"/>
      <c r="F11" s="149"/>
      <c r="G11" s="149"/>
      <c r="H11" s="149"/>
      <c r="I11" s="149"/>
      <c r="J11" s="149"/>
    </row>
    <row r="12" spans="1:10" x14ac:dyDescent="0.2">
      <c r="A12" s="84"/>
      <c r="B12" s="84" t="s">
        <v>297</v>
      </c>
      <c r="C12" s="84"/>
      <c r="D12" s="84"/>
      <c r="E12" s="84"/>
      <c r="F12" s="84"/>
      <c r="G12" s="84"/>
      <c r="H12" s="84"/>
      <c r="I12" s="84"/>
      <c r="J12" s="84"/>
    </row>
    <row r="13" spans="1:10" x14ac:dyDescent="0.2">
      <c r="A13" s="84"/>
      <c r="B13" s="155" t="str">
        <f>UPPER(LEFT(B14,1)) &amp; MID(B14,2,99)</f>
        <v/>
      </c>
      <c r="C13" s="84"/>
      <c r="D13" s="84"/>
      <c r="E13" s="84"/>
      <c r="F13" s="84"/>
      <c r="G13" s="84"/>
      <c r="H13" s="84"/>
      <c r="I13" s="84"/>
      <c r="J13" s="84"/>
    </row>
    <row r="14" spans="1:10" x14ac:dyDescent="0.2">
      <c r="A14" s="84"/>
      <c r="B14" s="155"/>
      <c r="C14" s="112">
        <f>FirstYear</f>
        <v>0</v>
      </c>
      <c r="D14" s="112">
        <f>C14+1</f>
        <v>1</v>
      </c>
      <c r="E14" s="112">
        <f>D14+1</f>
        <v>2</v>
      </c>
      <c r="F14" s="112">
        <f>E14+1</f>
        <v>3</v>
      </c>
      <c r="G14" s="112">
        <f>F14+1</f>
        <v>4</v>
      </c>
      <c r="H14" s="112">
        <f>G14+1</f>
        <v>5</v>
      </c>
      <c r="I14" s="84"/>
      <c r="J14" s="84"/>
    </row>
    <row r="15" spans="1:10" x14ac:dyDescent="0.2">
      <c r="A15" s="84"/>
      <c r="B15" s="80" t="str">
        <f>TxPhase1PxTotal</f>
        <v/>
      </c>
      <c r="C15" s="47">
        <f t="shared" ref="C15:H15" si="0">IF(OR(ScriptSourceCode=1,ScriptSourceCode=3),C23+C30+C37,0)</f>
        <v>0</v>
      </c>
      <c r="D15" s="47">
        <f t="shared" si="0"/>
        <v>0</v>
      </c>
      <c r="E15" s="47">
        <f t="shared" si="0"/>
        <v>0</v>
      </c>
      <c r="F15" s="47">
        <f t="shared" si="0"/>
        <v>0</v>
      </c>
      <c r="G15" s="47">
        <f t="shared" si="0"/>
        <v>0</v>
      </c>
      <c r="H15" s="47">
        <f t="shared" si="0"/>
        <v>0</v>
      </c>
      <c r="I15" s="84"/>
      <c r="J15" s="84"/>
    </row>
    <row r="16" spans="1:10" x14ac:dyDescent="0.2">
      <c r="A16" s="84"/>
      <c r="B16" s="80" t="str">
        <f>TxPhase2PxTotal</f>
        <v/>
      </c>
      <c r="C16" s="47">
        <f t="shared" ref="C16:H16" si="1">IF(OR(ScriptSourceCode=1,ScriptSourceCode=3),IF(TPAll=0,C24+C31+C38,0),0)</f>
        <v>0</v>
      </c>
      <c r="D16" s="47">
        <f t="shared" si="1"/>
        <v>0</v>
      </c>
      <c r="E16" s="47">
        <f t="shared" si="1"/>
        <v>0</v>
      </c>
      <c r="F16" s="47">
        <f t="shared" si="1"/>
        <v>0</v>
      </c>
      <c r="G16" s="47">
        <f t="shared" si="1"/>
        <v>0</v>
      </c>
      <c r="H16" s="47">
        <f t="shared" si="1"/>
        <v>0</v>
      </c>
      <c r="I16" s="84"/>
      <c r="J16" s="84"/>
    </row>
    <row r="17" spans="1:10" hidden="1" x14ac:dyDescent="0.2">
      <c r="A17" s="84"/>
      <c r="B17" s="84"/>
      <c r="C17" s="156">
        <f>C15+C16</f>
        <v>0</v>
      </c>
      <c r="D17" s="359">
        <f t="shared" ref="D17:H17" si="2">D15+D16</f>
        <v>0</v>
      </c>
      <c r="E17" s="359">
        <f t="shared" si="2"/>
        <v>0</v>
      </c>
      <c r="F17" s="359">
        <f t="shared" si="2"/>
        <v>0</v>
      </c>
      <c r="G17" s="359">
        <f t="shared" si="2"/>
        <v>0</v>
      </c>
      <c r="H17" s="359">
        <f t="shared" si="2"/>
        <v>0</v>
      </c>
      <c r="I17" s="84"/>
      <c r="J17" s="84"/>
    </row>
    <row r="18" spans="1:10" x14ac:dyDescent="0.2">
      <c r="A18" s="84"/>
      <c r="B18" s="84"/>
      <c r="C18" s="157"/>
      <c r="D18" s="157"/>
      <c r="E18" s="157"/>
      <c r="F18" s="157"/>
      <c r="G18" s="157"/>
      <c r="H18" s="157"/>
      <c r="I18" s="84"/>
      <c r="J18" s="84"/>
    </row>
    <row r="19" spans="1:10" x14ac:dyDescent="0.2">
      <c r="A19" s="84"/>
      <c r="B19" s="84"/>
      <c r="C19" s="84"/>
      <c r="D19" s="84"/>
      <c r="E19" s="84"/>
      <c r="F19" s="84"/>
      <c r="G19" s="84"/>
      <c r="H19" s="84"/>
      <c r="I19" s="84"/>
      <c r="J19" s="84"/>
    </row>
    <row r="20" spans="1:10" ht="15.75" x14ac:dyDescent="0.2">
      <c r="A20" s="158"/>
      <c r="B20" s="110" t="s">
        <v>930</v>
      </c>
      <c r="C20" s="159"/>
      <c r="D20" s="159"/>
      <c r="E20" s="159"/>
      <c r="F20" s="159"/>
      <c r="G20" s="771" t="str">
        <f>IF(PxIncident&lt;&gt;1,MsgNotRequired,"")</f>
        <v>** NOT REQUIRED **</v>
      </c>
      <c r="H20" s="772"/>
      <c r="I20" s="160"/>
      <c r="J20" s="160"/>
    </row>
    <row r="21" spans="1:10" ht="15.75" outlineLevel="1" x14ac:dyDescent="0.2">
      <c r="A21" s="161"/>
      <c r="B21" s="162"/>
      <c r="C21" s="163"/>
      <c r="D21" s="161"/>
      <c r="E21" s="161"/>
      <c r="F21" s="161"/>
      <c r="G21" s="161"/>
      <c r="H21" s="161"/>
      <c r="I21" s="161"/>
      <c r="J21" s="161"/>
    </row>
    <row r="22" spans="1:10" outlineLevel="1" x14ac:dyDescent="0.2">
      <c r="A22" s="164"/>
      <c r="B22" s="82"/>
      <c r="C22" s="112">
        <f>FirstYear</f>
        <v>0</v>
      </c>
      <c r="D22" s="112">
        <f>C22+1</f>
        <v>1</v>
      </c>
      <c r="E22" s="112">
        <f>D22+1</f>
        <v>2</v>
      </c>
      <c r="F22" s="112">
        <f>E22+1</f>
        <v>3</v>
      </c>
      <c r="G22" s="112">
        <f>F22+1</f>
        <v>4</v>
      </c>
      <c r="H22" s="112">
        <f>G22+1</f>
        <v>5</v>
      </c>
      <c r="I22" s="84"/>
      <c r="J22" s="84"/>
    </row>
    <row r="23" spans="1:10" outlineLevel="1" x14ac:dyDescent="0.2">
      <c r="A23" s="84"/>
      <c r="B23" s="80" t="str">
        <f>B15</f>
        <v/>
      </c>
      <c r="C23" s="47">
        <f>'2a. Patients - incident'!D42</f>
        <v>0</v>
      </c>
      <c r="D23" s="47">
        <f>'2a. Patients - incident'!E42</f>
        <v>0</v>
      </c>
      <c r="E23" s="47">
        <f>'2a. Patients - incident'!F42</f>
        <v>0</v>
      </c>
      <c r="F23" s="47">
        <f>'2a. Patients - incident'!G42</f>
        <v>0</v>
      </c>
      <c r="G23" s="47">
        <f>'2a. Patients - incident'!H42</f>
        <v>0</v>
      </c>
      <c r="H23" s="47">
        <f>'2a. Patients - incident'!I42</f>
        <v>0</v>
      </c>
      <c r="I23" s="84"/>
      <c r="J23" s="84"/>
    </row>
    <row r="24" spans="1:10" outlineLevel="1" x14ac:dyDescent="0.2">
      <c r="A24" s="84"/>
      <c r="B24" s="80" t="str">
        <f>B16</f>
        <v/>
      </c>
      <c r="C24" s="47">
        <f>'2a. Patients - incident'!D43</f>
        <v>0</v>
      </c>
      <c r="D24" s="47">
        <f>'2a. Patients - incident'!E43</f>
        <v>0</v>
      </c>
      <c r="E24" s="47">
        <f>'2a. Patients - incident'!F43</f>
        <v>0</v>
      </c>
      <c r="F24" s="47">
        <f>'2a. Patients - incident'!G43</f>
        <v>0</v>
      </c>
      <c r="G24" s="47">
        <f>'2a. Patients - incident'!H43</f>
        <v>0</v>
      </c>
      <c r="H24" s="47">
        <f>'2a. Patients - incident'!I43</f>
        <v>0</v>
      </c>
      <c r="I24" s="84"/>
      <c r="J24" s="84"/>
    </row>
    <row r="25" spans="1:10" outlineLevel="1" x14ac:dyDescent="0.2">
      <c r="A25" s="84"/>
      <c r="B25" s="84"/>
      <c r="C25" s="84"/>
      <c r="D25" s="84"/>
      <c r="E25" s="84"/>
      <c r="F25" s="84"/>
      <c r="G25" s="84"/>
      <c r="H25" s="84"/>
      <c r="I25" s="84"/>
      <c r="J25" s="84"/>
    </row>
    <row r="26" spans="1:10" s="570" customFormat="1" x14ac:dyDescent="0.2">
      <c r="A26" s="586"/>
      <c r="B26" s="586"/>
      <c r="C26" s="586"/>
      <c r="D26" s="586"/>
      <c r="E26" s="586"/>
      <c r="F26" s="586"/>
      <c r="G26" s="586"/>
      <c r="H26" s="586"/>
      <c r="I26" s="586"/>
      <c r="J26" s="586"/>
    </row>
    <row r="27" spans="1:10" ht="15.75" x14ac:dyDescent="0.2">
      <c r="A27" s="158"/>
      <c r="B27" s="110" t="s">
        <v>931</v>
      </c>
      <c r="C27" s="159"/>
      <c r="D27" s="159"/>
      <c r="E27" s="159"/>
      <c r="F27" s="159"/>
      <c r="G27" s="771" t="str">
        <f>IF(PxPrevalent&lt;&gt;1,MsgNotRequired,"")</f>
        <v>** NOT REQUIRED **</v>
      </c>
      <c r="H27" s="772"/>
      <c r="I27" s="160"/>
      <c r="J27" s="160"/>
    </row>
    <row r="28" spans="1:10" ht="15.75" outlineLevel="1" x14ac:dyDescent="0.2">
      <c r="A28" s="161"/>
      <c r="B28" s="162"/>
      <c r="C28" s="161"/>
      <c r="D28" s="161"/>
      <c r="E28" s="161"/>
      <c r="F28" s="161"/>
      <c r="G28" s="161"/>
      <c r="H28" s="161"/>
      <c r="I28" s="161"/>
      <c r="J28" s="161"/>
    </row>
    <row r="29" spans="1:10" outlineLevel="1" x14ac:dyDescent="0.2">
      <c r="A29" s="124"/>
      <c r="B29" s="82"/>
      <c r="C29" s="112">
        <f>FirstYear</f>
        <v>0</v>
      </c>
      <c r="D29" s="112">
        <f>C29+1</f>
        <v>1</v>
      </c>
      <c r="E29" s="112">
        <f>D29+1</f>
        <v>2</v>
      </c>
      <c r="F29" s="112">
        <f>E29+1</f>
        <v>3</v>
      </c>
      <c r="G29" s="112">
        <f>F29+1</f>
        <v>4</v>
      </c>
      <c r="H29" s="112">
        <f>G29+1</f>
        <v>5</v>
      </c>
      <c r="I29" s="124"/>
      <c r="J29" s="124"/>
    </row>
    <row r="30" spans="1:10" outlineLevel="1" x14ac:dyDescent="0.2">
      <c r="A30" s="84"/>
      <c r="B30" s="80" t="str">
        <f>B15</f>
        <v/>
      </c>
      <c r="C30" s="47">
        <f>'2b. Patients - prevalent'!D42</f>
        <v>0</v>
      </c>
      <c r="D30" s="47">
        <f>'2b. Patients - prevalent'!E42</f>
        <v>0</v>
      </c>
      <c r="E30" s="47">
        <f>'2b. Patients - prevalent'!F42</f>
        <v>0</v>
      </c>
      <c r="F30" s="47">
        <f>'2b. Patients - prevalent'!G42</f>
        <v>0</v>
      </c>
      <c r="G30" s="47">
        <f>'2b. Patients - prevalent'!H42</f>
        <v>0</v>
      </c>
      <c r="H30" s="47">
        <f>'2b. Patients - prevalent'!I42</f>
        <v>0</v>
      </c>
      <c r="I30" s="84"/>
      <c r="J30" s="84"/>
    </row>
    <row r="31" spans="1:10" outlineLevel="1" x14ac:dyDescent="0.2">
      <c r="A31" s="84"/>
      <c r="B31" s="80" t="str">
        <f>B16</f>
        <v/>
      </c>
      <c r="C31" s="47">
        <f>'2b. Patients - prevalent'!D43</f>
        <v>0</v>
      </c>
      <c r="D31" s="47">
        <f>'2b. Patients - prevalent'!E43</f>
        <v>0</v>
      </c>
      <c r="E31" s="47">
        <f>'2b. Patients - prevalent'!F43</f>
        <v>0</v>
      </c>
      <c r="F31" s="47">
        <f>'2b. Patients - prevalent'!G43</f>
        <v>0</v>
      </c>
      <c r="G31" s="47">
        <f>'2b. Patients - prevalent'!H43</f>
        <v>0</v>
      </c>
      <c r="H31" s="47">
        <f>'2b. Patients - prevalent'!I43</f>
        <v>0</v>
      </c>
      <c r="I31" s="84"/>
      <c r="J31" s="84"/>
    </row>
    <row r="32" spans="1:10" outlineLevel="1" x14ac:dyDescent="0.2">
      <c r="A32" s="84"/>
      <c r="B32" s="84"/>
      <c r="C32" s="84"/>
      <c r="D32" s="84"/>
      <c r="E32" s="84"/>
      <c r="F32" s="84"/>
      <c r="G32" s="84"/>
      <c r="H32" s="84"/>
      <c r="I32" s="84"/>
      <c r="J32" s="84"/>
    </row>
    <row r="33" spans="1:10" s="570" customFormat="1" x14ac:dyDescent="0.2">
      <c r="A33" s="586"/>
      <c r="B33" s="586"/>
      <c r="C33" s="586"/>
      <c r="D33" s="586"/>
      <c r="E33" s="586"/>
      <c r="F33" s="586"/>
      <c r="G33" s="586"/>
      <c r="H33" s="586"/>
      <c r="I33" s="586"/>
      <c r="J33" s="586"/>
    </row>
    <row r="34" spans="1:10" ht="15.75" x14ac:dyDescent="0.2">
      <c r="A34" s="165"/>
      <c r="B34" s="110" t="s">
        <v>932</v>
      </c>
      <c r="C34" s="159"/>
      <c r="D34" s="159"/>
      <c r="E34" s="159"/>
      <c r="F34" s="159"/>
      <c r="G34" s="771" t="str">
        <f>IF(PxGrandfathered&lt;&gt;1,MsgNotRequired,"")</f>
        <v>** NOT REQUIRED **</v>
      </c>
      <c r="H34" s="772"/>
      <c r="I34" s="160"/>
      <c r="J34" s="160"/>
    </row>
    <row r="35" spans="1:10" outlineLevel="1" x14ac:dyDescent="0.2">
      <c r="A35" s="84"/>
      <c r="B35" s="84"/>
      <c r="C35" s="84"/>
      <c r="D35" s="84"/>
      <c r="E35" s="84"/>
      <c r="F35" s="84"/>
      <c r="G35" s="84"/>
      <c r="H35" s="84"/>
      <c r="I35" s="84"/>
      <c r="J35" s="84"/>
    </row>
    <row r="36" spans="1:10" outlineLevel="1" x14ac:dyDescent="0.2">
      <c r="A36" s="124"/>
      <c r="B36" s="124"/>
      <c r="C36" s="112">
        <f>FirstYear</f>
        <v>0</v>
      </c>
      <c r="D36" s="112">
        <f>C36+1</f>
        <v>1</v>
      </c>
      <c r="E36" s="112">
        <f>D36+1</f>
        <v>2</v>
      </c>
      <c r="F36" s="112">
        <f>E36+1</f>
        <v>3</v>
      </c>
      <c r="G36" s="112">
        <f>F36+1</f>
        <v>4</v>
      </c>
      <c r="H36" s="112">
        <f>G36+1</f>
        <v>5</v>
      </c>
      <c r="I36" s="124"/>
      <c r="J36" s="124"/>
    </row>
    <row r="37" spans="1:10" outlineLevel="1" x14ac:dyDescent="0.2">
      <c r="A37" s="84"/>
      <c r="B37" s="80" t="str">
        <f>B15</f>
        <v/>
      </c>
      <c r="C37" s="47">
        <f>'2c. Patients - GF'!D42</f>
        <v>0</v>
      </c>
      <c r="D37" s="47">
        <f>'2c. Patients - GF'!E42</f>
        <v>0</v>
      </c>
      <c r="E37" s="47">
        <f>'2c. Patients - GF'!F42</f>
        <v>0</v>
      </c>
      <c r="F37" s="47">
        <f>'2c. Patients - GF'!G42</f>
        <v>0</v>
      </c>
      <c r="G37" s="47">
        <f>'2c. Patients - GF'!H42</f>
        <v>0</v>
      </c>
      <c r="H37" s="47">
        <f>'2c. Patients - GF'!I42</f>
        <v>0</v>
      </c>
      <c r="I37" s="84"/>
      <c r="J37" s="166"/>
    </row>
    <row r="38" spans="1:10" outlineLevel="1" x14ac:dyDescent="0.2">
      <c r="A38" s="84"/>
      <c r="B38" s="80" t="str">
        <f>B16</f>
        <v/>
      </c>
      <c r="C38" s="47">
        <f>'2c. Patients - GF'!D43</f>
        <v>0</v>
      </c>
      <c r="D38" s="47">
        <f>'2c. Patients - GF'!E43</f>
        <v>0</v>
      </c>
      <c r="E38" s="47">
        <f>'2c. Patients - GF'!F43</f>
        <v>0</v>
      </c>
      <c r="F38" s="47">
        <f>'2c. Patients - GF'!G43</f>
        <v>0</v>
      </c>
      <c r="G38" s="47">
        <f>'2c. Patients - GF'!H43</f>
        <v>0</v>
      </c>
      <c r="H38" s="47">
        <f>'2c. Patients - GF'!I43</f>
        <v>0</v>
      </c>
      <c r="I38" s="84"/>
      <c r="J38" s="84"/>
    </row>
    <row r="39" spans="1:10" ht="12.75" customHeight="1" outlineLevel="1" x14ac:dyDescent="0.2"/>
  </sheetData>
  <mergeCells count="4">
    <mergeCell ref="G34:H34"/>
    <mergeCell ref="G20:H20"/>
    <mergeCell ref="G27:H27"/>
    <mergeCell ref="H1:J1"/>
  </mergeCells>
  <conditionalFormatting sqref="C23:H24">
    <cfRule type="expression" dxfId="1180" priority="44">
      <formula>PxIncident&lt;&gt;1</formula>
    </cfRule>
  </conditionalFormatting>
  <conditionalFormatting sqref="C37:H38">
    <cfRule type="expression" dxfId="1179" priority="42">
      <formula>PxGrandfathered&lt;&gt;1</formula>
    </cfRule>
  </conditionalFormatting>
  <conditionalFormatting sqref="C16:H16">
    <cfRule type="expression" dxfId="1178" priority="29">
      <formula>$B$16=""</formula>
    </cfRule>
  </conditionalFormatting>
  <conditionalFormatting sqref="B16">
    <cfRule type="expression" dxfId="1177" priority="6">
      <formula>$B$16=""</formula>
    </cfRule>
  </conditionalFormatting>
  <conditionalFormatting sqref="B24:H24">
    <cfRule type="expression" dxfId="1176" priority="5">
      <formula>$B$24=""</formula>
    </cfRule>
  </conditionalFormatting>
  <conditionalFormatting sqref="B31">
    <cfRule type="expression" dxfId="1175" priority="4">
      <formula>$B$31=""</formula>
    </cfRule>
  </conditionalFormatting>
  <conditionalFormatting sqref="B38:H38">
    <cfRule type="expression" dxfId="1174" priority="3">
      <formula>$B$38=""</formula>
    </cfRule>
  </conditionalFormatting>
  <conditionalFormatting sqref="C30:H31">
    <cfRule type="expression" dxfId="1173" priority="2">
      <formula>PxPrevalent&lt;&gt;1</formula>
    </cfRule>
  </conditionalFormatting>
  <conditionalFormatting sqref="C31:H31">
    <cfRule type="expression" dxfId="1172" priority="1">
      <formula>$B$31=""</formula>
    </cfRule>
  </conditionalFormatting>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pageSetUpPr fitToPage="1"/>
  </sheetPr>
  <dimension ref="A1:R41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35.7109375" customWidth="1"/>
    <col min="4" max="9" width="15.7109375" customWidth="1"/>
    <col min="10" max="10" width="3.7109375" hidden="1" customWidth="1"/>
    <col min="11" max="16" width="12.7109375" hidden="1" customWidth="1"/>
    <col min="17" max="17" width="3.7109375" customWidth="1"/>
    <col min="18" max="18" width="50.7109375" customWidth="1"/>
    <col min="19" max="22" width="9.140625" customWidth="1"/>
  </cols>
  <sheetData>
    <row r="1" spans="1:18" ht="23.25" x14ac:dyDescent="0.2">
      <c r="A1" s="144">
        <f>IF((SUM(D42:I42)+SUM(D43:I43)&lt;&gt;0),2,0)</f>
        <v>0</v>
      </c>
      <c r="B1" s="144"/>
      <c r="C1" s="167" t="s">
        <v>363</v>
      </c>
      <c r="D1" s="168"/>
      <c r="E1" s="168"/>
      <c r="F1" s="168"/>
      <c r="G1" s="168"/>
      <c r="H1" s="777"/>
      <c r="I1" s="777"/>
      <c r="J1" s="168"/>
      <c r="K1" s="168"/>
      <c r="L1" s="168"/>
      <c r="M1" s="168"/>
      <c r="N1" s="168"/>
      <c r="O1" s="168"/>
      <c r="P1" s="168"/>
      <c r="Q1" s="169"/>
      <c r="R1" s="170" t="str">
        <f>IF(PxIncident&lt;&gt;1,MsgNotRequired,"")</f>
        <v>** NOT REQUIRED **</v>
      </c>
    </row>
    <row r="2" spans="1:18" ht="15.75" x14ac:dyDescent="0.2">
      <c r="A2" s="168"/>
      <c r="B2" s="168"/>
      <c r="C2" s="147" t="str">
        <f>CONCATENATE("Name of medicine: ",MedicineBrand)</f>
        <v>Name of medicine:  (®)</v>
      </c>
      <c r="D2" s="168"/>
      <c r="E2" s="168"/>
      <c r="F2" s="168"/>
      <c r="G2" s="168"/>
      <c r="H2" s="168"/>
      <c r="I2" s="168"/>
      <c r="J2" s="168"/>
      <c r="K2" s="168"/>
      <c r="L2" s="168"/>
      <c r="M2" s="168"/>
      <c r="N2" s="168"/>
      <c r="O2" s="168"/>
      <c r="P2" s="168"/>
      <c r="Q2" s="169"/>
      <c r="R2" s="169"/>
    </row>
    <row r="3" spans="1:18" ht="15.75" x14ac:dyDescent="0.2">
      <c r="A3" s="168"/>
      <c r="B3" s="168"/>
      <c r="C3" s="147" t="str">
        <f>CONCATENATE("Indication: ", Indication)</f>
        <v xml:space="preserve">Indication: </v>
      </c>
      <c r="D3" s="168"/>
      <c r="E3" s="168"/>
      <c r="F3" s="168"/>
      <c r="G3" s="168"/>
      <c r="H3" s="168"/>
      <c r="I3" s="168"/>
      <c r="J3" s="168"/>
      <c r="K3" s="168"/>
      <c r="L3" s="168"/>
      <c r="M3" s="168"/>
      <c r="N3" s="168"/>
      <c r="O3" s="168"/>
      <c r="P3" s="168"/>
      <c r="Q3" s="169"/>
      <c r="R3" s="169"/>
    </row>
    <row r="4" spans="1:18" x14ac:dyDescent="0.2">
      <c r="A4" s="171"/>
      <c r="B4" s="171"/>
      <c r="C4" s="171"/>
      <c r="D4" s="6"/>
      <c r="E4" s="6"/>
      <c r="F4" s="6"/>
      <c r="G4" s="6"/>
      <c r="H4" s="6"/>
      <c r="I4" s="6"/>
      <c r="J4" s="172"/>
      <c r="K4" s="171"/>
      <c r="L4" s="171"/>
      <c r="M4" s="171"/>
      <c r="N4" s="171"/>
      <c r="O4" s="171"/>
      <c r="P4" s="171"/>
      <c r="Q4" s="171"/>
      <c r="R4" s="171"/>
    </row>
    <row r="5" spans="1:18" ht="15.75" x14ac:dyDescent="0.2">
      <c r="A5" s="173"/>
      <c r="B5" s="173"/>
      <c r="C5" s="174" t="s">
        <v>2</v>
      </c>
      <c r="D5" s="175"/>
      <c r="E5" s="175"/>
      <c r="F5" s="175"/>
      <c r="G5" s="175"/>
      <c r="H5" s="175"/>
      <c r="I5" s="175"/>
      <c r="J5" s="172"/>
      <c r="K5" s="173"/>
      <c r="L5" s="173"/>
      <c r="M5" s="173"/>
      <c r="N5" s="173"/>
      <c r="O5" s="173"/>
      <c r="P5" s="173"/>
      <c r="Q5" s="175"/>
      <c r="R5" s="175"/>
    </row>
    <row r="6" spans="1:18" x14ac:dyDescent="0.2">
      <c r="A6" s="171"/>
      <c r="B6" s="171"/>
      <c r="C6" s="171"/>
      <c r="D6" s="6"/>
      <c r="E6" s="6"/>
      <c r="F6" s="6"/>
      <c r="G6" s="6"/>
      <c r="H6" s="6"/>
      <c r="I6" s="6"/>
      <c r="J6" s="172"/>
      <c r="K6" s="171"/>
      <c r="L6" s="171"/>
      <c r="M6" s="171"/>
      <c r="N6" s="171"/>
      <c r="O6" s="171"/>
      <c r="P6" s="171"/>
      <c r="Q6" s="171"/>
      <c r="R6" s="171"/>
    </row>
    <row r="7" spans="1:18" x14ac:dyDescent="0.2">
      <c r="A7" s="171"/>
      <c r="B7" s="171"/>
      <c r="C7" s="6" t="s">
        <v>911</v>
      </c>
      <c r="D7" s="6"/>
      <c r="E7" s="6"/>
      <c r="F7" s="770" t="str">
        <f>IF(OR(K17&lt;&gt;0,K28&lt;&gt;0),MsgNote &amp; VLOOKUP("PerRate",WarningMessages,2,FALSE),"")</f>
        <v/>
      </c>
      <c r="G7" s="770"/>
      <c r="H7" s="770"/>
      <c r="I7" s="770"/>
      <c r="J7" s="172"/>
      <c r="K7" s="6"/>
      <c r="L7" s="6"/>
      <c r="M7" s="6"/>
      <c r="N7" s="6"/>
      <c r="O7" s="6"/>
      <c r="P7" s="171"/>
      <c r="Q7" s="171"/>
      <c r="R7" s="171"/>
    </row>
    <row r="8" spans="1:18" x14ac:dyDescent="0.2">
      <c r="A8" s="171"/>
      <c r="B8" s="171"/>
      <c r="C8" s="6"/>
      <c r="D8" s="6"/>
      <c r="E8" s="6"/>
      <c r="G8" s="6"/>
      <c r="H8" s="6"/>
      <c r="I8" s="171"/>
      <c r="J8" s="172"/>
      <c r="K8" s="171"/>
      <c r="L8" s="171"/>
      <c r="M8" s="171"/>
      <c r="N8" s="171"/>
      <c r="O8" s="171"/>
      <c r="P8" s="171"/>
      <c r="Q8" s="171"/>
      <c r="R8" s="171"/>
    </row>
    <row r="9" spans="1:18" ht="15.75" x14ac:dyDescent="0.2">
      <c r="A9" s="176"/>
      <c r="B9" s="176"/>
      <c r="C9" s="174" t="s">
        <v>936</v>
      </c>
      <c r="D9" s="177"/>
      <c r="E9" s="177"/>
      <c r="F9" s="177"/>
      <c r="G9" s="177"/>
      <c r="H9" s="177"/>
      <c r="I9" s="178"/>
      <c r="J9" s="172"/>
      <c r="K9" s="176"/>
      <c r="L9" s="176"/>
      <c r="M9" s="176"/>
      <c r="N9" s="176"/>
      <c r="O9" s="176"/>
      <c r="P9" s="176"/>
      <c r="Q9" s="175"/>
      <c r="R9" s="175"/>
    </row>
    <row r="10" spans="1:18" x14ac:dyDescent="0.2">
      <c r="A10" s="6"/>
      <c r="B10" s="6"/>
      <c r="C10" s="6"/>
      <c r="D10" s="6"/>
      <c r="E10" s="6"/>
      <c r="F10" s="6"/>
      <c r="G10" s="6"/>
      <c r="H10" s="6"/>
      <c r="I10" s="6"/>
      <c r="J10" s="179"/>
      <c r="K10" s="6"/>
      <c r="L10" s="6"/>
      <c r="M10" s="6"/>
      <c r="N10" s="6"/>
      <c r="O10" s="6"/>
      <c r="P10" s="6"/>
      <c r="Q10" s="6"/>
      <c r="R10" s="6"/>
    </row>
    <row r="11" spans="1:18" x14ac:dyDescent="0.2">
      <c r="A11" s="6"/>
      <c r="B11" s="6"/>
      <c r="C11" s="6" t="s">
        <v>360</v>
      </c>
      <c r="D11" s="6"/>
      <c r="E11" s="6"/>
      <c r="F11" s="6"/>
      <c r="G11" s="6"/>
      <c r="H11" s="6"/>
      <c r="I11" s="6"/>
      <c r="J11" s="179"/>
      <c r="K11" s="6"/>
      <c r="L11" s="6"/>
      <c r="M11" s="6"/>
      <c r="N11" s="6"/>
      <c r="O11" s="6"/>
      <c r="P11" s="6"/>
      <c r="Q11" s="6"/>
      <c r="R11" s="6"/>
    </row>
    <row r="12" spans="1:18" x14ac:dyDescent="0.2">
      <c r="A12" s="6"/>
      <c r="B12" s="6"/>
      <c r="D12" s="6"/>
      <c r="E12" s="6"/>
      <c r="F12" s="6"/>
      <c r="G12" s="6"/>
      <c r="H12" s="6"/>
      <c r="I12" s="6"/>
      <c r="J12" s="179"/>
      <c r="K12" s="6"/>
      <c r="L12" s="6"/>
      <c r="M12" s="6"/>
      <c r="N12" s="6"/>
      <c r="O12" s="6"/>
      <c r="P12" s="6"/>
      <c r="Q12" s="6"/>
      <c r="R12" s="6"/>
    </row>
    <row r="13" spans="1:18" x14ac:dyDescent="0.2">
      <c r="A13" s="6"/>
      <c r="B13" s="6"/>
      <c r="C13" s="155"/>
      <c r="D13" s="112">
        <f>FirstYear</f>
        <v>0</v>
      </c>
      <c r="E13" s="112">
        <f>D13+1</f>
        <v>1</v>
      </c>
      <c r="F13" s="112">
        <f>E13+1</f>
        <v>2</v>
      </c>
      <c r="G13" s="112">
        <f>F13+1</f>
        <v>3</v>
      </c>
      <c r="H13" s="112">
        <f>G13+1</f>
        <v>4</v>
      </c>
      <c r="I13" s="112">
        <f>H13+1</f>
        <v>5</v>
      </c>
      <c r="J13" s="179"/>
      <c r="K13" s="6"/>
      <c r="L13" s="6"/>
      <c r="M13" s="180"/>
      <c r="N13" s="6"/>
      <c r="O13" s="6"/>
      <c r="P13" s="6"/>
      <c r="Q13" s="6"/>
      <c r="R13" s="6"/>
    </row>
    <row r="14" spans="1:18" x14ac:dyDescent="0.2">
      <c r="A14" s="6"/>
      <c r="B14" s="6"/>
      <c r="C14" s="80" t="str">
        <f>TxPhase1PxTotal</f>
        <v/>
      </c>
      <c r="D14" s="47">
        <f t="shared" ref="D14:I14" si="0">IF(OR(ScriptSourceCode=1,ScriptSourceCode=3),D78+D114+D150+D186+D222+D258+D294+D330+D366+D402,0)</f>
        <v>0</v>
      </c>
      <c r="E14" s="47">
        <f t="shared" si="0"/>
        <v>0</v>
      </c>
      <c r="F14" s="47">
        <f t="shared" si="0"/>
        <v>0</v>
      </c>
      <c r="G14" s="47">
        <f t="shared" si="0"/>
        <v>0</v>
      </c>
      <c r="H14" s="47">
        <f t="shared" si="0"/>
        <v>0</v>
      </c>
      <c r="I14" s="47">
        <f t="shared" si="0"/>
        <v>0</v>
      </c>
      <c r="J14" s="179"/>
      <c r="K14" s="6"/>
      <c r="L14" s="6"/>
      <c r="M14" s="180"/>
      <c r="N14" s="6"/>
      <c r="O14" s="6"/>
      <c r="P14" s="6"/>
      <c r="Q14" s="6"/>
      <c r="R14" s="6"/>
    </row>
    <row r="15" spans="1:18" x14ac:dyDescent="0.2">
      <c r="A15" s="6"/>
      <c r="B15" s="6"/>
      <c r="C15" s="80" t="str">
        <f>TxPhase2PxTotal</f>
        <v/>
      </c>
      <c r="D15" s="47">
        <f t="shared" ref="D15:I15" si="1">IF(OR(ScriptSourceCode=1,ScriptSourceCode=3),IF(TPAll=0,D79+D115+D151+D187+D223+D259+D295+D331+D367+D403,0),0)</f>
        <v>0</v>
      </c>
      <c r="E15" s="47">
        <f t="shared" si="1"/>
        <v>0</v>
      </c>
      <c r="F15" s="47">
        <f t="shared" si="1"/>
        <v>0</v>
      </c>
      <c r="G15" s="47">
        <f t="shared" si="1"/>
        <v>0</v>
      </c>
      <c r="H15" s="47">
        <f t="shared" si="1"/>
        <v>0</v>
      </c>
      <c r="I15" s="47">
        <f t="shared" si="1"/>
        <v>0</v>
      </c>
      <c r="J15" s="179"/>
      <c r="K15" s="181"/>
      <c r="L15" s="181"/>
      <c r="M15" s="181"/>
      <c r="N15" s="181"/>
      <c r="O15" s="181"/>
      <c r="P15" s="181"/>
      <c r="Q15" s="6"/>
      <c r="R15" s="6"/>
    </row>
    <row r="16" spans="1:18" x14ac:dyDescent="0.2">
      <c r="A16" s="6"/>
      <c r="B16" s="6"/>
      <c r="C16" s="6"/>
      <c r="D16" s="182"/>
      <c r="E16" s="182"/>
      <c r="F16" s="182"/>
      <c r="G16" s="182"/>
      <c r="H16" s="182"/>
      <c r="I16" s="182"/>
      <c r="J16" s="179"/>
      <c r="K16" s="6"/>
      <c r="L16" s="6"/>
      <c r="M16" s="6"/>
      <c r="N16" s="6"/>
      <c r="O16" s="6"/>
      <c r="P16" s="6"/>
      <c r="Q16" s="6"/>
      <c r="R16" s="6"/>
    </row>
    <row r="17" spans="1:18" s="570" customFormat="1" outlineLevel="1" x14ac:dyDescent="0.2">
      <c r="A17" s="572"/>
      <c r="B17" s="572"/>
      <c r="C17" s="590" t="s">
        <v>864</v>
      </c>
      <c r="D17" s="184"/>
      <c r="E17" s="182"/>
      <c r="F17" s="182"/>
      <c r="G17" s="182"/>
      <c r="H17" s="182"/>
      <c r="I17" s="182"/>
      <c r="J17" s="247"/>
      <c r="K17" s="666">
        <f>IF(D17&lt;&gt;"",D17,0)</f>
        <v>0</v>
      </c>
      <c r="L17" s="572"/>
      <c r="M17" s="572"/>
      <c r="N17" s="572"/>
      <c r="O17" s="572"/>
      <c r="P17" s="572"/>
      <c r="Q17" s="572"/>
      <c r="R17" s="572"/>
    </row>
    <row r="18" spans="1:18" s="570" customFormat="1" outlineLevel="1" x14ac:dyDescent="0.2">
      <c r="A18" s="572"/>
      <c r="B18" s="572"/>
      <c r="C18" s="572"/>
      <c r="D18" s="182"/>
      <c r="E18" s="182"/>
      <c r="F18" s="182"/>
      <c r="G18" s="182"/>
      <c r="H18" s="182"/>
      <c r="I18" s="182"/>
      <c r="J18" s="593"/>
      <c r="K18" s="572"/>
      <c r="L18" s="572"/>
      <c r="M18" s="572"/>
      <c r="N18" s="572"/>
      <c r="O18" s="572"/>
      <c r="P18" s="572"/>
      <c r="Q18" s="572"/>
      <c r="R18" s="572"/>
    </row>
    <row r="19" spans="1:18" outlineLevel="1" x14ac:dyDescent="0.2">
      <c r="A19" s="6"/>
      <c r="B19" s="6"/>
      <c r="C19" s="183" t="str">
        <f>C14</f>
        <v/>
      </c>
      <c r="D19" s="182"/>
      <c r="E19" s="182"/>
      <c r="F19" s="182"/>
      <c r="G19" s="182"/>
      <c r="H19" s="182"/>
      <c r="I19" s="182"/>
      <c r="J19" s="179"/>
      <c r="K19" s="6"/>
      <c r="L19" s="6"/>
      <c r="M19" s="6"/>
      <c r="N19" s="6"/>
      <c r="O19" s="6"/>
      <c r="P19" s="6"/>
      <c r="Q19" s="6"/>
      <c r="R19" s="6"/>
    </row>
    <row r="20" spans="1:18" outlineLevel="1" x14ac:dyDescent="0.2">
      <c r="A20" s="6"/>
      <c r="B20" s="6"/>
      <c r="C20" s="122" t="s">
        <v>317</v>
      </c>
      <c r="D20" s="86">
        <f>D14</f>
        <v>0</v>
      </c>
      <c r="E20" s="86">
        <f>D20*$K$17</f>
        <v>0</v>
      </c>
      <c r="F20" s="86">
        <f t="shared" ref="F20:I24" si="2">E20*$K$17</f>
        <v>0</v>
      </c>
      <c r="G20" s="86">
        <f t="shared" si="2"/>
        <v>0</v>
      </c>
      <c r="H20" s="86">
        <f t="shared" si="2"/>
        <v>0</v>
      </c>
      <c r="I20" s="86">
        <f t="shared" si="2"/>
        <v>0</v>
      </c>
      <c r="J20" s="179"/>
      <c r="K20" s="6"/>
      <c r="L20" s="6"/>
      <c r="M20" s="6"/>
      <c r="N20" s="6"/>
      <c r="O20" s="6"/>
      <c r="P20" s="6"/>
      <c r="Q20" s="6"/>
      <c r="R20" s="6"/>
    </row>
    <row r="21" spans="1:18" outlineLevel="1" x14ac:dyDescent="0.2">
      <c r="A21" s="6"/>
      <c r="B21" s="6"/>
      <c r="C21" s="122" t="s">
        <v>318</v>
      </c>
      <c r="D21" s="185"/>
      <c r="E21" s="86">
        <f>E14</f>
        <v>0</v>
      </c>
      <c r="F21" s="86">
        <f t="shared" si="2"/>
        <v>0</v>
      </c>
      <c r="G21" s="86">
        <f t="shared" si="2"/>
        <v>0</v>
      </c>
      <c r="H21" s="86">
        <f t="shared" si="2"/>
        <v>0</v>
      </c>
      <c r="I21" s="86">
        <f t="shared" si="2"/>
        <v>0</v>
      </c>
      <c r="J21" s="179"/>
      <c r="K21" s="6"/>
      <c r="L21" s="6"/>
      <c r="M21" s="6"/>
      <c r="N21" s="6"/>
      <c r="O21" s="6"/>
      <c r="P21" s="6"/>
      <c r="Q21" s="6"/>
      <c r="R21" s="6"/>
    </row>
    <row r="22" spans="1:18" outlineLevel="1" x14ac:dyDescent="0.2">
      <c r="A22" s="6"/>
      <c r="B22" s="6"/>
      <c r="C22" s="122" t="s">
        <v>319</v>
      </c>
      <c r="D22" s="185"/>
      <c r="E22" s="185"/>
      <c r="F22" s="86">
        <f>F14</f>
        <v>0</v>
      </c>
      <c r="G22" s="86">
        <f t="shared" si="2"/>
        <v>0</v>
      </c>
      <c r="H22" s="86">
        <f t="shared" si="2"/>
        <v>0</v>
      </c>
      <c r="I22" s="86">
        <f t="shared" si="2"/>
        <v>0</v>
      </c>
      <c r="J22" s="179"/>
      <c r="K22" s="6"/>
      <c r="L22" s="6"/>
      <c r="M22" s="6"/>
      <c r="N22" s="6"/>
      <c r="O22" s="6"/>
      <c r="P22" s="6"/>
      <c r="Q22" s="6"/>
      <c r="R22" s="6"/>
    </row>
    <row r="23" spans="1:18" outlineLevel="1" x14ac:dyDescent="0.2">
      <c r="A23" s="6"/>
      <c r="B23" s="6"/>
      <c r="C23" s="122" t="s">
        <v>320</v>
      </c>
      <c r="D23" s="185"/>
      <c r="E23" s="185"/>
      <c r="F23" s="185"/>
      <c r="G23" s="86">
        <f>G14</f>
        <v>0</v>
      </c>
      <c r="H23" s="86">
        <f t="shared" si="2"/>
        <v>0</v>
      </c>
      <c r="I23" s="86">
        <f t="shared" si="2"/>
        <v>0</v>
      </c>
      <c r="J23" s="179"/>
      <c r="K23" s="6"/>
      <c r="L23" s="6"/>
      <c r="M23" s="6"/>
      <c r="N23" s="6"/>
      <c r="O23" s="6"/>
      <c r="P23" s="6"/>
      <c r="Q23" s="6"/>
      <c r="R23" s="6"/>
    </row>
    <row r="24" spans="1:18" outlineLevel="1" x14ac:dyDescent="0.2">
      <c r="A24" s="6"/>
      <c r="B24" s="6"/>
      <c r="C24" s="122" t="s">
        <v>321</v>
      </c>
      <c r="D24" s="185"/>
      <c r="E24" s="185"/>
      <c r="F24" s="185"/>
      <c r="G24" s="185"/>
      <c r="H24" s="86">
        <f>H14</f>
        <v>0</v>
      </c>
      <c r="I24" s="86">
        <f t="shared" si="2"/>
        <v>0</v>
      </c>
      <c r="J24" s="179"/>
      <c r="K24" s="6"/>
      <c r="L24" s="6"/>
      <c r="M24" s="6"/>
      <c r="N24" s="6"/>
      <c r="O24" s="6"/>
      <c r="P24" s="6"/>
      <c r="Q24" s="6"/>
      <c r="R24" s="6"/>
    </row>
    <row r="25" spans="1:18" outlineLevel="1" x14ac:dyDescent="0.2">
      <c r="A25" s="6"/>
      <c r="B25" s="6"/>
      <c r="C25" s="122" t="s">
        <v>322</v>
      </c>
      <c r="D25" s="185"/>
      <c r="E25" s="185"/>
      <c r="F25" s="185"/>
      <c r="G25" s="185"/>
      <c r="H25" s="185"/>
      <c r="I25" s="86">
        <f>I14</f>
        <v>0</v>
      </c>
      <c r="J25" s="179"/>
      <c r="K25" s="6"/>
      <c r="L25" s="6"/>
      <c r="M25" s="6"/>
      <c r="N25" s="6"/>
      <c r="O25" s="6"/>
      <c r="P25" s="6"/>
      <c r="Q25" s="6"/>
      <c r="R25" s="6"/>
    </row>
    <row r="26" spans="1:18" outlineLevel="1" x14ac:dyDescent="0.2">
      <c r="A26" s="6"/>
      <c r="B26" s="6"/>
      <c r="C26" s="122" t="s">
        <v>76</v>
      </c>
      <c r="D26" s="186">
        <f t="shared" ref="D26:I26" si="3">SUM(D20:D25)</f>
        <v>0</v>
      </c>
      <c r="E26" s="186">
        <f t="shared" si="3"/>
        <v>0</v>
      </c>
      <c r="F26" s="186">
        <f t="shared" si="3"/>
        <v>0</v>
      </c>
      <c r="G26" s="186">
        <f t="shared" si="3"/>
        <v>0</v>
      </c>
      <c r="H26" s="186">
        <f t="shared" si="3"/>
        <v>0</v>
      </c>
      <c r="I26" s="186">
        <f t="shared" si="3"/>
        <v>0</v>
      </c>
      <c r="J26" s="179"/>
      <c r="K26" s="6"/>
      <c r="L26" s="6"/>
      <c r="M26" s="6"/>
      <c r="N26" s="6"/>
      <c r="O26" s="6"/>
      <c r="P26" s="6"/>
      <c r="Q26" s="6"/>
      <c r="R26" s="6"/>
    </row>
    <row r="27" spans="1:18" x14ac:dyDescent="0.2">
      <c r="A27" s="6"/>
      <c r="B27" s="6"/>
      <c r="C27" s="6"/>
      <c r="D27" s="182"/>
      <c r="E27" s="182"/>
      <c r="F27" s="182"/>
      <c r="G27" s="182"/>
      <c r="H27" s="182"/>
      <c r="I27" s="182"/>
      <c r="J27" s="179"/>
      <c r="K27" s="6"/>
      <c r="L27" s="6"/>
      <c r="M27" s="6"/>
      <c r="N27" s="6"/>
      <c r="O27" s="6"/>
      <c r="P27" s="6"/>
      <c r="Q27" s="6"/>
      <c r="R27" s="6"/>
    </row>
    <row r="28" spans="1:18" s="570" customFormat="1" outlineLevel="1" x14ac:dyDescent="0.2">
      <c r="A28" s="572"/>
      <c r="B28" s="572"/>
      <c r="C28" s="590" t="s">
        <v>864</v>
      </c>
      <c r="D28" s="184"/>
      <c r="E28" s="182"/>
      <c r="F28" s="182"/>
      <c r="G28" s="182"/>
      <c r="H28" s="182"/>
      <c r="I28" s="182"/>
      <c r="J28" s="593"/>
      <c r="K28" s="666">
        <f>IF(D28&lt;&gt;"",D28,0)</f>
        <v>0</v>
      </c>
      <c r="L28" s="572"/>
      <c r="M28" s="572"/>
      <c r="N28" s="572"/>
      <c r="O28" s="572"/>
      <c r="P28" s="572"/>
      <c r="Q28" s="572"/>
      <c r="R28" s="572"/>
    </row>
    <row r="29" spans="1:18" outlineLevel="1" x14ac:dyDescent="0.2">
      <c r="A29" s="6"/>
      <c r="B29" s="6"/>
      <c r="C29" s="183"/>
      <c r="D29" s="182"/>
      <c r="E29" s="182"/>
      <c r="F29" s="182"/>
      <c r="G29" s="182"/>
      <c r="H29" s="182"/>
      <c r="I29" s="182"/>
      <c r="J29" s="179"/>
      <c r="K29" s="6"/>
      <c r="L29" s="6"/>
      <c r="M29" s="6"/>
      <c r="N29" s="6"/>
      <c r="O29" s="6"/>
      <c r="P29" s="6"/>
      <c r="Q29" s="6"/>
      <c r="R29" s="6"/>
    </row>
    <row r="30" spans="1:18" outlineLevel="1" x14ac:dyDescent="0.2">
      <c r="A30" s="6"/>
      <c r="B30" s="6"/>
      <c r="C30" s="183" t="str">
        <f>C15</f>
        <v/>
      </c>
      <c r="D30" s="182"/>
      <c r="E30" s="182"/>
      <c r="F30" s="182"/>
      <c r="G30" s="182"/>
      <c r="H30" s="182"/>
      <c r="I30" s="182"/>
      <c r="J30" s="179"/>
      <c r="K30" s="6"/>
      <c r="L30" s="6"/>
      <c r="M30" s="6"/>
      <c r="N30" s="6"/>
      <c r="O30" s="6"/>
      <c r="P30" s="6"/>
      <c r="Q30" s="6"/>
      <c r="R30" s="6"/>
    </row>
    <row r="31" spans="1:18" outlineLevel="1" x14ac:dyDescent="0.2">
      <c r="A31" s="6"/>
      <c r="B31" s="6"/>
      <c r="C31" s="122" t="s">
        <v>317</v>
      </c>
      <c r="D31" s="86">
        <f>D15</f>
        <v>0</v>
      </c>
      <c r="E31" s="86">
        <f>D31*$K$28</f>
        <v>0</v>
      </c>
      <c r="F31" s="86">
        <f t="shared" ref="F31:I31" si="4">E31*$K$28</f>
        <v>0</v>
      </c>
      <c r="G31" s="86">
        <f t="shared" si="4"/>
        <v>0</v>
      </c>
      <c r="H31" s="86">
        <f t="shared" si="4"/>
        <v>0</v>
      </c>
      <c r="I31" s="86">
        <f t="shared" si="4"/>
        <v>0</v>
      </c>
      <c r="J31" s="179"/>
      <c r="K31" s="6"/>
      <c r="L31" s="6"/>
      <c r="M31" s="6"/>
      <c r="N31" s="6"/>
      <c r="O31" s="6"/>
      <c r="P31" s="6"/>
      <c r="Q31" s="6"/>
      <c r="R31" s="6"/>
    </row>
    <row r="32" spans="1:18" outlineLevel="1" x14ac:dyDescent="0.2">
      <c r="A32" s="6"/>
      <c r="B32" s="6"/>
      <c r="C32" s="122" t="s">
        <v>318</v>
      </c>
      <c r="D32" s="185"/>
      <c r="E32" s="86">
        <f>E15</f>
        <v>0</v>
      </c>
      <c r="F32" s="86">
        <f>E32*$K$28</f>
        <v>0</v>
      </c>
      <c r="G32" s="86">
        <f t="shared" ref="G32:I32" si="5">F32*$K$28</f>
        <v>0</v>
      </c>
      <c r="H32" s="86">
        <f t="shared" si="5"/>
        <v>0</v>
      </c>
      <c r="I32" s="86">
        <f t="shared" si="5"/>
        <v>0</v>
      </c>
      <c r="J32" s="179"/>
      <c r="K32" s="6"/>
      <c r="L32" s="6"/>
      <c r="M32" s="6"/>
      <c r="N32" s="6"/>
      <c r="O32" s="6"/>
      <c r="P32" s="6"/>
      <c r="Q32" s="6"/>
      <c r="R32" s="6"/>
    </row>
    <row r="33" spans="1:18" outlineLevel="1" x14ac:dyDescent="0.2">
      <c r="A33" s="6"/>
      <c r="B33" s="6"/>
      <c r="C33" s="122" t="s">
        <v>319</v>
      </c>
      <c r="D33" s="185"/>
      <c r="E33" s="185"/>
      <c r="F33" s="86">
        <f>F15</f>
        <v>0</v>
      </c>
      <c r="G33" s="86">
        <f>F33*$K$28</f>
        <v>0</v>
      </c>
      <c r="H33" s="86">
        <f t="shared" ref="H33:I33" si="6">G33*$K$28</f>
        <v>0</v>
      </c>
      <c r="I33" s="86">
        <f t="shared" si="6"/>
        <v>0</v>
      </c>
      <c r="J33" s="179"/>
      <c r="K33" s="6"/>
      <c r="L33" s="6"/>
      <c r="M33" s="6"/>
      <c r="N33" s="6"/>
      <c r="O33" s="6"/>
      <c r="P33" s="6"/>
      <c r="Q33" s="6"/>
      <c r="R33" s="6"/>
    </row>
    <row r="34" spans="1:18" outlineLevel="1" x14ac:dyDescent="0.2">
      <c r="A34" s="6"/>
      <c r="B34" s="6"/>
      <c r="C34" s="122" t="s">
        <v>320</v>
      </c>
      <c r="D34" s="185"/>
      <c r="E34" s="185"/>
      <c r="F34" s="185"/>
      <c r="G34" s="86">
        <f>G15</f>
        <v>0</v>
      </c>
      <c r="H34" s="86">
        <f>G34*$K$28</f>
        <v>0</v>
      </c>
      <c r="I34" s="86">
        <f>H34*$K$28</f>
        <v>0</v>
      </c>
      <c r="J34" s="179"/>
      <c r="K34" s="6"/>
      <c r="L34" s="6"/>
      <c r="M34" s="6"/>
      <c r="N34" s="6"/>
      <c r="O34" s="6"/>
      <c r="P34" s="6"/>
      <c r="Q34" s="6"/>
      <c r="R34" s="6"/>
    </row>
    <row r="35" spans="1:18" outlineLevel="1" x14ac:dyDescent="0.2">
      <c r="A35" s="6"/>
      <c r="B35" s="6"/>
      <c r="C35" s="122" t="s">
        <v>321</v>
      </c>
      <c r="D35" s="185"/>
      <c r="E35" s="185"/>
      <c r="F35" s="185"/>
      <c r="G35" s="185"/>
      <c r="H35" s="86">
        <f>H15</f>
        <v>0</v>
      </c>
      <c r="I35" s="86">
        <f>H35*$K$28</f>
        <v>0</v>
      </c>
      <c r="J35" s="179"/>
      <c r="K35" s="6"/>
      <c r="L35" s="6"/>
      <c r="M35" s="6"/>
      <c r="N35" s="6"/>
      <c r="O35" s="6"/>
      <c r="P35" s="6"/>
      <c r="Q35" s="6"/>
      <c r="R35" s="6"/>
    </row>
    <row r="36" spans="1:18" outlineLevel="1" x14ac:dyDescent="0.2">
      <c r="A36" s="6"/>
      <c r="B36" s="6"/>
      <c r="C36" s="122" t="s">
        <v>322</v>
      </c>
      <c r="D36" s="185"/>
      <c r="E36" s="185"/>
      <c r="F36" s="185"/>
      <c r="G36" s="185"/>
      <c r="H36" s="185"/>
      <c r="I36" s="86">
        <f>I15</f>
        <v>0</v>
      </c>
      <c r="J36" s="179"/>
      <c r="K36" s="6"/>
      <c r="L36" s="6"/>
      <c r="M36" s="6"/>
      <c r="N36" s="6"/>
      <c r="O36" s="6"/>
      <c r="P36" s="6"/>
      <c r="Q36" s="6"/>
      <c r="R36" s="6"/>
    </row>
    <row r="37" spans="1:18" outlineLevel="1" x14ac:dyDescent="0.2">
      <c r="A37" s="6"/>
      <c r="B37" s="6"/>
      <c r="C37" s="122" t="s">
        <v>76</v>
      </c>
      <c r="D37" s="186">
        <f t="shared" ref="D37:I37" si="7">SUM(D31:D36)</f>
        <v>0</v>
      </c>
      <c r="E37" s="186">
        <f t="shared" si="7"/>
        <v>0</v>
      </c>
      <c r="F37" s="186">
        <f t="shared" si="7"/>
        <v>0</v>
      </c>
      <c r="G37" s="186">
        <f t="shared" si="7"/>
        <v>0</v>
      </c>
      <c r="H37" s="186">
        <f t="shared" si="7"/>
        <v>0</v>
      </c>
      <c r="I37" s="186">
        <f t="shared" si="7"/>
        <v>0</v>
      </c>
      <c r="J37" s="179"/>
      <c r="K37" s="6"/>
      <c r="L37" s="6"/>
      <c r="M37" s="6"/>
      <c r="N37" s="6"/>
      <c r="O37" s="6"/>
      <c r="P37" s="6"/>
      <c r="Q37" s="6"/>
      <c r="R37" s="6"/>
    </row>
    <row r="38" spans="1:18" outlineLevel="1" x14ac:dyDescent="0.2">
      <c r="A38" s="6"/>
      <c r="B38" s="6"/>
      <c r="C38" s="6"/>
      <c r="D38" s="182"/>
      <c r="E38" s="182"/>
      <c r="F38" s="182"/>
      <c r="G38" s="182"/>
      <c r="H38" s="182"/>
      <c r="I38" s="182"/>
      <c r="J38" s="179"/>
      <c r="K38" s="6"/>
      <c r="L38" s="6"/>
      <c r="M38" s="6"/>
      <c r="N38" s="6"/>
      <c r="O38" s="6"/>
      <c r="P38" s="6"/>
      <c r="Q38" s="6"/>
      <c r="R38" s="6"/>
    </row>
    <row r="39" spans="1:18" x14ac:dyDescent="0.2">
      <c r="A39" s="6"/>
      <c r="B39" s="6"/>
      <c r="C39" s="6" t="s">
        <v>297</v>
      </c>
      <c r="D39" s="6"/>
      <c r="E39" s="6"/>
      <c r="F39" s="6"/>
      <c r="G39" s="6"/>
      <c r="H39" s="6"/>
      <c r="I39" s="6"/>
      <c r="J39" s="179"/>
      <c r="K39" s="6"/>
      <c r="L39" s="6"/>
      <c r="M39" s="6"/>
      <c r="N39" s="6"/>
      <c r="O39" s="6"/>
      <c r="P39" s="6"/>
      <c r="Q39" s="6"/>
      <c r="R39" s="6"/>
    </row>
    <row r="40" spans="1:18" x14ac:dyDescent="0.2">
      <c r="A40" s="6"/>
      <c r="B40" s="6"/>
      <c r="C40" s="6"/>
      <c r="D40" s="6"/>
      <c r="E40" s="6"/>
      <c r="F40" s="6"/>
      <c r="G40" s="6"/>
      <c r="H40" s="6"/>
      <c r="I40" s="6"/>
      <c r="J40" s="179"/>
      <c r="K40" s="6"/>
      <c r="L40" s="6"/>
      <c r="M40" s="6"/>
      <c r="N40" s="6"/>
      <c r="O40" s="6"/>
      <c r="P40" s="6"/>
      <c r="Q40" s="6"/>
      <c r="R40" s="6"/>
    </row>
    <row r="41" spans="1:18" x14ac:dyDescent="0.2">
      <c r="A41" s="6"/>
      <c r="B41" s="6"/>
      <c r="C41" s="155"/>
      <c r="D41" s="112">
        <f>FirstYear</f>
        <v>0</v>
      </c>
      <c r="E41" s="112">
        <f>D41+1</f>
        <v>1</v>
      </c>
      <c r="F41" s="112">
        <f>E41+1</f>
        <v>2</v>
      </c>
      <c r="G41" s="112">
        <f>F41+1</f>
        <v>3</v>
      </c>
      <c r="H41" s="112">
        <f>G41+1</f>
        <v>4</v>
      </c>
      <c r="I41" s="112">
        <f>H41+1</f>
        <v>5</v>
      </c>
      <c r="J41" s="179"/>
      <c r="K41" s="6"/>
      <c r="L41" s="6"/>
      <c r="M41" s="6"/>
      <c r="N41" s="6"/>
      <c r="O41" s="6"/>
      <c r="P41" s="6"/>
      <c r="Q41" s="6"/>
      <c r="R41" s="6"/>
    </row>
    <row r="42" spans="1:18" x14ac:dyDescent="0.2">
      <c r="A42" s="6"/>
      <c r="B42" s="6"/>
      <c r="C42" s="80" t="str">
        <f>C14</f>
        <v/>
      </c>
      <c r="D42" s="47">
        <f t="shared" ref="D42:I42" si="8">IF(OR(ScriptSourceCode=1,ScriptSourceCode=3),D26,0)</f>
        <v>0</v>
      </c>
      <c r="E42" s="47">
        <f t="shared" si="8"/>
        <v>0</v>
      </c>
      <c r="F42" s="47">
        <f t="shared" si="8"/>
        <v>0</v>
      </c>
      <c r="G42" s="47">
        <f t="shared" si="8"/>
        <v>0</v>
      </c>
      <c r="H42" s="47">
        <f t="shared" si="8"/>
        <v>0</v>
      </c>
      <c r="I42" s="47">
        <f t="shared" si="8"/>
        <v>0</v>
      </c>
      <c r="J42" s="179"/>
      <c r="K42" s="6"/>
      <c r="L42" s="6"/>
      <c r="M42" s="6"/>
      <c r="N42" s="6"/>
      <c r="O42" s="6"/>
      <c r="P42" s="6"/>
      <c r="Q42" s="6"/>
      <c r="R42" s="6"/>
    </row>
    <row r="43" spans="1:18" x14ac:dyDescent="0.2">
      <c r="A43" s="6"/>
      <c r="B43" s="6"/>
      <c r="C43" s="80" t="str">
        <f>C15</f>
        <v/>
      </c>
      <c r="D43" s="47">
        <f t="shared" ref="D43:I43" si="9">IF(OR(ScriptSourceCode=1,ScriptSourceCode=3),IF(TPAll=0,D37,0),0)</f>
        <v>0</v>
      </c>
      <c r="E43" s="47">
        <f t="shared" si="9"/>
        <v>0</v>
      </c>
      <c r="F43" s="47">
        <f t="shared" si="9"/>
        <v>0</v>
      </c>
      <c r="G43" s="47">
        <f t="shared" si="9"/>
        <v>0</v>
      </c>
      <c r="H43" s="47">
        <f t="shared" si="9"/>
        <v>0</v>
      </c>
      <c r="I43" s="47">
        <f t="shared" si="9"/>
        <v>0</v>
      </c>
      <c r="J43" s="179"/>
      <c r="K43" s="6"/>
      <c r="L43" s="6"/>
      <c r="M43" s="6"/>
      <c r="N43" s="6"/>
      <c r="O43" s="6"/>
      <c r="P43" s="6"/>
      <c r="Q43" s="6"/>
      <c r="R43" s="6"/>
    </row>
    <row r="44" spans="1:18" x14ac:dyDescent="0.2">
      <c r="A44" s="6"/>
      <c r="B44" s="6"/>
      <c r="C44" s="6"/>
      <c r="D44" s="182"/>
      <c r="E44" s="182"/>
      <c r="F44" s="182"/>
      <c r="G44" s="182"/>
      <c r="H44" s="182"/>
      <c r="I44" s="182"/>
      <c r="J44" s="179"/>
      <c r="K44" s="6"/>
      <c r="L44" s="6"/>
      <c r="M44" s="6"/>
      <c r="N44" s="6"/>
      <c r="O44" s="6"/>
      <c r="P44" s="6"/>
      <c r="Q44" s="6"/>
      <c r="R44" s="6"/>
    </row>
    <row r="45" spans="1:18" x14ac:dyDescent="0.2">
      <c r="A45" s="6"/>
      <c r="B45" s="6"/>
      <c r="C45" s="6"/>
      <c r="D45" s="6"/>
      <c r="E45" s="6"/>
      <c r="F45" s="6"/>
      <c r="G45" s="6"/>
      <c r="H45" s="6"/>
      <c r="I45" s="6"/>
      <c r="J45" s="179"/>
      <c r="K45" s="6"/>
      <c r="L45" s="6"/>
      <c r="M45" s="6"/>
      <c r="N45" s="6"/>
      <c r="O45" s="6"/>
      <c r="P45" s="6"/>
      <c r="Q45" s="6"/>
      <c r="R45" s="6"/>
    </row>
    <row r="46" spans="1:18" ht="15.75" x14ac:dyDescent="0.2">
      <c r="A46" s="187"/>
      <c r="B46" s="187"/>
      <c r="C46" s="174" t="s">
        <v>998</v>
      </c>
      <c r="D46" s="188"/>
      <c r="E46" s="188"/>
      <c r="F46" s="188"/>
      <c r="G46" s="188"/>
      <c r="H46" s="189"/>
      <c r="I46" s="189"/>
      <c r="J46" s="189"/>
      <c r="K46" s="189"/>
      <c r="L46" s="189"/>
      <c r="M46" s="189"/>
      <c r="N46" s="189"/>
      <c r="O46" s="189"/>
      <c r="P46" s="189"/>
      <c r="Q46" s="189"/>
      <c r="R46" s="189"/>
    </row>
    <row r="47" spans="1:18" x14ac:dyDescent="0.2">
      <c r="A47" s="179"/>
      <c r="B47" s="179"/>
      <c r="C47" s="179"/>
      <c r="D47" s="179"/>
      <c r="E47" s="179"/>
      <c r="F47" s="179"/>
      <c r="G47" s="179"/>
      <c r="H47" s="179"/>
      <c r="I47" s="179"/>
      <c r="J47" s="179"/>
      <c r="K47" s="179"/>
      <c r="L47" s="179"/>
      <c r="M47" s="179"/>
      <c r="N47" s="179"/>
      <c r="O47" s="179"/>
      <c r="P47" s="179"/>
      <c r="Q47" s="179"/>
      <c r="R47" s="179"/>
    </row>
    <row r="48" spans="1:18" ht="15.75" x14ac:dyDescent="0.2">
      <c r="A48" s="104"/>
      <c r="B48" s="190">
        <v>1</v>
      </c>
      <c r="C48" s="110" t="str">
        <f>IF(D52&lt;&gt;"",CONCATENATE("Incident ",B48,": ",F52,I48),MsgNotUsed)</f>
        <v>** NOT USED **</v>
      </c>
      <c r="D48" s="188"/>
      <c r="E48" s="188"/>
      <c r="F48" s="188"/>
      <c r="G48" s="188"/>
      <c r="H48" s="191"/>
      <c r="I48" s="455" t="str">
        <f>IF(R52&lt;&gt;"",CONCATENATE(" (",R52,")"),"")</f>
        <v/>
      </c>
      <c r="J48" s="187"/>
      <c r="K48" s="104"/>
      <c r="L48" s="104"/>
      <c r="M48" s="104"/>
      <c r="N48" s="104"/>
      <c r="O48" s="104"/>
      <c r="P48" s="104"/>
      <c r="Q48" s="189"/>
      <c r="R48" s="189"/>
    </row>
    <row r="49" spans="1:18" outlineLevel="1" x14ac:dyDescent="0.2">
      <c r="A49" s="199"/>
      <c r="B49" s="199"/>
      <c r="C49" s="195"/>
      <c r="D49" s="199"/>
      <c r="E49" s="199"/>
      <c r="F49" s="599"/>
      <c r="G49" s="599"/>
      <c r="H49" s="599"/>
      <c r="I49" s="599"/>
      <c r="J49" s="599"/>
      <c r="K49" s="599"/>
      <c r="L49" s="599"/>
      <c r="M49" s="599"/>
      <c r="N49" s="599"/>
      <c r="O49" s="599"/>
      <c r="P49" s="599"/>
      <c r="Q49" s="599"/>
      <c r="R49" s="599"/>
    </row>
    <row r="50" spans="1:18" outlineLevel="1" x14ac:dyDescent="0.2">
      <c r="A50" s="199"/>
      <c r="B50" s="199"/>
      <c r="C50" s="502" t="s">
        <v>913</v>
      </c>
      <c r="D50" s="199"/>
      <c r="E50" s="199"/>
      <c r="G50" s="770" t="str">
        <f>IF(D52=INDEX(EPISource,4),MsgNote &amp; VLOOKUP("PrevInc",WarningMessages,2,FALSE),"")</f>
        <v/>
      </c>
      <c r="H50" s="770"/>
      <c r="I50" s="770"/>
      <c r="J50" s="382"/>
      <c r="K50" s="247"/>
      <c r="L50" s="247"/>
      <c r="M50" s="247"/>
      <c r="N50" s="247"/>
      <c r="O50" s="247"/>
      <c r="P50" s="247"/>
      <c r="Q50" s="199"/>
      <c r="R50" s="670" t="str">
        <f ca="1">IF(ISERROR($M73)=TRUE,MsgError &amp; VLOOKUP("BadPop",ErrorMessages,2,FALSE),"")</f>
        <v/>
      </c>
    </row>
    <row r="51" spans="1:18" outlineLevel="1" x14ac:dyDescent="0.2">
      <c r="A51" s="199"/>
      <c r="B51" s="199"/>
      <c r="C51" s="195"/>
      <c r="D51" s="199"/>
      <c r="E51" s="199"/>
      <c r="F51" s="199"/>
      <c r="G51" s="199"/>
      <c r="H51" s="199"/>
      <c r="I51" s="199"/>
      <c r="J51" s="382"/>
      <c r="K51" s="247"/>
      <c r="L51" s="247"/>
      <c r="M51" s="247"/>
      <c r="N51" s="247"/>
      <c r="O51" s="247"/>
      <c r="P51" s="247"/>
      <c r="Q51" s="199"/>
      <c r="R51" s="19" t="s">
        <v>470</v>
      </c>
    </row>
    <row r="52" spans="1:18" outlineLevel="1" x14ac:dyDescent="0.2">
      <c r="A52" s="199"/>
      <c r="B52" s="199"/>
      <c r="C52" s="22" t="s">
        <v>131</v>
      </c>
      <c r="D52" s="549"/>
      <c r="E52" s="194"/>
      <c r="F52" s="774"/>
      <c r="G52" s="775"/>
      <c r="H52" s="775"/>
      <c r="I52" s="775"/>
      <c r="J52" s="382"/>
      <c r="K52" s="247"/>
      <c r="L52" s="247"/>
      <c r="M52" s="247"/>
      <c r="N52" s="247"/>
      <c r="O52" s="247"/>
      <c r="P52" s="247"/>
      <c r="Q52" s="199"/>
      <c r="R52" s="388"/>
    </row>
    <row r="53" spans="1:18" outlineLevel="1" x14ac:dyDescent="0.2">
      <c r="A53" s="199"/>
      <c r="B53" s="199"/>
      <c r="C53" s="195"/>
      <c r="D53" s="600">
        <v>1</v>
      </c>
      <c r="E53" s="600">
        <v>2</v>
      </c>
      <c r="F53" s="600">
        <v>3</v>
      </c>
      <c r="G53" s="600">
        <v>4</v>
      </c>
      <c r="H53" s="600">
        <v>5</v>
      </c>
      <c r="I53" s="600">
        <v>6</v>
      </c>
      <c r="J53" s="382"/>
      <c r="K53" s="247"/>
      <c r="L53" s="247"/>
      <c r="M53" s="247"/>
      <c r="N53" s="247"/>
      <c r="O53" s="247"/>
      <c r="P53" s="247"/>
      <c r="Q53" s="199"/>
      <c r="R53" s="199"/>
    </row>
    <row r="54" spans="1:18" ht="15" customHeight="1" outlineLevel="1" x14ac:dyDescent="0.2">
      <c r="A54" s="199"/>
      <c r="B54" s="199"/>
      <c r="C54" s="195"/>
      <c r="D54" s="776" t="s">
        <v>11</v>
      </c>
      <c r="E54" s="776"/>
      <c r="F54" s="776"/>
      <c r="G54" s="776"/>
      <c r="H54" s="776"/>
      <c r="I54" s="776"/>
      <c r="J54" s="382"/>
      <c r="K54" s="247"/>
      <c r="L54" s="247"/>
      <c r="M54" s="247"/>
      <c r="N54" s="247"/>
      <c r="O54" s="247"/>
      <c r="P54" s="247"/>
      <c r="Q54" s="199"/>
      <c r="R54" s="502"/>
    </row>
    <row r="55" spans="1:18" outlineLevel="1" x14ac:dyDescent="0.2">
      <c r="A55" s="199"/>
      <c r="B55" s="199"/>
      <c r="C55" s="7"/>
      <c r="D55" s="550">
        <f>FirstYear</f>
        <v>0</v>
      </c>
      <c r="E55" s="550">
        <f>D55+1</f>
        <v>1</v>
      </c>
      <c r="F55" s="550">
        <f>E55+1</f>
        <v>2</v>
      </c>
      <c r="G55" s="550">
        <f>F55+1</f>
        <v>3</v>
      </c>
      <c r="H55" s="550">
        <f>G55+1</f>
        <v>4</v>
      </c>
      <c r="I55" s="550">
        <f>H55+1</f>
        <v>5</v>
      </c>
      <c r="J55" s="382"/>
      <c r="K55" s="247"/>
      <c r="L55" s="247"/>
      <c r="M55" s="247"/>
      <c r="N55" s="247"/>
      <c r="O55" s="247"/>
      <c r="P55" s="247"/>
      <c r="Q55" s="199"/>
      <c r="R55" s="502"/>
    </row>
    <row r="56" spans="1:18" ht="12.75" customHeight="1" outlineLevel="1" x14ac:dyDescent="0.2">
      <c r="A56" s="502"/>
      <c r="B56" s="502"/>
      <c r="C56" s="552" t="s">
        <v>382</v>
      </c>
      <c r="D56" s="196">
        <f t="shared" ref="D56:I56" ca="1" si="10">IF(AND(ISERROR($M73)&lt;&gt;TRUE,$F52&lt;&gt;""),INDEX(PxPopNumbers,$M73,D53),0)</f>
        <v>0</v>
      </c>
      <c r="E56" s="596">
        <f t="shared" ca="1" si="10"/>
        <v>0</v>
      </c>
      <c r="F56" s="596">
        <f t="shared" ca="1" si="10"/>
        <v>0</v>
      </c>
      <c r="G56" s="596">
        <f t="shared" ca="1" si="10"/>
        <v>0</v>
      </c>
      <c r="H56" s="596">
        <f t="shared" ca="1" si="10"/>
        <v>0</v>
      </c>
      <c r="I56" s="596">
        <f t="shared" ca="1" si="10"/>
        <v>0</v>
      </c>
      <c r="J56" s="382"/>
      <c r="K56" s="247"/>
      <c r="L56" s="247"/>
      <c r="M56" s="247"/>
      <c r="N56" s="247"/>
      <c r="O56" s="247"/>
      <c r="P56" s="247"/>
      <c r="Q56" s="195"/>
      <c r="R56" s="502"/>
    </row>
    <row r="57" spans="1:18" ht="12.75" customHeight="1" outlineLevel="1" x14ac:dyDescent="0.2">
      <c r="A57" s="382"/>
      <c r="B57" s="382"/>
      <c r="C57" s="382"/>
      <c r="D57" s="382"/>
      <c r="E57" s="382"/>
      <c r="F57" s="382"/>
      <c r="G57" s="382"/>
      <c r="H57" s="382"/>
      <c r="I57" s="382"/>
      <c r="J57" s="382"/>
      <c r="K57" s="247"/>
      <c r="L57" s="247"/>
      <c r="M57" s="247"/>
      <c r="N57" s="247"/>
      <c r="O57" s="247"/>
      <c r="P57" s="247"/>
      <c r="Q57" s="382"/>
      <c r="R57" s="382"/>
    </row>
    <row r="58" spans="1:18" ht="12.75" customHeight="1" outlineLevel="1" x14ac:dyDescent="0.2">
      <c r="A58" s="382"/>
      <c r="B58" s="382"/>
      <c r="C58" s="34" t="s">
        <v>238</v>
      </c>
      <c r="D58" s="382"/>
      <c r="E58" s="382"/>
      <c r="F58" s="382"/>
      <c r="G58" s="382"/>
      <c r="H58" s="382"/>
      <c r="I58" s="382"/>
      <c r="J58" s="382"/>
      <c r="K58" s="247"/>
      <c r="L58" s="247"/>
      <c r="M58" s="247"/>
      <c r="N58" s="247"/>
      <c r="O58" s="247"/>
      <c r="P58" s="247"/>
      <c r="Q58" s="382"/>
      <c r="R58" s="19" t="s">
        <v>292</v>
      </c>
    </row>
    <row r="59" spans="1:18" outlineLevel="1" x14ac:dyDescent="0.2">
      <c r="A59" s="502"/>
      <c r="B59" s="502"/>
      <c r="C59" s="589"/>
      <c r="D59" s="563"/>
      <c r="E59" s="563"/>
      <c r="F59" s="563"/>
      <c r="G59" s="563"/>
      <c r="H59" s="563"/>
      <c r="I59" s="563"/>
      <c r="J59" s="382"/>
      <c r="K59" s="61">
        <f t="shared" ref="K59:P68" si="11">IF(D59="",1,D59)</f>
        <v>1</v>
      </c>
      <c r="L59" s="61">
        <f t="shared" si="11"/>
        <v>1</v>
      </c>
      <c r="M59" s="61">
        <f t="shared" si="11"/>
        <v>1</v>
      </c>
      <c r="N59" s="61">
        <f t="shared" si="11"/>
        <v>1</v>
      </c>
      <c r="O59" s="61">
        <f t="shared" si="11"/>
        <v>1</v>
      </c>
      <c r="P59" s="61">
        <f t="shared" si="11"/>
        <v>1</v>
      </c>
      <c r="Q59" s="502"/>
      <c r="R59" s="589"/>
    </row>
    <row r="60" spans="1:18" outlineLevel="1" x14ac:dyDescent="0.2">
      <c r="A60" s="502"/>
      <c r="B60" s="502"/>
      <c r="C60" s="589"/>
      <c r="D60" s="564"/>
      <c r="E60" s="564"/>
      <c r="F60" s="564"/>
      <c r="G60" s="564"/>
      <c r="H60" s="564"/>
      <c r="I60" s="564"/>
      <c r="J60" s="382"/>
      <c r="K60" s="61">
        <f t="shared" si="11"/>
        <v>1</v>
      </c>
      <c r="L60" s="61">
        <f t="shared" si="11"/>
        <v>1</v>
      </c>
      <c r="M60" s="61">
        <f t="shared" si="11"/>
        <v>1</v>
      </c>
      <c r="N60" s="61">
        <f t="shared" si="11"/>
        <v>1</v>
      </c>
      <c r="O60" s="61">
        <f t="shared" si="11"/>
        <v>1</v>
      </c>
      <c r="P60" s="61">
        <f t="shared" si="11"/>
        <v>1</v>
      </c>
      <c r="Q60" s="502"/>
      <c r="R60" s="589"/>
    </row>
    <row r="61" spans="1:18" outlineLevel="1" x14ac:dyDescent="0.2">
      <c r="A61" s="502"/>
      <c r="B61" s="502"/>
      <c r="C61" s="589"/>
      <c r="D61" s="564"/>
      <c r="E61" s="564"/>
      <c r="F61" s="564"/>
      <c r="G61" s="564"/>
      <c r="H61" s="564"/>
      <c r="I61" s="564"/>
      <c r="J61" s="382"/>
      <c r="K61" s="61">
        <f t="shared" si="11"/>
        <v>1</v>
      </c>
      <c r="L61" s="61">
        <f t="shared" si="11"/>
        <v>1</v>
      </c>
      <c r="M61" s="61">
        <f t="shared" si="11"/>
        <v>1</v>
      </c>
      <c r="N61" s="61">
        <f t="shared" si="11"/>
        <v>1</v>
      </c>
      <c r="O61" s="61">
        <f t="shared" si="11"/>
        <v>1</v>
      </c>
      <c r="P61" s="61">
        <f t="shared" si="11"/>
        <v>1</v>
      </c>
      <c r="Q61" s="502"/>
      <c r="R61" s="589"/>
    </row>
    <row r="62" spans="1:18" ht="12.75" customHeight="1" outlineLevel="1" x14ac:dyDescent="0.2">
      <c r="A62" s="502"/>
      <c r="B62" s="502"/>
      <c r="C62" s="589"/>
      <c r="D62" s="564"/>
      <c r="E62" s="564"/>
      <c r="F62" s="564"/>
      <c r="G62" s="564"/>
      <c r="H62" s="564"/>
      <c r="I62" s="564"/>
      <c r="J62" s="382"/>
      <c r="K62" s="61">
        <f t="shared" si="11"/>
        <v>1</v>
      </c>
      <c r="L62" s="61">
        <f t="shared" si="11"/>
        <v>1</v>
      </c>
      <c r="M62" s="61">
        <f t="shared" si="11"/>
        <v>1</v>
      </c>
      <c r="N62" s="61">
        <f t="shared" si="11"/>
        <v>1</v>
      </c>
      <c r="O62" s="61">
        <f t="shared" si="11"/>
        <v>1</v>
      </c>
      <c r="P62" s="61">
        <f t="shared" si="11"/>
        <v>1</v>
      </c>
      <c r="Q62" s="502"/>
      <c r="R62" s="589"/>
    </row>
    <row r="63" spans="1:18" ht="12.75" customHeight="1" outlineLevel="1" x14ac:dyDescent="0.2">
      <c r="A63" s="502"/>
      <c r="B63" s="502"/>
      <c r="C63" s="589"/>
      <c r="D63" s="564"/>
      <c r="E63" s="564"/>
      <c r="F63" s="564"/>
      <c r="G63" s="564"/>
      <c r="H63" s="564"/>
      <c r="I63" s="564"/>
      <c r="J63" s="382"/>
      <c r="K63" s="61">
        <f t="shared" si="11"/>
        <v>1</v>
      </c>
      <c r="L63" s="61">
        <f t="shared" si="11"/>
        <v>1</v>
      </c>
      <c r="M63" s="61">
        <f t="shared" si="11"/>
        <v>1</v>
      </c>
      <c r="N63" s="61">
        <f t="shared" si="11"/>
        <v>1</v>
      </c>
      <c r="O63" s="61">
        <f t="shared" si="11"/>
        <v>1</v>
      </c>
      <c r="P63" s="61">
        <f t="shared" si="11"/>
        <v>1</v>
      </c>
      <c r="Q63" s="502"/>
      <c r="R63" s="589"/>
    </row>
    <row r="64" spans="1:18" ht="12.75" customHeight="1" outlineLevel="1" x14ac:dyDescent="0.2">
      <c r="A64" s="502"/>
      <c r="B64" s="502"/>
      <c r="C64" s="589"/>
      <c r="D64" s="564"/>
      <c r="E64" s="564"/>
      <c r="F64" s="564"/>
      <c r="G64" s="564"/>
      <c r="H64" s="564"/>
      <c r="I64" s="564"/>
      <c r="J64" s="382"/>
      <c r="K64" s="61">
        <f t="shared" si="11"/>
        <v>1</v>
      </c>
      <c r="L64" s="61">
        <f t="shared" si="11"/>
        <v>1</v>
      </c>
      <c r="M64" s="61">
        <f t="shared" si="11"/>
        <v>1</v>
      </c>
      <c r="N64" s="61">
        <f t="shared" si="11"/>
        <v>1</v>
      </c>
      <c r="O64" s="61">
        <f t="shared" si="11"/>
        <v>1</v>
      </c>
      <c r="P64" s="61">
        <f t="shared" si="11"/>
        <v>1</v>
      </c>
      <c r="Q64" s="502"/>
      <c r="R64" s="589"/>
    </row>
    <row r="65" spans="1:18" outlineLevel="1" x14ac:dyDescent="0.2">
      <c r="A65" s="502"/>
      <c r="B65" s="502"/>
      <c r="C65" s="589"/>
      <c r="D65" s="564"/>
      <c r="E65" s="564"/>
      <c r="F65" s="564"/>
      <c r="G65" s="564"/>
      <c r="H65" s="564"/>
      <c r="I65" s="564"/>
      <c r="J65" s="382"/>
      <c r="K65" s="61">
        <f t="shared" si="11"/>
        <v>1</v>
      </c>
      <c r="L65" s="61">
        <f t="shared" si="11"/>
        <v>1</v>
      </c>
      <c r="M65" s="61">
        <f t="shared" si="11"/>
        <v>1</v>
      </c>
      <c r="N65" s="61">
        <f t="shared" si="11"/>
        <v>1</v>
      </c>
      <c r="O65" s="61">
        <f t="shared" si="11"/>
        <v>1</v>
      </c>
      <c r="P65" s="61">
        <f t="shared" si="11"/>
        <v>1</v>
      </c>
      <c r="Q65" s="502"/>
      <c r="R65" s="589"/>
    </row>
    <row r="66" spans="1:18" outlineLevel="1" x14ac:dyDescent="0.2">
      <c r="A66" s="502"/>
      <c r="B66" s="502"/>
      <c r="C66" s="589"/>
      <c r="D66" s="564"/>
      <c r="E66" s="564"/>
      <c r="F66" s="564"/>
      <c r="G66" s="564"/>
      <c r="H66" s="564"/>
      <c r="I66" s="564"/>
      <c r="J66" s="382"/>
      <c r="K66" s="61">
        <f t="shared" si="11"/>
        <v>1</v>
      </c>
      <c r="L66" s="61">
        <f t="shared" si="11"/>
        <v>1</v>
      </c>
      <c r="M66" s="61">
        <f t="shared" si="11"/>
        <v>1</v>
      </c>
      <c r="N66" s="61">
        <f t="shared" si="11"/>
        <v>1</v>
      </c>
      <c r="O66" s="61">
        <f t="shared" si="11"/>
        <v>1</v>
      </c>
      <c r="P66" s="61">
        <f t="shared" si="11"/>
        <v>1</v>
      </c>
      <c r="Q66" s="502"/>
      <c r="R66" s="589"/>
    </row>
    <row r="67" spans="1:18" outlineLevel="1" x14ac:dyDescent="0.2">
      <c r="A67" s="502"/>
      <c r="B67" s="502"/>
      <c r="C67" s="589"/>
      <c r="D67" s="564"/>
      <c r="E67" s="564"/>
      <c r="F67" s="564"/>
      <c r="G67" s="564"/>
      <c r="H67" s="564"/>
      <c r="I67" s="564"/>
      <c r="J67" s="382"/>
      <c r="K67" s="61">
        <f t="shared" si="11"/>
        <v>1</v>
      </c>
      <c r="L67" s="61">
        <f t="shared" si="11"/>
        <v>1</v>
      </c>
      <c r="M67" s="61">
        <f t="shared" si="11"/>
        <v>1</v>
      </c>
      <c r="N67" s="61">
        <f t="shared" si="11"/>
        <v>1</v>
      </c>
      <c r="O67" s="61">
        <f t="shared" si="11"/>
        <v>1</v>
      </c>
      <c r="P67" s="61">
        <f t="shared" si="11"/>
        <v>1</v>
      </c>
      <c r="Q67" s="502"/>
      <c r="R67" s="589"/>
    </row>
    <row r="68" spans="1:18" outlineLevel="1" x14ac:dyDescent="0.2">
      <c r="A68" s="502"/>
      <c r="B68" s="502"/>
      <c r="C68" s="589"/>
      <c r="D68" s="564"/>
      <c r="E68" s="564"/>
      <c r="F68" s="564"/>
      <c r="G68" s="564"/>
      <c r="H68" s="564"/>
      <c r="I68" s="564"/>
      <c r="J68" s="382"/>
      <c r="K68" s="61">
        <f>IF(D68="",1,D68)</f>
        <v>1</v>
      </c>
      <c r="L68" s="61">
        <f t="shared" si="11"/>
        <v>1</v>
      </c>
      <c r="M68" s="61">
        <f t="shared" si="11"/>
        <v>1</v>
      </c>
      <c r="N68" s="61">
        <f t="shared" si="11"/>
        <v>1</v>
      </c>
      <c r="O68" s="61">
        <f t="shared" si="11"/>
        <v>1</v>
      </c>
      <c r="P68" s="61">
        <f t="shared" si="11"/>
        <v>1</v>
      </c>
      <c r="Q68" s="502"/>
      <c r="R68" s="589"/>
    </row>
    <row r="69" spans="1:18" outlineLevel="1" x14ac:dyDescent="0.2">
      <c r="A69" s="502"/>
      <c r="B69" s="502"/>
      <c r="C69" s="35" t="s">
        <v>246</v>
      </c>
      <c r="D69" s="565">
        <f t="shared" ref="D69:I69" si="12">K59*K60*K61*K62*K68*K63*K64*K65*K66*K67</f>
        <v>1</v>
      </c>
      <c r="E69" s="565">
        <f t="shared" si="12"/>
        <v>1</v>
      </c>
      <c r="F69" s="565">
        <f t="shared" si="12"/>
        <v>1</v>
      </c>
      <c r="G69" s="565">
        <f t="shared" si="12"/>
        <v>1</v>
      </c>
      <c r="H69" s="565">
        <f t="shared" si="12"/>
        <v>1</v>
      </c>
      <c r="I69" s="565">
        <f t="shared" si="12"/>
        <v>1</v>
      </c>
      <c r="J69" s="382"/>
      <c r="K69" s="502"/>
      <c r="L69" s="502"/>
      <c r="M69" s="264"/>
      <c r="N69" s="502"/>
      <c r="O69" s="502"/>
      <c r="P69" s="502"/>
      <c r="Q69" s="502"/>
      <c r="R69" s="502"/>
    </row>
    <row r="70" spans="1:18" outlineLevel="1" x14ac:dyDescent="0.2">
      <c r="A70" s="264"/>
      <c r="B70" s="264"/>
      <c r="C70" s="12" t="s">
        <v>108</v>
      </c>
      <c r="D70" s="410">
        <f t="shared" ref="D70:I70" ca="1" si="13">IF(ISNUMBER(D56),D56*D69,"")</f>
        <v>0</v>
      </c>
      <c r="E70" s="410">
        <f t="shared" ca="1" si="13"/>
        <v>0</v>
      </c>
      <c r="F70" s="410">
        <f t="shared" ca="1" si="13"/>
        <v>0</v>
      </c>
      <c r="G70" s="410">
        <f t="shared" ca="1" si="13"/>
        <v>0</v>
      </c>
      <c r="H70" s="410">
        <f t="shared" ca="1" si="13"/>
        <v>0</v>
      </c>
      <c r="I70" s="410">
        <f t="shared" ca="1" si="13"/>
        <v>0</v>
      </c>
      <c r="J70" s="382"/>
      <c r="K70" s="264"/>
      <c r="L70" s="502"/>
      <c r="M70" s="502"/>
      <c r="N70" s="502"/>
      <c r="O70" s="502"/>
      <c r="P70" s="502"/>
      <c r="Q70" s="502"/>
      <c r="R70" s="502"/>
    </row>
    <row r="71" spans="1:18" outlineLevel="1" x14ac:dyDescent="0.2">
      <c r="A71" s="382"/>
      <c r="B71" s="382"/>
      <c r="C71" s="382"/>
      <c r="D71" s="382"/>
      <c r="E71" s="382"/>
      <c r="F71" s="382"/>
      <c r="G71" s="382"/>
      <c r="H71" s="382"/>
      <c r="I71" s="382"/>
      <c r="J71" s="382"/>
      <c r="K71" s="382"/>
      <c r="L71" s="382"/>
      <c r="M71" s="382"/>
      <c r="N71" s="382"/>
      <c r="O71" s="13"/>
      <c r="P71" s="13"/>
      <c r="Q71" s="382"/>
      <c r="R71" s="382"/>
    </row>
    <row r="72" spans="1:18" outlineLevel="1" x14ac:dyDescent="0.2">
      <c r="A72" s="382"/>
      <c r="B72" s="382"/>
      <c r="C72" s="81" t="str">
        <f>TxPhase1Tx</f>
        <v/>
      </c>
      <c r="D72" s="155"/>
      <c r="E72" s="502"/>
      <c r="F72" s="502"/>
      <c r="G72" s="382"/>
      <c r="H72" s="382"/>
      <c r="I72" s="382"/>
      <c r="J72" s="382"/>
      <c r="K72" s="317" t="s">
        <v>292</v>
      </c>
      <c r="L72" s="317" t="s">
        <v>52</v>
      </c>
      <c r="M72" s="317" t="s">
        <v>381</v>
      </c>
      <c r="N72" s="4"/>
      <c r="O72" s="13"/>
      <c r="P72" s="13"/>
      <c r="Q72" s="382"/>
      <c r="R72" s="19" t="s">
        <v>292</v>
      </c>
    </row>
    <row r="73" spans="1:18" outlineLevel="1" x14ac:dyDescent="0.2">
      <c r="A73" s="382"/>
      <c r="B73" s="382"/>
      <c r="C73" s="81" t="s">
        <v>109</v>
      </c>
      <c r="D73" s="75"/>
      <c r="E73" s="75"/>
      <c r="F73" s="75"/>
      <c r="G73" s="75"/>
      <c r="H73" s="75"/>
      <c r="I73" s="75"/>
      <c r="J73" s="382"/>
      <c r="K73" s="198">
        <f>IF(D52&lt;&gt;"",MATCH(D52,EPISource,0)-1,0)</f>
        <v>0</v>
      </c>
      <c r="L73" s="198">
        <f ca="1">IF(F52&lt;&gt;"",MATCH(F52,OFFSET(References!$AB$7,0,K73,PxPopCount),0),0)</f>
        <v>0</v>
      </c>
      <c r="M73" s="198">
        <f ca="1">(K73*PxPopCount)+L73</f>
        <v>0</v>
      </c>
      <c r="N73" s="502"/>
      <c r="O73" s="13"/>
      <c r="P73" s="13"/>
      <c r="Q73" s="382"/>
      <c r="R73" s="582"/>
    </row>
    <row r="74" spans="1:18" outlineLevel="1" x14ac:dyDescent="0.2">
      <c r="A74" s="382"/>
      <c r="B74" s="382"/>
      <c r="C74" s="382"/>
      <c r="D74" s="382"/>
      <c r="E74" s="567"/>
      <c r="F74" s="382"/>
      <c r="G74" s="382"/>
      <c r="H74" s="382"/>
      <c r="I74" s="382"/>
      <c r="J74" s="382"/>
      <c r="K74" s="4"/>
      <c r="L74" s="4"/>
      <c r="M74" s="502"/>
      <c r="N74" s="502"/>
      <c r="O74" s="13"/>
      <c r="P74" s="13"/>
      <c r="Q74" s="382"/>
      <c r="R74" s="382"/>
    </row>
    <row r="75" spans="1:18" outlineLevel="1" x14ac:dyDescent="0.2">
      <c r="A75" s="382"/>
      <c r="B75" s="382"/>
      <c r="C75" s="123" t="str">
        <f>TXPhase2Tx</f>
        <v/>
      </c>
      <c r="D75" s="201"/>
      <c r="E75" s="201"/>
      <c r="F75" s="382"/>
      <c r="G75" s="382"/>
      <c r="H75" s="382"/>
      <c r="I75" s="382"/>
      <c r="J75" s="382"/>
      <c r="K75" s="4"/>
      <c r="L75" s="4"/>
      <c r="M75" s="502"/>
      <c r="N75" s="502"/>
      <c r="O75" s="13"/>
      <c r="P75" s="13"/>
      <c r="Q75" s="382"/>
      <c r="R75" s="19" t="s">
        <v>292</v>
      </c>
    </row>
    <row r="76" spans="1:18" outlineLevel="1" x14ac:dyDescent="0.2">
      <c r="A76" s="382"/>
      <c r="B76" s="382"/>
      <c r="C76" s="123" t="str">
        <f>IF(C75&lt;&gt;"","Patients electing treatment (%)","")</f>
        <v/>
      </c>
      <c r="D76" s="75"/>
      <c r="E76" s="75"/>
      <c r="F76" s="75"/>
      <c r="G76" s="75"/>
      <c r="H76" s="75"/>
      <c r="I76" s="75"/>
      <c r="J76" s="382"/>
      <c r="K76" s="354"/>
      <c r="L76" s="13"/>
      <c r="M76" s="502"/>
      <c r="N76" s="502"/>
      <c r="O76" s="13"/>
      <c r="P76" s="13"/>
      <c r="Q76" s="382"/>
      <c r="R76" s="582"/>
    </row>
    <row r="77" spans="1:18" outlineLevel="1" x14ac:dyDescent="0.2">
      <c r="A77" s="382"/>
      <c r="B77" s="382"/>
      <c r="C77" s="382"/>
      <c r="D77" s="382"/>
      <c r="E77" s="382"/>
      <c r="F77" s="382"/>
      <c r="G77" s="382"/>
      <c r="H77" s="382"/>
      <c r="I77" s="382"/>
      <c r="J77" s="382"/>
      <c r="K77" s="4"/>
      <c r="L77" s="502"/>
      <c r="M77" s="502"/>
      <c r="N77" s="4"/>
      <c r="O77" s="13"/>
      <c r="P77" s="13"/>
      <c r="Q77" s="382"/>
      <c r="R77" s="382"/>
    </row>
    <row r="78" spans="1:18" outlineLevel="1" x14ac:dyDescent="0.2">
      <c r="A78" s="502"/>
      <c r="B78" s="502"/>
      <c r="C78" s="81" t="str">
        <f>TxPhase1Px</f>
        <v/>
      </c>
      <c r="D78" s="410">
        <f t="shared" ref="D78:I78" si="14">IF(TxPhase1&lt;&gt;"",D70*D73,0)</f>
        <v>0</v>
      </c>
      <c r="E78" s="410">
        <f t="shared" si="14"/>
        <v>0</v>
      </c>
      <c r="F78" s="410">
        <f t="shared" si="14"/>
        <v>0</v>
      </c>
      <c r="G78" s="410">
        <f t="shared" si="14"/>
        <v>0</v>
      </c>
      <c r="H78" s="410">
        <f t="shared" si="14"/>
        <v>0</v>
      </c>
      <c r="I78" s="410">
        <f t="shared" si="14"/>
        <v>0</v>
      </c>
      <c r="J78" s="598" t="str">
        <f>IF(D81&lt;&gt;"",D81,"")</f>
        <v/>
      </c>
      <c r="K78" s="199"/>
      <c r="L78" s="502"/>
      <c r="M78" s="502"/>
      <c r="N78" s="502"/>
      <c r="O78" s="13"/>
      <c r="P78" s="13"/>
      <c r="Q78" s="502"/>
      <c r="R78" s="502"/>
    </row>
    <row r="79" spans="1:18" outlineLevel="1" x14ac:dyDescent="0.2">
      <c r="A79" s="502"/>
      <c r="B79" s="502"/>
      <c r="C79" s="81" t="str">
        <f>TxPhase2Px</f>
        <v/>
      </c>
      <c r="D79" s="410">
        <f t="shared" ref="D79:I79" si="15">IF(TxPhase2&lt;&gt;"",D70*D76,0)</f>
        <v>0</v>
      </c>
      <c r="E79" s="410">
        <f t="shared" si="15"/>
        <v>0</v>
      </c>
      <c r="F79" s="410">
        <f t="shared" si="15"/>
        <v>0</v>
      </c>
      <c r="G79" s="410">
        <f t="shared" si="15"/>
        <v>0</v>
      </c>
      <c r="H79" s="410">
        <f t="shared" si="15"/>
        <v>0</v>
      </c>
      <c r="I79" s="410">
        <f t="shared" si="15"/>
        <v>0</v>
      </c>
      <c r="J79" s="598" t="str">
        <f>IF(D81&lt;&gt;"",D81,"")</f>
        <v/>
      </c>
      <c r="K79" s="502"/>
      <c r="L79" s="502"/>
      <c r="M79" s="264"/>
      <c r="N79" s="502"/>
      <c r="O79" s="13"/>
      <c r="P79" s="13"/>
      <c r="Q79" s="502"/>
      <c r="R79" s="502"/>
    </row>
    <row r="80" spans="1:18" outlineLevel="1" x14ac:dyDescent="0.2">
      <c r="A80" s="502"/>
      <c r="B80" s="502"/>
      <c r="C80" s="502"/>
      <c r="D80" s="502"/>
      <c r="E80" s="502"/>
      <c r="F80" s="502"/>
      <c r="G80" s="502"/>
      <c r="H80" s="502"/>
      <c r="I80" s="502"/>
      <c r="J80" s="382"/>
      <c r="K80" s="502"/>
      <c r="L80" s="502"/>
      <c r="M80" s="264"/>
      <c r="N80" s="502"/>
      <c r="O80" s="13"/>
      <c r="P80" s="13"/>
      <c r="Q80" s="502"/>
      <c r="R80" s="502"/>
    </row>
    <row r="81" spans="1:18" s="570" customFormat="1" outlineLevel="1" x14ac:dyDescent="0.2">
      <c r="A81" s="572"/>
      <c r="B81" s="572"/>
      <c r="C81" s="122" t="s">
        <v>817</v>
      </c>
      <c r="D81" s="375"/>
      <c r="E81" s="572"/>
      <c r="F81" s="572"/>
      <c r="G81" s="572"/>
      <c r="H81" s="572"/>
      <c r="I81" s="572"/>
      <c r="J81" s="593"/>
      <c r="K81" s="572"/>
      <c r="L81" s="572"/>
      <c r="M81" s="597"/>
      <c r="N81" s="572"/>
      <c r="O81" s="575"/>
      <c r="P81" s="575"/>
      <c r="Q81" s="572"/>
      <c r="R81" s="572"/>
    </row>
    <row r="82" spans="1:18" outlineLevel="1" x14ac:dyDescent="0.2"/>
    <row r="83" spans="1:18" x14ac:dyDescent="0.2">
      <c r="A83" s="502"/>
      <c r="B83" s="502"/>
      <c r="C83" s="502"/>
      <c r="D83" s="502"/>
      <c r="E83" s="502"/>
      <c r="F83" s="502"/>
      <c r="G83" s="502"/>
      <c r="H83" s="502"/>
      <c r="I83" s="502"/>
      <c r="J83" s="382"/>
      <c r="K83" s="502"/>
      <c r="L83" s="502"/>
      <c r="M83" s="502"/>
      <c r="N83" s="502"/>
      <c r="O83" s="13"/>
      <c r="P83" s="13"/>
      <c r="Q83" s="502"/>
      <c r="R83" s="502"/>
    </row>
    <row r="84" spans="1:18" ht="15.75" x14ac:dyDescent="0.2">
      <c r="A84" s="104"/>
      <c r="B84" s="190">
        <v>2</v>
      </c>
      <c r="C84" s="110" t="str">
        <f>IF(D88&lt;&gt;"",CONCATENATE("Incident ",B84,": ",F88,I84),MsgNotUsed)</f>
        <v>** NOT USED **</v>
      </c>
      <c r="D84" s="188"/>
      <c r="E84" s="188"/>
      <c r="F84" s="188"/>
      <c r="G84" s="188"/>
      <c r="H84" s="191"/>
      <c r="I84" s="455" t="str">
        <f>IF(R88&lt;&gt;"",CONCATENATE(" (",R88,")"),"")</f>
        <v/>
      </c>
      <c r="J84" s="187"/>
      <c r="K84" s="187"/>
      <c r="L84" s="187"/>
      <c r="M84" s="187"/>
      <c r="N84" s="187"/>
      <c r="O84" s="187"/>
      <c r="P84" s="187"/>
      <c r="Q84" s="189"/>
      <c r="R84" s="189"/>
    </row>
    <row r="85" spans="1:18" outlineLevel="1" x14ac:dyDescent="0.2">
      <c r="A85" s="199"/>
      <c r="B85" s="199"/>
      <c r="C85" s="195"/>
      <c r="D85" s="199"/>
      <c r="E85" s="199"/>
      <c r="F85" s="199"/>
      <c r="G85" s="199"/>
      <c r="H85" s="199"/>
      <c r="I85" s="199"/>
      <c r="J85" s="382"/>
      <c r="K85" s="199"/>
      <c r="L85" s="199"/>
      <c r="M85" s="199"/>
      <c r="N85" s="199"/>
      <c r="O85" s="199"/>
      <c r="P85" s="199"/>
      <c r="Q85" s="199"/>
      <c r="R85" s="199"/>
    </row>
    <row r="86" spans="1:18" outlineLevel="1" x14ac:dyDescent="0.2">
      <c r="A86" s="199"/>
      <c r="B86" s="199"/>
      <c r="C86" s="572" t="s">
        <v>913</v>
      </c>
      <c r="D86" s="199"/>
      <c r="E86" s="199"/>
      <c r="F86" s="199"/>
      <c r="G86" s="770" t="str">
        <f>IF(D88=INDEX(EPISource,4),MsgNote &amp; VLOOKUP("PrevInc",WarningMessages,2,FALSE),"")</f>
        <v/>
      </c>
      <c r="H86" s="770"/>
      <c r="I86" s="770"/>
      <c r="J86" s="382"/>
      <c r="K86" s="199"/>
      <c r="L86" s="199"/>
      <c r="M86" s="199"/>
      <c r="N86" s="199"/>
      <c r="O86" s="199"/>
      <c r="P86" s="199"/>
      <c r="Q86" s="199"/>
      <c r="R86" s="670" t="str">
        <f ca="1">IF(ISERROR($M109)=TRUE,MsgError &amp; VLOOKUP("BadPop",ErrorMessages,2,FALSE),"")</f>
        <v/>
      </c>
    </row>
    <row r="87" spans="1:18" outlineLevel="1" x14ac:dyDescent="0.2">
      <c r="A87" s="199"/>
      <c r="B87" s="199"/>
      <c r="C87" s="195"/>
      <c r="D87" s="199"/>
      <c r="E87" s="199"/>
      <c r="F87" s="199"/>
      <c r="G87" s="199"/>
      <c r="H87" s="199"/>
      <c r="I87" s="199"/>
      <c r="J87" s="382"/>
      <c r="K87" s="199"/>
      <c r="L87" s="199"/>
      <c r="M87" s="199"/>
      <c r="N87" s="199"/>
      <c r="O87" s="199"/>
      <c r="P87" s="199"/>
      <c r="Q87" s="199"/>
      <c r="R87" s="19" t="s">
        <v>470</v>
      </c>
    </row>
    <row r="88" spans="1:18" outlineLevel="1" x14ac:dyDescent="0.2">
      <c r="A88" s="199"/>
      <c r="B88" s="199"/>
      <c r="C88" s="22" t="s">
        <v>131</v>
      </c>
      <c r="D88" s="549"/>
      <c r="E88" s="194"/>
      <c r="F88" s="774"/>
      <c r="G88" s="775"/>
      <c r="H88" s="775"/>
      <c r="I88" s="775"/>
      <c r="J88" s="382"/>
      <c r="K88" s="199"/>
      <c r="L88" s="199"/>
      <c r="M88" s="199"/>
      <c r="N88" s="199"/>
      <c r="O88" s="199"/>
      <c r="P88" s="199"/>
      <c r="Q88" s="199"/>
      <c r="R88" s="388"/>
    </row>
    <row r="89" spans="1:18" outlineLevel="1" x14ac:dyDescent="0.2">
      <c r="A89" s="199"/>
      <c r="B89" s="199"/>
      <c r="C89" s="195"/>
      <c r="D89" s="600">
        <v>1</v>
      </c>
      <c r="E89" s="600">
        <v>2</v>
      </c>
      <c r="F89" s="600">
        <v>3</v>
      </c>
      <c r="G89" s="600">
        <v>4</v>
      </c>
      <c r="H89" s="600">
        <v>5</v>
      </c>
      <c r="I89" s="600">
        <v>6</v>
      </c>
      <c r="J89" s="382"/>
      <c r="K89" s="199"/>
      <c r="L89" s="199"/>
      <c r="M89" s="199"/>
      <c r="N89" s="199"/>
      <c r="O89" s="199"/>
      <c r="P89" s="199"/>
      <c r="Q89" s="199"/>
      <c r="R89" s="199"/>
    </row>
    <row r="90" spans="1:18" ht="15" customHeight="1" outlineLevel="1" x14ac:dyDescent="0.2">
      <c r="A90" s="199"/>
      <c r="B90" s="199"/>
      <c r="C90" s="195"/>
      <c r="D90" s="776" t="s">
        <v>11</v>
      </c>
      <c r="E90" s="776"/>
      <c r="F90" s="776"/>
      <c r="G90" s="776"/>
      <c r="H90" s="776"/>
      <c r="I90" s="776"/>
      <c r="J90" s="382"/>
      <c r="K90" s="199"/>
      <c r="L90" s="199"/>
      <c r="M90" s="199"/>
      <c r="N90" s="199"/>
      <c r="O90" s="199"/>
      <c r="P90" s="199"/>
      <c r="Q90" s="199"/>
      <c r="R90" s="199"/>
    </row>
    <row r="91" spans="1:18" outlineLevel="1" x14ac:dyDescent="0.2">
      <c r="A91" s="199"/>
      <c r="B91" s="199"/>
      <c r="C91" s="7"/>
      <c r="D91" s="550">
        <f>FirstYear</f>
        <v>0</v>
      </c>
      <c r="E91" s="550">
        <f>D91+1</f>
        <v>1</v>
      </c>
      <c r="F91" s="550">
        <f>E91+1</f>
        <v>2</v>
      </c>
      <c r="G91" s="550">
        <f>F91+1</f>
        <v>3</v>
      </c>
      <c r="H91" s="550">
        <f>G91+1</f>
        <v>4</v>
      </c>
      <c r="I91" s="550">
        <f>H91+1</f>
        <v>5</v>
      </c>
      <c r="J91" s="382"/>
      <c r="K91" s="199"/>
      <c r="L91" s="199"/>
      <c r="M91" s="199"/>
      <c r="N91" s="199"/>
      <c r="O91" s="199"/>
      <c r="P91" s="199"/>
      <c r="Q91" s="199"/>
      <c r="R91" s="199"/>
    </row>
    <row r="92" spans="1:18" ht="12.75" customHeight="1" outlineLevel="1" x14ac:dyDescent="0.2">
      <c r="A92" s="502"/>
      <c r="B92" s="502"/>
      <c r="C92" s="552" t="s">
        <v>382</v>
      </c>
      <c r="D92" s="596">
        <f t="shared" ref="D92:I92" ca="1" si="16">IF(AND(ISERROR($M109)&lt;&gt;TRUE,$F88&lt;&gt;""),INDEX(PxPopNumbers,$M109,D89),0)</f>
        <v>0</v>
      </c>
      <c r="E92" s="596">
        <f t="shared" ca="1" si="16"/>
        <v>0</v>
      </c>
      <c r="F92" s="596">
        <f t="shared" ca="1" si="16"/>
        <v>0</v>
      </c>
      <c r="G92" s="596">
        <f t="shared" ca="1" si="16"/>
        <v>0</v>
      </c>
      <c r="H92" s="596">
        <f t="shared" ca="1" si="16"/>
        <v>0</v>
      </c>
      <c r="I92" s="596">
        <f t="shared" ca="1" si="16"/>
        <v>0</v>
      </c>
      <c r="J92" s="382"/>
      <c r="K92" s="502"/>
      <c r="L92" s="502"/>
      <c r="M92" s="502"/>
      <c r="N92" s="502"/>
      <c r="O92" s="502"/>
      <c r="P92" s="502"/>
      <c r="Q92" s="195"/>
      <c r="R92" s="502"/>
    </row>
    <row r="93" spans="1:18" ht="12.75" customHeight="1" outlineLevel="1" x14ac:dyDescent="0.2">
      <c r="A93" s="382"/>
      <c r="B93" s="382"/>
      <c r="C93" s="382"/>
      <c r="D93" s="382"/>
      <c r="E93" s="382"/>
      <c r="F93" s="382"/>
      <c r="G93" s="382"/>
      <c r="H93" s="382"/>
      <c r="I93" s="382"/>
      <c r="J93" s="382"/>
      <c r="K93" s="502"/>
      <c r="L93" s="502"/>
      <c r="M93" s="502"/>
      <c r="N93" s="502"/>
      <c r="O93" s="502"/>
      <c r="P93" s="502"/>
      <c r="Q93" s="382"/>
      <c r="R93" s="382"/>
    </row>
    <row r="94" spans="1:18" ht="12.75" customHeight="1" outlineLevel="1" x14ac:dyDescent="0.2">
      <c r="A94" s="382"/>
      <c r="B94" s="382"/>
      <c r="C94" s="34" t="s">
        <v>238</v>
      </c>
      <c r="D94" s="382"/>
      <c r="E94" s="382"/>
      <c r="F94" s="382"/>
      <c r="G94" s="382"/>
      <c r="H94" s="382"/>
      <c r="I94" s="382"/>
      <c r="J94" s="382"/>
      <c r="K94" s="502"/>
      <c r="L94" s="502"/>
      <c r="M94" s="382"/>
      <c r="N94" s="382"/>
      <c r="O94" s="382"/>
      <c r="P94" s="382"/>
      <c r="Q94" s="382"/>
      <c r="R94" s="19" t="s">
        <v>292</v>
      </c>
    </row>
    <row r="95" spans="1:18" outlineLevel="1" x14ac:dyDescent="0.2">
      <c r="A95" s="6"/>
      <c r="B95" s="6"/>
      <c r="C95" s="589"/>
      <c r="D95" s="49"/>
      <c r="E95" s="49"/>
      <c r="F95" s="49"/>
      <c r="G95" s="49"/>
      <c r="H95" s="49"/>
      <c r="I95" s="49"/>
      <c r="J95" s="172"/>
      <c r="K95" s="61">
        <f t="shared" ref="K95:P104" si="17">IF(D95="",1,D95)</f>
        <v>1</v>
      </c>
      <c r="L95" s="61">
        <f t="shared" si="17"/>
        <v>1</v>
      </c>
      <c r="M95" s="61">
        <f t="shared" si="17"/>
        <v>1</v>
      </c>
      <c r="N95" s="61">
        <f t="shared" si="17"/>
        <v>1</v>
      </c>
      <c r="O95" s="61">
        <f t="shared" si="17"/>
        <v>1</v>
      </c>
      <c r="P95" s="61">
        <f t="shared" si="17"/>
        <v>1</v>
      </c>
      <c r="Q95" s="6"/>
      <c r="R95" s="589"/>
    </row>
    <row r="96" spans="1:18" outlineLevel="1" x14ac:dyDescent="0.2">
      <c r="A96" s="6"/>
      <c r="B96" s="6"/>
      <c r="C96" s="589"/>
      <c r="D96" s="49"/>
      <c r="E96" s="49"/>
      <c r="F96" s="49"/>
      <c r="G96" s="49"/>
      <c r="H96" s="49"/>
      <c r="I96" s="49"/>
      <c r="J96" s="172"/>
      <c r="K96" s="61">
        <f t="shared" si="17"/>
        <v>1</v>
      </c>
      <c r="L96" s="61">
        <f t="shared" si="17"/>
        <v>1</v>
      </c>
      <c r="M96" s="61">
        <f t="shared" si="17"/>
        <v>1</v>
      </c>
      <c r="N96" s="61">
        <f t="shared" si="17"/>
        <v>1</v>
      </c>
      <c r="O96" s="61">
        <f t="shared" si="17"/>
        <v>1</v>
      </c>
      <c r="P96" s="61">
        <f t="shared" si="17"/>
        <v>1</v>
      </c>
      <c r="Q96" s="6"/>
      <c r="R96" s="589"/>
    </row>
    <row r="97" spans="1:18" ht="12.75" customHeight="1" outlineLevel="1" x14ac:dyDescent="0.2">
      <c r="A97" s="6"/>
      <c r="B97" s="6"/>
      <c r="C97" s="589"/>
      <c r="D97" s="49"/>
      <c r="E97" s="49"/>
      <c r="F97" s="49"/>
      <c r="G97" s="49"/>
      <c r="H97" s="49"/>
      <c r="I97" s="49"/>
      <c r="J97" s="172"/>
      <c r="K97" s="61">
        <f t="shared" si="17"/>
        <v>1</v>
      </c>
      <c r="L97" s="61">
        <f t="shared" si="17"/>
        <v>1</v>
      </c>
      <c r="M97" s="61">
        <f t="shared" si="17"/>
        <v>1</v>
      </c>
      <c r="N97" s="61">
        <f t="shared" si="17"/>
        <v>1</v>
      </c>
      <c r="O97" s="61">
        <f t="shared" si="17"/>
        <v>1</v>
      </c>
      <c r="P97" s="61">
        <f t="shared" si="17"/>
        <v>1</v>
      </c>
      <c r="Q97" s="6"/>
      <c r="R97" s="589"/>
    </row>
    <row r="98" spans="1:18" ht="12.75" customHeight="1" outlineLevel="1" x14ac:dyDescent="0.2">
      <c r="A98" s="6"/>
      <c r="B98" s="6"/>
      <c r="C98" s="589"/>
      <c r="D98" s="49"/>
      <c r="E98" s="49"/>
      <c r="F98" s="49"/>
      <c r="G98" s="49"/>
      <c r="H98" s="49"/>
      <c r="I98" s="49"/>
      <c r="J98" s="172"/>
      <c r="K98" s="61">
        <f t="shared" si="17"/>
        <v>1</v>
      </c>
      <c r="L98" s="61">
        <f t="shared" si="17"/>
        <v>1</v>
      </c>
      <c r="M98" s="61">
        <f t="shared" si="17"/>
        <v>1</v>
      </c>
      <c r="N98" s="61">
        <f t="shared" si="17"/>
        <v>1</v>
      </c>
      <c r="O98" s="61">
        <f t="shared" si="17"/>
        <v>1</v>
      </c>
      <c r="P98" s="61">
        <f t="shared" si="17"/>
        <v>1</v>
      </c>
      <c r="Q98" s="6"/>
      <c r="R98" s="589"/>
    </row>
    <row r="99" spans="1:18" ht="12.75" customHeight="1" outlineLevel="1" x14ac:dyDescent="0.2">
      <c r="A99" s="6"/>
      <c r="B99" s="6"/>
      <c r="C99" s="589"/>
      <c r="D99" s="49"/>
      <c r="E99" s="49"/>
      <c r="F99" s="49"/>
      <c r="G99" s="49"/>
      <c r="H99" s="49"/>
      <c r="I99" s="49"/>
      <c r="J99" s="172"/>
      <c r="K99" s="61">
        <f t="shared" si="17"/>
        <v>1</v>
      </c>
      <c r="L99" s="61">
        <f t="shared" si="17"/>
        <v>1</v>
      </c>
      <c r="M99" s="61">
        <f t="shared" si="17"/>
        <v>1</v>
      </c>
      <c r="N99" s="61">
        <f t="shared" si="17"/>
        <v>1</v>
      </c>
      <c r="O99" s="61">
        <f t="shared" si="17"/>
        <v>1</v>
      </c>
      <c r="P99" s="61">
        <f t="shared" si="17"/>
        <v>1</v>
      </c>
      <c r="Q99" s="6"/>
      <c r="R99" s="589"/>
    </row>
    <row r="100" spans="1:18" ht="12.75" customHeight="1" outlineLevel="1" x14ac:dyDescent="0.2">
      <c r="A100" s="6"/>
      <c r="B100" s="6"/>
      <c r="C100" s="589"/>
      <c r="D100" s="49"/>
      <c r="E100" s="49"/>
      <c r="F100" s="49"/>
      <c r="G100" s="49"/>
      <c r="H100" s="49"/>
      <c r="I100" s="49"/>
      <c r="J100" s="172"/>
      <c r="K100" s="61">
        <f t="shared" si="17"/>
        <v>1</v>
      </c>
      <c r="L100" s="61">
        <f t="shared" si="17"/>
        <v>1</v>
      </c>
      <c r="M100" s="61">
        <f t="shared" si="17"/>
        <v>1</v>
      </c>
      <c r="N100" s="61">
        <f t="shared" si="17"/>
        <v>1</v>
      </c>
      <c r="O100" s="61">
        <f t="shared" si="17"/>
        <v>1</v>
      </c>
      <c r="P100" s="61">
        <f t="shared" si="17"/>
        <v>1</v>
      </c>
      <c r="Q100" s="6"/>
      <c r="R100" s="589"/>
    </row>
    <row r="101" spans="1:18" outlineLevel="1" x14ac:dyDescent="0.2">
      <c r="A101" s="6"/>
      <c r="B101" s="6"/>
      <c r="C101" s="589"/>
      <c r="D101" s="49"/>
      <c r="E101" s="49"/>
      <c r="F101" s="49"/>
      <c r="G101" s="49"/>
      <c r="H101" s="49"/>
      <c r="I101" s="49"/>
      <c r="J101" s="172"/>
      <c r="K101" s="61">
        <f t="shared" si="17"/>
        <v>1</v>
      </c>
      <c r="L101" s="61">
        <f t="shared" si="17"/>
        <v>1</v>
      </c>
      <c r="M101" s="61">
        <f t="shared" si="17"/>
        <v>1</v>
      </c>
      <c r="N101" s="61">
        <f t="shared" si="17"/>
        <v>1</v>
      </c>
      <c r="O101" s="61">
        <f t="shared" si="17"/>
        <v>1</v>
      </c>
      <c r="P101" s="61">
        <f t="shared" si="17"/>
        <v>1</v>
      </c>
      <c r="Q101" s="6"/>
      <c r="R101" s="589"/>
    </row>
    <row r="102" spans="1:18" outlineLevel="1" x14ac:dyDescent="0.2">
      <c r="A102" s="6"/>
      <c r="B102" s="6"/>
      <c r="C102" s="589"/>
      <c r="D102" s="49"/>
      <c r="E102" s="49"/>
      <c r="F102" s="49"/>
      <c r="G102" s="49"/>
      <c r="H102" s="49"/>
      <c r="I102" s="49"/>
      <c r="J102" s="172"/>
      <c r="K102" s="61">
        <f t="shared" si="17"/>
        <v>1</v>
      </c>
      <c r="L102" s="61">
        <f t="shared" si="17"/>
        <v>1</v>
      </c>
      <c r="M102" s="61">
        <f t="shared" si="17"/>
        <v>1</v>
      </c>
      <c r="N102" s="61">
        <f t="shared" si="17"/>
        <v>1</v>
      </c>
      <c r="O102" s="61">
        <f t="shared" si="17"/>
        <v>1</v>
      </c>
      <c r="P102" s="61">
        <f t="shared" si="17"/>
        <v>1</v>
      </c>
      <c r="Q102" s="6"/>
      <c r="R102" s="589"/>
    </row>
    <row r="103" spans="1:18" outlineLevel="1" x14ac:dyDescent="0.2">
      <c r="A103" s="6"/>
      <c r="B103" s="6"/>
      <c r="C103" s="589"/>
      <c r="D103" s="49"/>
      <c r="E103" s="49"/>
      <c r="F103" s="49"/>
      <c r="G103" s="49"/>
      <c r="H103" s="49"/>
      <c r="I103" s="49"/>
      <c r="J103" s="172"/>
      <c r="K103" s="61">
        <f t="shared" si="17"/>
        <v>1</v>
      </c>
      <c r="L103" s="61">
        <f t="shared" si="17"/>
        <v>1</v>
      </c>
      <c r="M103" s="61">
        <f t="shared" si="17"/>
        <v>1</v>
      </c>
      <c r="N103" s="61">
        <f t="shared" si="17"/>
        <v>1</v>
      </c>
      <c r="O103" s="61">
        <f t="shared" si="17"/>
        <v>1</v>
      </c>
      <c r="P103" s="61">
        <f t="shared" si="17"/>
        <v>1</v>
      </c>
      <c r="Q103" s="6"/>
      <c r="R103" s="589"/>
    </row>
    <row r="104" spans="1:18" outlineLevel="1" x14ac:dyDescent="0.2">
      <c r="A104" s="6"/>
      <c r="B104" s="6"/>
      <c r="C104" s="589"/>
      <c r="D104" s="49"/>
      <c r="E104" s="49"/>
      <c r="F104" s="49"/>
      <c r="G104" s="49"/>
      <c r="H104" s="49"/>
      <c r="I104" s="49"/>
      <c r="J104" s="172"/>
      <c r="K104" s="61">
        <f>IF(D104="",1,D104)</f>
        <v>1</v>
      </c>
      <c r="L104" s="61">
        <f t="shared" si="17"/>
        <v>1</v>
      </c>
      <c r="M104" s="61">
        <f t="shared" si="17"/>
        <v>1</v>
      </c>
      <c r="N104" s="61">
        <f t="shared" si="17"/>
        <v>1</v>
      </c>
      <c r="O104" s="61">
        <f t="shared" si="17"/>
        <v>1</v>
      </c>
      <c r="P104" s="61">
        <f t="shared" si="17"/>
        <v>1</v>
      </c>
      <c r="Q104" s="6"/>
      <c r="R104" s="589"/>
    </row>
    <row r="105" spans="1:18" outlineLevel="1" x14ac:dyDescent="0.2">
      <c r="A105" s="6"/>
      <c r="B105" s="6"/>
      <c r="C105" s="35" t="s">
        <v>246</v>
      </c>
      <c r="D105" s="387">
        <f t="shared" ref="D105:I105" si="18">K95*K96*K97*K98*K104*K99*K100*K101*K102*K103</f>
        <v>1</v>
      </c>
      <c r="E105" s="48">
        <f t="shared" si="18"/>
        <v>1</v>
      </c>
      <c r="F105" s="48">
        <f t="shared" si="18"/>
        <v>1</v>
      </c>
      <c r="G105" s="48">
        <f t="shared" si="18"/>
        <v>1</v>
      </c>
      <c r="H105" s="48">
        <f t="shared" si="18"/>
        <v>1</v>
      </c>
      <c r="I105" s="48">
        <f t="shared" si="18"/>
        <v>1</v>
      </c>
      <c r="J105" s="172"/>
      <c r="K105" s="6"/>
      <c r="L105" s="6"/>
      <c r="M105" s="197"/>
      <c r="N105" s="6"/>
      <c r="O105" s="6"/>
      <c r="P105" s="6"/>
      <c r="Q105" s="6"/>
      <c r="R105" s="6"/>
    </row>
    <row r="106" spans="1:18" outlineLevel="1" x14ac:dyDescent="0.2">
      <c r="A106" s="197"/>
      <c r="B106" s="197"/>
      <c r="C106" s="12" t="s">
        <v>108</v>
      </c>
      <c r="D106" s="47">
        <f t="shared" ref="D106:I106" ca="1" si="19">IF(ISNUMBER(D92),D92*D105,"")</f>
        <v>0</v>
      </c>
      <c r="E106" s="47">
        <f t="shared" ca="1" si="19"/>
        <v>0</v>
      </c>
      <c r="F106" s="47">
        <f t="shared" ca="1" si="19"/>
        <v>0</v>
      </c>
      <c r="G106" s="47">
        <f t="shared" ca="1" si="19"/>
        <v>0</v>
      </c>
      <c r="H106" s="47">
        <f t="shared" ca="1" si="19"/>
        <v>0</v>
      </c>
      <c r="I106" s="47">
        <f t="shared" ca="1" si="19"/>
        <v>0</v>
      </c>
      <c r="J106" s="172"/>
      <c r="K106" s="197"/>
      <c r="L106" s="6"/>
      <c r="M106" s="6"/>
      <c r="N106" s="6"/>
      <c r="O106" s="6"/>
      <c r="P106" s="6"/>
      <c r="Q106" s="6"/>
      <c r="R106" s="6"/>
    </row>
    <row r="107" spans="1:18" outlineLevel="1" x14ac:dyDescent="0.2">
      <c r="A107" s="172"/>
      <c r="B107" s="172"/>
      <c r="C107" s="172"/>
      <c r="D107" s="172"/>
      <c r="E107" s="172"/>
      <c r="F107" s="172"/>
      <c r="G107" s="172"/>
      <c r="H107" s="172"/>
      <c r="I107" s="172"/>
      <c r="J107" s="172"/>
      <c r="K107" s="172"/>
      <c r="L107" s="172"/>
      <c r="M107" s="5"/>
      <c r="N107" s="172"/>
      <c r="Q107" s="172"/>
      <c r="R107" s="172"/>
    </row>
    <row r="108" spans="1:18" outlineLevel="1" x14ac:dyDescent="0.2">
      <c r="A108" s="172"/>
      <c r="B108" s="172"/>
      <c r="C108" s="81" t="str">
        <f>TxPhase1Tx</f>
        <v/>
      </c>
      <c r="D108" s="155" t="str">
        <f>TxPhase1</f>
        <v/>
      </c>
      <c r="E108" s="171"/>
      <c r="F108" s="171"/>
      <c r="G108" s="172"/>
      <c r="H108" s="172"/>
      <c r="I108" s="172"/>
      <c r="J108" s="172"/>
      <c r="K108" s="317" t="s">
        <v>292</v>
      </c>
      <c r="L108" s="317" t="s">
        <v>52</v>
      </c>
      <c r="M108" s="316" t="s">
        <v>381</v>
      </c>
      <c r="N108" s="6"/>
      <c r="Q108" s="172"/>
      <c r="R108" s="19" t="s">
        <v>292</v>
      </c>
    </row>
    <row r="109" spans="1:18" outlineLevel="1" x14ac:dyDescent="0.2">
      <c r="A109" s="172"/>
      <c r="B109" s="172"/>
      <c r="C109" s="81" t="s">
        <v>109</v>
      </c>
      <c r="D109" s="75"/>
      <c r="E109" s="75"/>
      <c r="F109" s="75"/>
      <c r="G109" s="75"/>
      <c r="H109" s="75"/>
      <c r="I109" s="75"/>
      <c r="J109" s="172"/>
      <c r="K109" s="198">
        <f>IF(D88&lt;&gt;"",MATCH(D88,EPISource,0)-1,0)</f>
        <v>0</v>
      </c>
      <c r="L109" s="198">
        <f ca="1">IF(F88&lt;&gt;"",MATCH(F88,OFFSET(References!$AB$7,0,K109,PxPopCount),0),0)</f>
        <v>0</v>
      </c>
      <c r="M109" s="198">
        <f ca="1">(K109*PxPopCount)+L109</f>
        <v>0</v>
      </c>
      <c r="N109" s="6"/>
      <c r="Q109" s="172"/>
      <c r="R109" s="582"/>
    </row>
    <row r="110" spans="1:18" ht="14.25" outlineLevel="1" x14ac:dyDescent="0.2">
      <c r="A110" s="172"/>
      <c r="B110" s="172"/>
      <c r="C110" s="382"/>
      <c r="D110" s="172"/>
      <c r="E110" s="200"/>
      <c r="F110" s="172"/>
      <c r="G110" s="172"/>
      <c r="H110" s="172"/>
      <c r="I110" s="172"/>
      <c r="J110" s="172"/>
      <c r="K110" s="5"/>
      <c r="L110" s="5"/>
      <c r="M110" s="6"/>
      <c r="N110" s="6"/>
      <c r="Q110" s="172"/>
      <c r="R110" s="172"/>
    </row>
    <row r="111" spans="1:18" outlineLevel="1" x14ac:dyDescent="0.2">
      <c r="A111" s="172"/>
      <c r="B111" s="172"/>
      <c r="C111" s="123" t="str">
        <f>TXPhase2Tx</f>
        <v/>
      </c>
      <c r="D111" s="201"/>
      <c r="E111" s="201"/>
      <c r="F111" s="172"/>
      <c r="G111" s="172"/>
      <c r="H111" s="172"/>
      <c r="I111" s="172"/>
      <c r="J111" s="172"/>
      <c r="K111" s="5"/>
      <c r="L111" s="5"/>
      <c r="M111" s="6"/>
      <c r="N111" s="6"/>
      <c r="Q111" s="172"/>
      <c r="R111" s="19" t="s">
        <v>292</v>
      </c>
    </row>
    <row r="112" spans="1:18" outlineLevel="1" x14ac:dyDescent="0.2">
      <c r="A112" s="172"/>
      <c r="B112" s="172"/>
      <c r="C112" s="123" t="str">
        <f>IF(C111&lt;&gt;"","Patients electing treatment (%)","")</f>
        <v/>
      </c>
      <c r="D112" s="75"/>
      <c r="E112" s="75"/>
      <c r="F112" s="75"/>
      <c r="G112" s="75"/>
      <c r="H112" s="75"/>
      <c r="I112" s="75"/>
      <c r="J112" s="172"/>
      <c r="K112" s="6"/>
      <c r="M112" s="6"/>
      <c r="N112" s="6"/>
      <c r="Q112" s="172"/>
      <c r="R112" s="582"/>
    </row>
    <row r="113" spans="1:18" outlineLevel="1" x14ac:dyDescent="0.2">
      <c r="A113" s="172"/>
      <c r="B113" s="172"/>
      <c r="C113" s="382"/>
      <c r="D113" s="172"/>
      <c r="E113" s="172"/>
      <c r="F113" s="172"/>
      <c r="G113" s="172"/>
      <c r="H113" s="172"/>
      <c r="I113" s="172"/>
      <c r="J113" s="172"/>
      <c r="K113" s="6"/>
      <c r="L113" s="6"/>
      <c r="M113" s="6"/>
      <c r="N113" s="6"/>
      <c r="Q113" s="172"/>
      <c r="R113" s="172"/>
    </row>
    <row r="114" spans="1:18" ht="15" outlineLevel="1" x14ac:dyDescent="0.2">
      <c r="A114" s="6"/>
      <c r="B114" s="6"/>
      <c r="C114" s="585" t="str">
        <f>TxPhase1Px</f>
        <v/>
      </c>
      <c r="D114" s="410">
        <f t="shared" ref="D114:I114" si="20">IF(TxPhase1&lt;&gt;"",D106*D109,0)</f>
        <v>0</v>
      </c>
      <c r="E114" s="410">
        <f t="shared" si="20"/>
        <v>0</v>
      </c>
      <c r="F114" s="410">
        <f t="shared" si="20"/>
        <v>0</v>
      </c>
      <c r="G114" s="410">
        <f t="shared" si="20"/>
        <v>0</v>
      </c>
      <c r="H114" s="410">
        <f t="shared" si="20"/>
        <v>0</v>
      </c>
      <c r="I114" s="410">
        <f t="shared" si="20"/>
        <v>0</v>
      </c>
      <c r="J114" s="598" t="str">
        <f>IF(D117&lt;&gt;"",D117,"")</f>
        <v/>
      </c>
      <c r="K114" s="192"/>
      <c r="L114" s="192"/>
      <c r="M114" s="192"/>
      <c r="N114" s="192"/>
      <c r="Q114" s="6"/>
      <c r="R114" s="6"/>
    </row>
    <row r="115" spans="1:18" outlineLevel="1" x14ac:dyDescent="0.2">
      <c r="A115" s="6"/>
      <c r="B115" s="6"/>
      <c r="C115" s="585" t="str">
        <f>TxPhase2Px</f>
        <v/>
      </c>
      <c r="D115" s="410">
        <f t="shared" ref="D115:I115" si="21">IF(TxPhase2&lt;&gt;"",D106*D112,0)</f>
        <v>0</v>
      </c>
      <c r="E115" s="410">
        <f t="shared" si="21"/>
        <v>0</v>
      </c>
      <c r="F115" s="410">
        <f t="shared" si="21"/>
        <v>0</v>
      </c>
      <c r="G115" s="410">
        <f t="shared" si="21"/>
        <v>0</v>
      </c>
      <c r="H115" s="410">
        <f t="shared" si="21"/>
        <v>0</v>
      </c>
      <c r="I115" s="410">
        <f t="shared" si="21"/>
        <v>0</v>
      </c>
      <c r="J115" s="598" t="str">
        <f>IF(D117&lt;&gt;"",D117,"")</f>
        <v/>
      </c>
      <c r="K115" s="6"/>
      <c r="L115" s="6"/>
      <c r="M115" s="197"/>
      <c r="N115" s="6"/>
      <c r="Q115" s="6"/>
      <c r="R115" s="6"/>
    </row>
    <row r="116" spans="1:18" s="570" customFormat="1" outlineLevel="1" x14ac:dyDescent="0.2">
      <c r="A116" s="572"/>
      <c r="B116" s="572"/>
      <c r="C116" s="572"/>
      <c r="D116" s="572"/>
      <c r="E116" s="572"/>
      <c r="F116" s="572"/>
      <c r="G116" s="572"/>
      <c r="H116" s="572"/>
      <c r="I116" s="572"/>
      <c r="J116" s="498"/>
      <c r="K116" s="572"/>
      <c r="L116" s="572"/>
      <c r="M116" s="597"/>
      <c r="N116" s="572"/>
      <c r="Q116" s="572"/>
      <c r="R116" s="572"/>
    </row>
    <row r="117" spans="1:18" s="570" customFormat="1" outlineLevel="1" x14ac:dyDescent="0.2">
      <c r="A117" s="572"/>
      <c r="B117" s="572"/>
      <c r="C117" s="122" t="s">
        <v>817</v>
      </c>
      <c r="D117" s="375"/>
      <c r="E117" s="572"/>
      <c r="F117" s="572"/>
      <c r="G117" s="572"/>
      <c r="H117" s="572"/>
      <c r="I117" s="572"/>
      <c r="J117" s="498"/>
      <c r="K117" s="572"/>
      <c r="L117" s="572"/>
      <c r="M117" s="597"/>
      <c r="N117" s="572"/>
      <c r="Q117" s="572"/>
      <c r="R117" s="572"/>
    </row>
    <row r="118" spans="1:18" outlineLevel="1" x14ac:dyDescent="0.2">
      <c r="A118" s="6"/>
      <c r="B118" s="6"/>
      <c r="C118" s="6"/>
      <c r="D118" s="6"/>
      <c r="E118" s="6"/>
      <c r="F118" s="6"/>
      <c r="G118" s="6"/>
      <c r="H118" s="6"/>
      <c r="I118" s="6"/>
      <c r="J118" s="172"/>
      <c r="K118" s="6"/>
      <c r="L118" s="6"/>
      <c r="M118" s="197"/>
      <c r="N118" s="6"/>
      <c r="Q118" s="6"/>
      <c r="R118" s="6"/>
    </row>
    <row r="119" spans="1:18" x14ac:dyDescent="0.2">
      <c r="A119" s="6"/>
      <c r="B119" s="6"/>
      <c r="C119" s="6"/>
      <c r="D119" s="6"/>
      <c r="E119" s="6"/>
      <c r="F119" s="6"/>
      <c r="G119" s="6"/>
      <c r="H119" s="6"/>
      <c r="I119" s="6"/>
      <c r="J119" s="172"/>
      <c r="K119" s="6"/>
      <c r="L119" s="6"/>
      <c r="M119" s="6"/>
      <c r="N119" s="6"/>
      <c r="Q119" s="6"/>
      <c r="R119" s="6"/>
    </row>
    <row r="120" spans="1:18" ht="15.75" x14ac:dyDescent="0.2">
      <c r="A120" s="104"/>
      <c r="B120" s="190">
        <v>3</v>
      </c>
      <c r="C120" s="110" t="str">
        <f>IF(D124&lt;&gt;"",CONCATENATE("Incident ",B120,": ",F124,I120),MsgNotUsed)</f>
        <v>** NOT USED **</v>
      </c>
      <c r="D120" s="188"/>
      <c r="E120" s="188"/>
      <c r="F120" s="188"/>
      <c r="G120" s="188"/>
      <c r="H120" s="191"/>
      <c r="I120" s="455" t="str">
        <f>IF(R124&lt;&gt;"",CONCATENATE(" (",R124,")"),"")</f>
        <v/>
      </c>
      <c r="J120" s="187"/>
      <c r="K120" s="187"/>
      <c r="L120" s="187"/>
      <c r="M120" s="187"/>
      <c r="N120" s="187"/>
      <c r="O120" s="187"/>
      <c r="P120" s="187"/>
      <c r="Q120" s="189"/>
      <c r="R120" s="189"/>
    </row>
    <row r="121" spans="1:18" outlineLevel="1" x14ac:dyDescent="0.2">
      <c r="A121" s="599"/>
      <c r="B121" s="599"/>
      <c r="C121" s="595"/>
      <c r="D121" s="599"/>
      <c r="E121" s="599"/>
      <c r="F121" s="599"/>
      <c r="G121" s="599"/>
      <c r="H121" s="599"/>
      <c r="I121" s="599"/>
      <c r="J121" s="593"/>
      <c r="K121" s="599"/>
      <c r="L121" s="599"/>
      <c r="M121" s="599"/>
      <c r="N121" s="599"/>
      <c r="O121" s="599"/>
      <c r="P121" s="599"/>
      <c r="Q121" s="599"/>
      <c r="R121" s="599"/>
    </row>
    <row r="122" spans="1:18" outlineLevel="1" x14ac:dyDescent="0.2">
      <c r="A122" s="599"/>
      <c r="B122" s="599"/>
      <c r="C122" s="572" t="s">
        <v>913</v>
      </c>
      <c r="D122" s="599"/>
      <c r="E122" s="599"/>
      <c r="F122" s="599"/>
      <c r="G122" s="770" t="str">
        <f>IF(D124=INDEX(EPISource,4),MsgNote &amp; VLOOKUP("PrevInc",WarningMessages,2,FALSE),"")</f>
        <v/>
      </c>
      <c r="H122" s="770"/>
      <c r="I122" s="770"/>
      <c r="J122" s="593"/>
      <c r="K122" s="599"/>
      <c r="L122" s="599"/>
      <c r="M122" s="599"/>
      <c r="N122" s="599"/>
      <c r="O122" s="599"/>
      <c r="P122" s="599"/>
      <c r="Q122" s="599"/>
      <c r="R122" s="670" t="str">
        <f ca="1">IF(ISERROR($M145)=TRUE,MsgError &amp; VLOOKUP("BadPop",ErrorMessages,2,FALSE),"")</f>
        <v/>
      </c>
    </row>
    <row r="123" spans="1:18" outlineLevel="1" x14ac:dyDescent="0.2">
      <c r="A123" s="599"/>
      <c r="B123" s="599"/>
      <c r="C123" s="595"/>
      <c r="D123" s="599"/>
      <c r="E123" s="599"/>
      <c r="F123" s="599"/>
      <c r="G123" s="599"/>
      <c r="H123" s="599"/>
      <c r="I123" s="599"/>
      <c r="J123" s="593"/>
      <c r="K123" s="599"/>
      <c r="L123" s="599"/>
      <c r="M123" s="599"/>
      <c r="N123" s="599"/>
      <c r="O123" s="599"/>
      <c r="P123" s="599"/>
      <c r="Q123" s="599"/>
      <c r="R123" s="577" t="s">
        <v>470</v>
      </c>
    </row>
    <row r="124" spans="1:18" outlineLevel="1" x14ac:dyDescent="0.2">
      <c r="A124" s="599"/>
      <c r="B124" s="599"/>
      <c r="C124" s="578" t="s">
        <v>131</v>
      </c>
      <c r="D124" s="605"/>
      <c r="E124" s="594"/>
      <c r="F124" s="778"/>
      <c r="G124" s="779"/>
      <c r="H124" s="779"/>
      <c r="I124" s="780"/>
      <c r="J124" s="593"/>
      <c r="K124" s="599"/>
      <c r="L124" s="599"/>
      <c r="M124" s="599"/>
      <c r="N124" s="599"/>
      <c r="O124" s="599"/>
      <c r="P124" s="599"/>
      <c r="Q124" s="599"/>
      <c r="R124" s="606"/>
    </row>
    <row r="125" spans="1:18" outlineLevel="1" x14ac:dyDescent="0.2">
      <c r="A125" s="599"/>
      <c r="B125" s="599"/>
      <c r="C125" s="595"/>
      <c r="D125" s="600">
        <v>1</v>
      </c>
      <c r="E125" s="600">
        <v>2</v>
      </c>
      <c r="F125" s="600">
        <v>3</v>
      </c>
      <c r="G125" s="600">
        <v>4</v>
      </c>
      <c r="H125" s="600">
        <v>5</v>
      </c>
      <c r="I125" s="600">
        <v>6</v>
      </c>
      <c r="J125" s="593"/>
      <c r="K125" s="599"/>
      <c r="L125" s="599"/>
      <c r="M125" s="599"/>
      <c r="N125" s="599"/>
      <c r="O125" s="599"/>
      <c r="P125" s="599"/>
      <c r="Q125" s="599"/>
      <c r="R125" s="599"/>
    </row>
    <row r="126" spans="1:18" ht="15" customHeight="1" outlineLevel="1" x14ac:dyDescent="0.2">
      <c r="A126" s="599"/>
      <c r="B126" s="599"/>
      <c r="C126" s="595"/>
      <c r="D126" s="776" t="s">
        <v>11</v>
      </c>
      <c r="E126" s="776"/>
      <c r="F126" s="776"/>
      <c r="G126" s="776"/>
      <c r="H126" s="776"/>
      <c r="I126" s="776"/>
      <c r="J126" s="593"/>
      <c r="K126" s="599"/>
      <c r="L126" s="599"/>
      <c r="M126" s="599"/>
      <c r="N126" s="599"/>
      <c r="O126" s="599"/>
      <c r="P126" s="599"/>
      <c r="Q126" s="599"/>
      <c r="R126" s="599"/>
    </row>
    <row r="127" spans="1:18" outlineLevel="1" x14ac:dyDescent="0.2">
      <c r="A127" s="599"/>
      <c r="B127" s="599"/>
      <c r="C127" s="573"/>
      <c r="D127" s="588">
        <f>FirstYear</f>
        <v>0</v>
      </c>
      <c r="E127" s="588">
        <f>D127+1</f>
        <v>1</v>
      </c>
      <c r="F127" s="588">
        <f>E127+1</f>
        <v>2</v>
      </c>
      <c r="G127" s="588">
        <f>F127+1</f>
        <v>3</v>
      </c>
      <c r="H127" s="588">
        <f>G127+1</f>
        <v>4</v>
      </c>
      <c r="I127" s="588">
        <f>H127+1</f>
        <v>5</v>
      </c>
      <c r="J127" s="593"/>
      <c r="K127" s="599"/>
      <c r="L127" s="599"/>
      <c r="M127" s="599"/>
      <c r="N127" s="599"/>
      <c r="O127" s="599"/>
      <c r="P127" s="599"/>
      <c r="Q127" s="599"/>
      <c r="R127" s="599"/>
    </row>
    <row r="128" spans="1:18" ht="12.75" customHeight="1" outlineLevel="1" x14ac:dyDescent="0.2">
      <c r="A128" s="572"/>
      <c r="B128" s="572"/>
      <c r="C128" s="576" t="s">
        <v>382</v>
      </c>
      <c r="D128" s="596">
        <f t="shared" ref="D128:I128" ca="1" si="22">IF(AND(ISERROR($M145)&lt;&gt;TRUE,$F124&lt;&gt;""),INDEX(PxPopNumbers,$M145,D125),0)</f>
        <v>0</v>
      </c>
      <c r="E128" s="596">
        <f t="shared" ca="1" si="22"/>
        <v>0</v>
      </c>
      <c r="F128" s="596">
        <f t="shared" ca="1" si="22"/>
        <v>0</v>
      </c>
      <c r="G128" s="596">
        <f t="shared" ca="1" si="22"/>
        <v>0</v>
      </c>
      <c r="H128" s="596">
        <f t="shared" ca="1" si="22"/>
        <v>0</v>
      </c>
      <c r="I128" s="596">
        <f t="shared" ca="1" si="22"/>
        <v>0</v>
      </c>
      <c r="J128" s="593"/>
      <c r="K128" s="572"/>
      <c r="L128" s="572"/>
      <c r="M128" s="572"/>
      <c r="N128" s="572"/>
      <c r="O128" s="572"/>
      <c r="P128" s="572"/>
      <c r="Q128" s="595"/>
      <c r="R128" s="572"/>
    </row>
    <row r="129" spans="1:18" ht="12.75" customHeight="1" outlineLevel="1" x14ac:dyDescent="0.2">
      <c r="A129" s="593"/>
      <c r="B129" s="593"/>
      <c r="C129" s="593"/>
      <c r="D129" s="593"/>
      <c r="E129" s="593"/>
      <c r="F129" s="593"/>
      <c r="G129" s="593"/>
      <c r="H129" s="593"/>
      <c r="I129" s="593"/>
      <c r="J129" s="593"/>
      <c r="K129" s="572"/>
      <c r="L129" s="572"/>
      <c r="M129" s="572"/>
      <c r="N129" s="572"/>
      <c r="O129" s="572"/>
      <c r="P129" s="572"/>
      <c r="Q129" s="593"/>
      <c r="R129" s="593"/>
    </row>
    <row r="130" spans="1:18" ht="12.75" customHeight="1" outlineLevel="1" x14ac:dyDescent="0.2">
      <c r="A130" s="593"/>
      <c r="B130" s="593"/>
      <c r="C130" s="579" t="s">
        <v>238</v>
      </c>
      <c r="D130" s="593"/>
      <c r="E130" s="593"/>
      <c r="F130" s="593"/>
      <c r="G130" s="593"/>
      <c r="H130" s="593"/>
      <c r="I130" s="593"/>
      <c r="J130" s="593"/>
      <c r="K130" s="572"/>
      <c r="L130" s="572"/>
      <c r="M130" s="593"/>
      <c r="N130" s="593"/>
      <c r="O130" s="593"/>
      <c r="P130" s="593"/>
      <c r="Q130" s="593"/>
      <c r="R130" s="577" t="s">
        <v>292</v>
      </c>
    </row>
    <row r="131" spans="1:18" outlineLevel="1" x14ac:dyDescent="0.2">
      <c r="A131" s="572"/>
      <c r="B131" s="572"/>
      <c r="C131" s="589"/>
      <c r="D131" s="610"/>
      <c r="E131" s="610"/>
      <c r="F131" s="610"/>
      <c r="G131" s="610"/>
      <c r="H131" s="610"/>
      <c r="I131" s="610"/>
      <c r="J131" s="593"/>
      <c r="K131" s="581">
        <f t="shared" ref="K131:P140" si="23">IF(D131="",1,D131)</f>
        <v>1</v>
      </c>
      <c r="L131" s="581">
        <f t="shared" si="23"/>
        <v>1</v>
      </c>
      <c r="M131" s="581">
        <f t="shared" si="23"/>
        <v>1</v>
      </c>
      <c r="N131" s="581">
        <f t="shared" si="23"/>
        <v>1</v>
      </c>
      <c r="O131" s="581">
        <f t="shared" si="23"/>
        <v>1</v>
      </c>
      <c r="P131" s="581">
        <f t="shared" si="23"/>
        <v>1</v>
      </c>
      <c r="Q131" s="572"/>
      <c r="R131" s="589"/>
    </row>
    <row r="132" spans="1:18" outlineLevel="1" x14ac:dyDescent="0.2">
      <c r="A132" s="572"/>
      <c r="B132" s="572"/>
      <c r="C132" s="589"/>
      <c r="D132" s="610"/>
      <c r="E132" s="610"/>
      <c r="F132" s="610"/>
      <c r="G132" s="610"/>
      <c r="H132" s="610"/>
      <c r="I132" s="610"/>
      <c r="J132" s="593"/>
      <c r="K132" s="581">
        <f t="shared" si="23"/>
        <v>1</v>
      </c>
      <c r="L132" s="581">
        <f t="shared" si="23"/>
        <v>1</v>
      </c>
      <c r="M132" s="581">
        <f t="shared" si="23"/>
        <v>1</v>
      </c>
      <c r="N132" s="581">
        <f t="shared" si="23"/>
        <v>1</v>
      </c>
      <c r="O132" s="581">
        <f t="shared" si="23"/>
        <v>1</v>
      </c>
      <c r="P132" s="581">
        <f t="shared" si="23"/>
        <v>1</v>
      </c>
      <c r="Q132" s="572"/>
      <c r="R132" s="589"/>
    </row>
    <row r="133" spans="1:18" ht="12.75" customHeight="1" outlineLevel="1" x14ac:dyDescent="0.2">
      <c r="A133" s="572"/>
      <c r="B133" s="572"/>
      <c r="C133" s="589"/>
      <c r="D133" s="610"/>
      <c r="E133" s="610"/>
      <c r="F133" s="610"/>
      <c r="G133" s="610"/>
      <c r="H133" s="610"/>
      <c r="I133" s="610"/>
      <c r="J133" s="593"/>
      <c r="K133" s="581">
        <f t="shared" si="23"/>
        <v>1</v>
      </c>
      <c r="L133" s="581">
        <f t="shared" si="23"/>
        <v>1</v>
      </c>
      <c r="M133" s="581">
        <f t="shared" si="23"/>
        <v>1</v>
      </c>
      <c r="N133" s="581">
        <f t="shared" si="23"/>
        <v>1</v>
      </c>
      <c r="O133" s="581">
        <f t="shared" si="23"/>
        <v>1</v>
      </c>
      <c r="P133" s="581">
        <f t="shared" si="23"/>
        <v>1</v>
      </c>
      <c r="Q133" s="572"/>
      <c r="R133" s="589"/>
    </row>
    <row r="134" spans="1:18" ht="12.75" customHeight="1" outlineLevel="1" x14ac:dyDescent="0.2">
      <c r="A134" s="572"/>
      <c r="B134" s="572"/>
      <c r="C134" s="589"/>
      <c r="D134" s="610"/>
      <c r="E134" s="610"/>
      <c r="F134" s="610"/>
      <c r="G134" s="610"/>
      <c r="H134" s="610"/>
      <c r="I134" s="610"/>
      <c r="J134" s="593"/>
      <c r="K134" s="581">
        <f t="shared" si="23"/>
        <v>1</v>
      </c>
      <c r="L134" s="581">
        <f t="shared" si="23"/>
        <v>1</v>
      </c>
      <c r="M134" s="581">
        <f t="shared" si="23"/>
        <v>1</v>
      </c>
      <c r="N134" s="581">
        <f t="shared" si="23"/>
        <v>1</v>
      </c>
      <c r="O134" s="581">
        <f t="shared" si="23"/>
        <v>1</v>
      </c>
      <c r="P134" s="581">
        <f t="shared" si="23"/>
        <v>1</v>
      </c>
      <c r="Q134" s="572"/>
      <c r="R134" s="589"/>
    </row>
    <row r="135" spans="1:18" ht="12.75" customHeight="1" outlineLevel="1" x14ac:dyDescent="0.2">
      <c r="A135" s="572"/>
      <c r="B135" s="572"/>
      <c r="C135" s="589"/>
      <c r="D135" s="610"/>
      <c r="E135" s="610"/>
      <c r="F135" s="610"/>
      <c r="G135" s="610"/>
      <c r="H135" s="610"/>
      <c r="I135" s="610"/>
      <c r="J135" s="593"/>
      <c r="K135" s="581">
        <f t="shared" si="23"/>
        <v>1</v>
      </c>
      <c r="L135" s="581">
        <f t="shared" si="23"/>
        <v>1</v>
      </c>
      <c r="M135" s="581">
        <f t="shared" si="23"/>
        <v>1</v>
      </c>
      <c r="N135" s="581">
        <f t="shared" si="23"/>
        <v>1</v>
      </c>
      <c r="O135" s="581">
        <f t="shared" si="23"/>
        <v>1</v>
      </c>
      <c r="P135" s="581">
        <f t="shared" si="23"/>
        <v>1</v>
      </c>
      <c r="Q135" s="572"/>
      <c r="R135" s="589"/>
    </row>
    <row r="136" spans="1:18" ht="12.75" customHeight="1" outlineLevel="1" x14ac:dyDescent="0.2">
      <c r="A136" s="572"/>
      <c r="B136" s="572"/>
      <c r="C136" s="589"/>
      <c r="D136" s="610"/>
      <c r="E136" s="610"/>
      <c r="F136" s="610"/>
      <c r="G136" s="610"/>
      <c r="H136" s="610"/>
      <c r="I136" s="610"/>
      <c r="J136" s="593"/>
      <c r="K136" s="581">
        <f t="shared" si="23"/>
        <v>1</v>
      </c>
      <c r="L136" s="581">
        <f t="shared" si="23"/>
        <v>1</v>
      </c>
      <c r="M136" s="581">
        <f t="shared" si="23"/>
        <v>1</v>
      </c>
      <c r="N136" s="581">
        <f t="shared" si="23"/>
        <v>1</v>
      </c>
      <c r="O136" s="581">
        <f t="shared" si="23"/>
        <v>1</v>
      </c>
      <c r="P136" s="581">
        <f t="shared" si="23"/>
        <v>1</v>
      </c>
      <c r="Q136" s="572"/>
      <c r="R136" s="589"/>
    </row>
    <row r="137" spans="1:18" outlineLevel="1" x14ac:dyDescent="0.2">
      <c r="A137" s="572"/>
      <c r="B137" s="572"/>
      <c r="C137" s="589"/>
      <c r="D137" s="610"/>
      <c r="E137" s="610"/>
      <c r="F137" s="610"/>
      <c r="G137" s="610"/>
      <c r="H137" s="610"/>
      <c r="I137" s="610"/>
      <c r="J137" s="593"/>
      <c r="K137" s="581">
        <f t="shared" si="23"/>
        <v>1</v>
      </c>
      <c r="L137" s="581">
        <f t="shared" si="23"/>
        <v>1</v>
      </c>
      <c r="M137" s="581">
        <f t="shared" si="23"/>
        <v>1</v>
      </c>
      <c r="N137" s="581">
        <f t="shared" si="23"/>
        <v>1</v>
      </c>
      <c r="O137" s="581">
        <f t="shared" si="23"/>
        <v>1</v>
      </c>
      <c r="P137" s="581">
        <f t="shared" si="23"/>
        <v>1</v>
      </c>
      <c r="Q137" s="572"/>
      <c r="R137" s="589"/>
    </row>
    <row r="138" spans="1:18" outlineLevel="1" x14ac:dyDescent="0.2">
      <c r="A138" s="572"/>
      <c r="B138" s="572"/>
      <c r="C138" s="589"/>
      <c r="D138" s="610"/>
      <c r="E138" s="610"/>
      <c r="F138" s="610"/>
      <c r="G138" s="610"/>
      <c r="H138" s="610"/>
      <c r="I138" s="610"/>
      <c r="J138" s="593"/>
      <c r="K138" s="581">
        <f t="shared" si="23"/>
        <v>1</v>
      </c>
      <c r="L138" s="581">
        <f t="shared" si="23"/>
        <v>1</v>
      </c>
      <c r="M138" s="581">
        <f t="shared" si="23"/>
        <v>1</v>
      </c>
      <c r="N138" s="581">
        <f t="shared" si="23"/>
        <v>1</v>
      </c>
      <c r="O138" s="581">
        <f t="shared" si="23"/>
        <v>1</v>
      </c>
      <c r="P138" s="581">
        <f t="shared" si="23"/>
        <v>1</v>
      </c>
      <c r="Q138" s="572"/>
      <c r="R138" s="589"/>
    </row>
    <row r="139" spans="1:18" outlineLevel="1" x14ac:dyDescent="0.2">
      <c r="A139" s="572"/>
      <c r="B139" s="572"/>
      <c r="C139" s="589"/>
      <c r="D139" s="610"/>
      <c r="E139" s="610"/>
      <c r="F139" s="610"/>
      <c r="G139" s="610"/>
      <c r="H139" s="610"/>
      <c r="I139" s="610"/>
      <c r="J139" s="593"/>
      <c r="K139" s="581">
        <f t="shared" si="23"/>
        <v>1</v>
      </c>
      <c r="L139" s="581">
        <f t="shared" si="23"/>
        <v>1</v>
      </c>
      <c r="M139" s="581">
        <f t="shared" si="23"/>
        <v>1</v>
      </c>
      <c r="N139" s="581">
        <f t="shared" si="23"/>
        <v>1</v>
      </c>
      <c r="O139" s="581">
        <f t="shared" si="23"/>
        <v>1</v>
      </c>
      <c r="P139" s="581">
        <f t="shared" si="23"/>
        <v>1</v>
      </c>
      <c r="Q139" s="572"/>
      <c r="R139" s="589"/>
    </row>
    <row r="140" spans="1:18" outlineLevel="1" x14ac:dyDescent="0.2">
      <c r="A140" s="572"/>
      <c r="B140" s="572"/>
      <c r="C140" s="589"/>
      <c r="D140" s="610"/>
      <c r="E140" s="610"/>
      <c r="F140" s="610"/>
      <c r="G140" s="610"/>
      <c r="H140" s="610"/>
      <c r="I140" s="610"/>
      <c r="J140" s="593"/>
      <c r="K140" s="581">
        <f>IF(D140="",1,D140)</f>
        <v>1</v>
      </c>
      <c r="L140" s="581">
        <f t="shared" si="23"/>
        <v>1</v>
      </c>
      <c r="M140" s="581">
        <f t="shared" si="23"/>
        <v>1</v>
      </c>
      <c r="N140" s="581">
        <f t="shared" si="23"/>
        <v>1</v>
      </c>
      <c r="O140" s="581">
        <f t="shared" si="23"/>
        <v>1</v>
      </c>
      <c r="P140" s="581">
        <f t="shared" si="23"/>
        <v>1</v>
      </c>
      <c r="Q140" s="572"/>
      <c r="R140" s="589"/>
    </row>
    <row r="141" spans="1:18" outlineLevel="1" x14ac:dyDescent="0.2">
      <c r="A141" s="572"/>
      <c r="B141" s="572"/>
      <c r="C141" s="580" t="s">
        <v>246</v>
      </c>
      <c r="D141" s="611">
        <f t="shared" ref="D141:I141" si="24">K131*K132*K133*K134*K140*K135*K136*K137*K138*K139</f>
        <v>1</v>
      </c>
      <c r="E141" s="611">
        <f t="shared" si="24"/>
        <v>1</v>
      </c>
      <c r="F141" s="611">
        <f t="shared" si="24"/>
        <v>1</v>
      </c>
      <c r="G141" s="611">
        <f t="shared" si="24"/>
        <v>1</v>
      </c>
      <c r="H141" s="611">
        <f t="shared" si="24"/>
        <v>1</v>
      </c>
      <c r="I141" s="611">
        <f t="shared" si="24"/>
        <v>1</v>
      </c>
      <c r="J141" s="593"/>
      <c r="K141" s="572"/>
      <c r="L141" s="572"/>
      <c r="M141" s="597"/>
      <c r="N141" s="572"/>
      <c r="O141" s="572"/>
      <c r="P141" s="572"/>
      <c r="Q141" s="572"/>
      <c r="R141" s="572"/>
    </row>
    <row r="142" spans="1:18" outlineLevel="1" x14ac:dyDescent="0.2">
      <c r="A142" s="597"/>
      <c r="B142" s="597"/>
      <c r="C142" s="574" t="s">
        <v>108</v>
      </c>
      <c r="D142" s="607">
        <f t="shared" ref="D142:I142" ca="1" si="25">IF(ISNUMBER(D128),D128*D141,"")</f>
        <v>0</v>
      </c>
      <c r="E142" s="607">
        <f t="shared" ca="1" si="25"/>
        <v>0</v>
      </c>
      <c r="F142" s="607">
        <f t="shared" ca="1" si="25"/>
        <v>0</v>
      </c>
      <c r="G142" s="607">
        <f t="shared" ca="1" si="25"/>
        <v>0</v>
      </c>
      <c r="H142" s="607">
        <f t="shared" ca="1" si="25"/>
        <v>0</v>
      </c>
      <c r="I142" s="607">
        <f t="shared" ca="1" si="25"/>
        <v>0</v>
      </c>
      <c r="J142" s="593"/>
      <c r="K142" s="597"/>
      <c r="L142" s="572"/>
      <c r="M142" s="572"/>
      <c r="N142" s="572"/>
      <c r="O142" s="572"/>
      <c r="P142" s="572"/>
      <c r="Q142" s="572"/>
      <c r="R142" s="572"/>
    </row>
    <row r="143" spans="1:18" outlineLevel="1" x14ac:dyDescent="0.2">
      <c r="A143" s="593"/>
      <c r="B143" s="593"/>
      <c r="C143" s="593"/>
      <c r="D143" s="593"/>
      <c r="E143" s="593"/>
      <c r="F143" s="593"/>
      <c r="G143" s="593"/>
      <c r="H143" s="593"/>
      <c r="I143" s="593"/>
      <c r="J143" s="593"/>
      <c r="K143" s="593"/>
      <c r="L143" s="593"/>
      <c r="M143" s="593"/>
      <c r="N143" s="593"/>
      <c r="O143" s="575"/>
      <c r="P143" s="575"/>
      <c r="Q143" s="593"/>
      <c r="R143" s="593"/>
    </row>
    <row r="144" spans="1:18" outlineLevel="1" x14ac:dyDescent="0.2">
      <c r="A144" s="593"/>
      <c r="B144" s="593"/>
      <c r="C144" s="585" t="str">
        <f>TxPhase1Tx</f>
        <v/>
      </c>
      <c r="D144" s="591"/>
      <c r="E144" s="572"/>
      <c r="F144" s="572"/>
      <c r="G144" s="593"/>
      <c r="H144" s="593"/>
      <c r="I144" s="593"/>
      <c r="J144" s="593"/>
      <c r="K144" s="604" t="s">
        <v>292</v>
      </c>
      <c r="L144" s="604" t="s">
        <v>52</v>
      </c>
      <c r="M144" s="604" t="s">
        <v>381</v>
      </c>
      <c r="N144" s="593"/>
      <c r="O144" s="575"/>
      <c r="P144" s="575"/>
      <c r="Q144" s="593"/>
      <c r="R144" s="577" t="s">
        <v>292</v>
      </c>
    </row>
    <row r="145" spans="1:18" outlineLevel="1" x14ac:dyDescent="0.2">
      <c r="A145" s="593"/>
      <c r="B145" s="593"/>
      <c r="C145" s="585" t="s">
        <v>109</v>
      </c>
      <c r="D145" s="584"/>
      <c r="E145" s="584"/>
      <c r="F145" s="584"/>
      <c r="G145" s="584"/>
      <c r="H145" s="584"/>
      <c r="I145" s="584"/>
      <c r="J145" s="593"/>
      <c r="K145" s="598">
        <f>IF(D124&lt;&gt;"",MATCH(D124,EPISource,0)-1,0)</f>
        <v>0</v>
      </c>
      <c r="L145" s="598">
        <f ca="1">IF(F124&lt;&gt;"",MATCH(F124,OFFSET(References!$AB$7,0,K145,PxPopCount),0),0)</f>
        <v>0</v>
      </c>
      <c r="M145" s="598">
        <f ca="1">(K145*PxPopCount)+L145</f>
        <v>0</v>
      </c>
      <c r="N145" s="593"/>
      <c r="O145" s="575"/>
      <c r="P145" s="575"/>
      <c r="Q145" s="593"/>
      <c r="R145" s="582"/>
    </row>
    <row r="146" spans="1:18" outlineLevel="1" x14ac:dyDescent="0.2">
      <c r="A146" s="593"/>
      <c r="B146" s="593"/>
      <c r="C146" s="593"/>
      <c r="D146" s="593"/>
      <c r="E146" s="612"/>
      <c r="F146" s="593"/>
      <c r="G146" s="593"/>
      <c r="H146" s="593"/>
      <c r="I146" s="593"/>
      <c r="J146" s="593"/>
      <c r="K146" s="571"/>
      <c r="L146" s="571"/>
      <c r="M146" s="593"/>
      <c r="N146" s="593"/>
      <c r="O146" s="575"/>
      <c r="P146" s="575"/>
      <c r="Q146" s="593"/>
      <c r="R146" s="593"/>
    </row>
    <row r="147" spans="1:18" outlineLevel="1" x14ac:dyDescent="0.2">
      <c r="A147" s="593"/>
      <c r="B147" s="593"/>
      <c r="C147" s="590" t="str">
        <f>TXPhase2Tx</f>
        <v/>
      </c>
      <c r="D147" s="600"/>
      <c r="E147" s="600"/>
      <c r="F147" s="593"/>
      <c r="G147" s="593"/>
      <c r="H147" s="593"/>
      <c r="I147" s="593"/>
      <c r="J147" s="593"/>
      <c r="K147" s="571"/>
      <c r="L147" s="571"/>
      <c r="M147" s="593"/>
      <c r="N147" s="593"/>
      <c r="O147" s="575"/>
      <c r="P147" s="575"/>
      <c r="Q147" s="593"/>
      <c r="R147" s="577" t="s">
        <v>292</v>
      </c>
    </row>
    <row r="148" spans="1:18" outlineLevel="1" x14ac:dyDescent="0.2">
      <c r="A148" s="593"/>
      <c r="B148" s="593"/>
      <c r="C148" s="590" t="str">
        <f>IF(C147&lt;&gt;"","Patients electing treatment (%)","")</f>
        <v/>
      </c>
      <c r="D148" s="584"/>
      <c r="E148" s="584"/>
      <c r="F148" s="584"/>
      <c r="G148" s="584"/>
      <c r="H148" s="584"/>
      <c r="I148" s="584"/>
      <c r="J148" s="593"/>
      <c r="K148" s="572"/>
      <c r="L148" s="575"/>
      <c r="M148" s="593"/>
      <c r="N148" s="593"/>
      <c r="O148" s="575"/>
      <c r="P148" s="575"/>
      <c r="Q148" s="593"/>
      <c r="R148" s="582"/>
    </row>
    <row r="149" spans="1:18" outlineLevel="1" x14ac:dyDescent="0.2">
      <c r="A149" s="593"/>
      <c r="B149" s="593"/>
      <c r="C149" s="593"/>
      <c r="D149" s="593"/>
      <c r="E149" s="593"/>
      <c r="F149" s="593"/>
      <c r="G149" s="593"/>
      <c r="H149" s="593"/>
      <c r="I149" s="593"/>
      <c r="J149" s="593"/>
      <c r="K149" s="593"/>
      <c r="L149" s="593"/>
      <c r="M149" s="593"/>
      <c r="N149" s="593"/>
      <c r="O149" s="575"/>
      <c r="P149" s="575"/>
      <c r="Q149" s="593"/>
      <c r="R149" s="593"/>
    </row>
    <row r="150" spans="1:18" outlineLevel="1" x14ac:dyDescent="0.2">
      <c r="A150" s="572"/>
      <c r="B150" s="572"/>
      <c r="C150" s="585" t="str">
        <f>TxPhase1Px</f>
        <v/>
      </c>
      <c r="D150" s="607">
        <f t="shared" ref="D150:I150" si="26">IF(TxPhase1&lt;&gt;"",D142*D145,0)</f>
        <v>0</v>
      </c>
      <c r="E150" s="607">
        <f t="shared" si="26"/>
        <v>0</v>
      </c>
      <c r="F150" s="607">
        <f t="shared" si="26"/>
        <v>0</v>
      </c>
      <c r="G150" s="607">
        <f t="shared" si="26"/>
        <v>0</v>
      </c>
      <c r="H150" s="607">
        <f t="shared" si="26"/>
        <v>0</v>
      </c>
      <c r="I150" s="607">
        <f t="shared" si="26"/>
        <v>0</v>
      </c>
      <c r="J150" s="598" t="str">
        <f>IF(D153&lt;&gt;"",D153,"")</f>
        <v/>
      </c>
      <c r="K150" s="599"/>
      <c r="L150" s="599"/>
      <c r="M150" s="599"/>
      <c r="N150" s="599"/>
      <c r="O150" s="575"/>
      <c r="P150" s="575"/>
      <c r="Q150" s="572"/>
      <c r="R150" s="572"/>
    </row>
    <row r="151" spans="1:18" outlineLevel="1" x14ac:dyDescent="0.2">
      <c r="A151" s="572"/>
      <c r="B151" s="572"/>
      <c r="C151" s="585" t="str">
        <f>TxPhase2Px</f>
        <v/>
      </c>
      <c r="D151" s="607">
        <f t="shared" ref="D151:I151" si="27">IF(TxPhase2&lt;&gt;"",D142*D148,0)</f>
        <v>0</v>
      </c>
      <c r="E151" s="607">
        <f t="shared" si="27"/>
        <v>0</v>
      </c>
      <c r="F151" s="607">
        <f t="shared" si="27"/>
        <v>0</v>
      </c>
      <c r="G151" s="607">
        <f t="shared" si="27"/>
        <v>0</v>
      </c>
      <c r="H151" s="607">
        <f t="shared" si="27"/>
        <v>0</v>
      </c>
      <c r="I151" s="607">
        <f t="shared" si="27"/>
        <v>0</v>
      </c>
      <c r="J151" s="598" t="str">
        <f>IF(D153&lt;&gt;"",D153,"")</f>
        <v/>
      </c>
      <c r="K151" s="572"/>
      <c r="L151" s="572"/>
      <c r="M151" s="597"/>
      <c r="N151" s="572"/>
      <c r="O151" s="575"/>
      <c r="P151" s="575"/>
      <c r="Q151" s="572"/>
      <c r="R151" s="572"/>
    </row>
    <row r="152" spans="1:18" s="570" customFormat="1" outlineLevel="1" x14ac:dyDescent="0.2">
      <c r="A152" s="572"/>
      <c r="B152" s="572"/>
      <c r="C152" s="572"/>
      <c r="D152" s="572"/>
      <c r="E152" s="572"/>
      <c r="F152" s="572"/>
      <c r="G152" s="572"/>
      <c r="H152" s="572"/>
      <c r="I152" s="572"/>
      <c r="J152" s="593"/>
      <c r="K152" s="572"/>
      <c r="L152" s="572"/>
      <c r="M152" s="597"/>
      <c r="N152" s="572"/>
      <c r="O152" s="575"/>
      <c r="P152" s="575"/>
      <c r="Q152" s="572"/>
      <c r="R152" s="572"/>
    </row>
    <row r="153" spans="1:18" s="570" customFormat="1" outlineLevel="1" x14ac:dyDescent="0.2">
      <c r="A153" s="572"/>
      <c r="B153" s="572"/>
      <c r="C153" s="122" t="s">
        <v>817</v>
      </c>
      <c r="D153" s="375"/>
      <c r="E153" s="572"/>
      <c r="F153" s="572"/>
      <c r="G153" s="572"/>
      <c r="H153" s="572"/>
      <c r="I153" s="572"/>
      <c r="J153" s="593"/>
      <c r="K153" s="572"/>
      <c r="L153" s="572"/>
      <c r="M153" s="597"/>
      <c r="N153" s="572"/>
      <c r="O153" s="575"/>
      <c r="P153" s="575"/>
      <c r="Q153" s="572"/>
      <c r="R153" s="572"/>
    </row>
    <row r="154" spans="1:18" outlineLevel="1" x14ac:dyDescent="0.2">
      <c r="A154" s="572"/>
      <c r="B154" s="572"/>
      <c r="C154" s="572"/>
      <c r="D154" s="572"/>
      <c r="E154" s="572"/>
      <c r="F154" s="572"/>
      <c r="G154" s="572"/>
      <c r="H154" s="572"/>
      <c r="I154" s="572"/>
      <c r="J154" s="593"/>
      <c r="K154" s="572"/>
      <c r="L154" s="572"/>
      <c r="M154" s="597"/>
      <c r="N154" s="572"/>
      <c r="O154" s="575"/>
      <c r="P154" s="575"/>
      <c r="Q154" s="572"/>
      <c r="R154" s="572"/>
    </row>
    <row r="155" spans="1:18" x14ac:dyDescent="0.2">
      <c r="A155" s="572"/>
      <c r="B155" s="572"/>
      <c r="C155" s="572"/>
      <c r="D155" s="572"/>
      <c r="E155" s="572"/>
      <c r="F155" s="572"/>
      <c r="G155" s="572"/>
      <c r="H155" s="572"/>
      <c r="I155" s="572"/>
      <c r="J155" s="593"/>
      <c r="K155" s="572"/>
      <c r="L155" s="572"/>
      <c r="M155" s="572"/>
      <c r="N155" s="572"/>
      <c r="O155" s="575"/>
      <c r="P155" s="575"/>
      <c r="Q155" s="572"/>
      <c r="R155" s="572"/>
    </row>
    <row r="156" spans="1:18" ht="15.75" x14ac:dyDescent="0.2">
      <c r="A156" s="104"/>
      <c r="B156" s="190">
        <v>4</v>
      </c>
      <c r="C156" s="110" t="str">
        <f>IF(D160&lt;&gt;"",CONCATENATE("Incident ",B156,": ",F160,I156),MsgNotUsed)</f>
        <v>** NOT USED **</v>
      </c>
      <c r="D156" s="188"/>
      <c r="E156" s="188"/>
      <c r="F156" s="188"/>
      <c r="G156" s="188"/>
      <c r="H156" s="191"/>
      <c r="I156" s="455" t="str">
        <f>IF(R160&lt;&gt;"",CONCATENATE(" (",R160,")"),"")</f>
        <v/>
      </c>
      <c r="J156" s="187"/>
      <c r="K156" s="187"/>
      <c r="L156" s="187"/>
      <c r="M156" s="187"/>
      <c r="N156" s="187"/>
      <c r="O156" s="187"/>
      <c r="P156" s="187"/>
      <c r="Q156" s="189"/>
      <c r="R156" s="189"/>
    </row>
    <row r="157" spans="1:18" outlineLevel="1" x14ac:dyDescent="0.2">
      <c r="A157" s="599"/>
      <c r="B157" s="599"/>
      <c r="C157" s="595"/>
      <c r="D157" s="599"/>
      <c r="E157" s="599"/>
      <c r="F157" s="599"/>
      <c r="G157" s="599"/>
      <c r="H157" s="599"/>
      <c r="I157" s="599"/>
      <c r="J157" s="593"/>
      <c r="K157" s="599"/>
      <c r="L157" s="599"/>
      <c r="M157" s="599"/>
      <c r="N157" s="599"/>
      <c r="O157" s="599"/>
      <c r="P157" s="599"/>
      <c r="Q157" s="599"/>
      <c r="R157" s="599"/>
    </row>
    <row r="158" spans="1:18" outlineLevel="1" x14ac:dyDescent="0.2">
      <c r="A158" s="599"/>
      <c r="B158" s="599"/>
      <c r="C158" s="572" t="s">
        <v>913</v>
      </c>
      <c r="D158" s="599"/>
      <c r="E158" s="599"/>
      <c r="F158" s="599"/>
      <c r="G158" s="770" t="str">
        <f>IF(D160=INDEX(EPISource,4),MsgNote &amp; VLOOKUP("PrevInc",WarningMessages,2,FALSE),"")</f>
        <v/>
      </c>
      <c r="H158" s="770"/>
      <c r="I158" s="770"/>
      <c r="J158" s="593"/>
      <c r="K158" s="599"/>
      <c r="L158" s="599"/>
      <c r="M158" s="599"/>
      <c r="N158" s="599"/>
      <c r="O158" s="599"/>
      <c r="P158" s="599"/>
      <c r="Q158" s="599"/>
      <c r="R158" s="670" t="str">
        <f ca="1">IF(ISERROR($M181)=TRUE,MsgError &amp; VLOOKUP("BadPop",ErrorMessages,2,FALSE),"")</f>
        <v/>
      </c>
    </row>
    <row r="159" spans="1:18" outlineLevel="1" x14ac:dyDescent="0.2">
      <c r="A159" s="599"/>
      <c r="B159" s="599"/>
      <c r="C159" s="595"/>
      <c r="D159" s="599"/>
      <c r="E159" s="599"/>
      <c r="F159" s="599"/>
      <c r="G159" s="599"/>
      <c r="H159" s="599"/>
      <c r="I159" s="599"/>
      <c r="J159" s="593"/>
      <c r="K159" s="599"/>
      <c r="L159" s="599"/>
      <c r="M159" s="599"/>
      <c r="N159" s="599"/>
      <c r="O159" s="599"/>
      <c r="P159" s="599"/>
      <c r="Q159" s="599"/>
      <c r="R159" s="577" t="s">
        <v>470</v>
      </c>
    </row>
    <row r="160" spans="1:18" outlineLevel="1" x14ac:dyDescent="0.2">
      <c r="A160" s="599"/>
      <c r="B160" s="599"/>
      <c r="C160" s="578" t="s">
        <v>131</v>
      </c>
      <c r="D160" s="605"/>
      <c r="E160" s="594"/>
      <c r="F160" s="774"/>
      <c r="G160" s="775"/>
      <c r="H160" s="775"/>
      <c r="I160" s="775"/>
      <c r="J160" s="593"/>
      <c r="K160" s="599"/>
      <c r="L160" s="599"/>
      <c r="M160" s="599"/>
      <c r="N160" s="599"/>
      <c r="O160" s="599"/>
      <c r="P160" s="599"/>
      <c r="Q160" s="599"/>
      <c r="R160" s="606"/>
    </row>
    <row r="161" spans="1:18" outlineLevel="1" x14ac:dyDescent="0.2">
      <c r="A161" s="599"/>
      <c r="B161" s="599"/>
      <c r="C161" s="595"/>
      <c r="D161" s="600">
        <v>1</v>
      </c>
      <c r="E161" s="600">
        <v>2</v>
      </c>
      <c r="F161" s="600">
        <v>3</v>
      </c>
      <c r="G161" s="600">
        <v>4</v>
      </c>
      <c r="H161" s="600">
        <v>5</v>
      </c>
      <c r="I161" s="600">
        <v>6</v>
      </c>
      <c r="J161" s="593"/>
      <c r="K161" s="599"/>
      <c r="L161" s="599"/>
      <c r="M161" s="599"/>
      <c r="N161" s="599"/>
      <c r="O161" s="599"/>
      <c r="P161" s="599"/>
      <c r="Q161" s="599"/>
      <c r="R161" s="599"/>
    </row>
    <row r="162" spans="1:18" ht="15" customHeight="1" outlineLevel="1" x14ac:dyDescent="0.2">
      <c r="A162" s="599"/>
      <c r="B162" s="599"/>
      <c r="C162" s="595"/>
      <c r="D162" s="776" t="s">
        <v>11</v>
      </c>
      <c r="E162" s="776"/>
      <c r="F162" s="776"/>
      <c r="G162" s="776"/>
      <c r="H162" s="776"/>
      <c r="I162" s="776"/>
      <c r="J162" s="593"/>
      <c r="K162" s="599"/>
      <c r="L162" s="599"/>
      <c r="M162" s="599"/>
      <c r="N162" s="599"/>
      <c r="O162" s="599"/>
      <c r="P162" s="599"/>
      <c r="Q162" s="599"/>
      <c r="R162" s="599"/>
    </row>
    <row r="163" spans="1:18" outlineLevel="1" x14ac:dyDescent="0.2">
      <c r="A163" s="599"/>
      <c r="B163" s="599"/>
      <c r="C163" s="573"/>
      <c r="D163" s="588">
        <f>FirstYear</f>
        <v>0</v>
      </c>
      <c r="E163" s="588">
        <f>D163+1</f>
        <v>1</v>
      </c>
      <c r="F163" s="588">
        <f>E163+1</f>
        <v>2</v>
      </c>
      <c r="G163" s="588">
        <f>F163+1</f>
        <v>3</v>
      </c>
      <c r="H163" s="588">
        <f>G163+1</f>
        <v>4</v>
      </c>
      <c r="I163" s="588">
        <f>H163+1</f>
        <v>5</v>
      </c>
      <c r="J163" s="593"/>
      <c r="K163" s="599"/>
      <c r="L163" s="599"/>
      <c r="M163" s="599"/>
      <c r="N163" s="599"/>
      <c r="O163" s="599"/>
      <c r="P163" s="599"/>
      <c r="Q163" s="599"/>
      <c r="R163" s="599"/>
    </row>
    <row r="164" spans="1:18" ht="12.75" customHeight="1" outlineLevel="1" x14ac:dyDescent="0.2">
      <c r="A164" s="572"/>
      <c r="B164" s="572"/>
      <c r="C164" s="576" t="s">
        <v>382</v>
      </c>
      <c r="D164" s="596">
        <f t="shared" ref="D164:I164" ca="1" si="28">IF(AND(ISERROR($M181)&lt;&gt;TRUE,$F160&lt;&gt;""),INDEX(PxPopNumbers,$M181,D161),0)</f>
        <v>0</v>
      </c>
      <c r="E164" s="596">
        <f t="shared" ca="1" si="28"/>
        <v>0</v>
      </c>
      <c r="F164" s="596">
        <f t="shared" ca="1" si="28"/>
        <v>0</v>
      </c>
      <c r="G164" s="596">
        <f t="shared" ca="1" si="28"/>
        <v>0</v>
      </c>
      <c r="H164" s="596">
        <f t="shared" ca="1" si="28"/>
        <v>0</v>
      </c>
      <c r="I164" s="596">
        <f t="shared" ca="1" si="28"/>
        <v>0</v>
      </c>
      <c r="J164" s="593"/>
      <c r="K164" s="572"/>
      <c r="L164" s="572"/>
      <c r="M164" s="572"/>
      <c r="N164" s="572"/>
      <c r="O164" s="572"/>
      <c r="P164" s="572"/>
      <c r="Q164" s="595"/>
      <c r="R164" s="572"/>
    </row>
    <row r="165" spans="1:18" ht="12.75" customHeight="1" outlineLevel="1" x14ac:dyDescent="0.2">
      <c r="A165" s="593"/>
      <c r="B165" s="593"/>
      <c r="C165" s="593"/>
      <c r="D165" s="593"/>
      <c r="E165" s="593"/>
      <c r="F165" s="593"/>
      <c r="G165" s="593"/>
      <c r="H165" s="593"/>
      <c r="I165" s="593"/>
      <c r="J165" s="593"/>
      <c r="K165" s="572"/>
      <c r="L165" s="572"/>
      <c r="M165" s="572"/>
      <c r="N165" s="572"/>
      <c r="O165" s="572"/>
      <c r="P165" s="572"/>
      <c r="Q165" s="593"/>
      <c r="R165" s="593"/>
    </row>
    <row r="166" spans="1:18" ht="12.75" customHeight="1" outlineLevel="1" x14ac:dyDescent="0.2">
      <c r="A166" s="593"/>
      <c r="B166" s="593"/>
      <c r="C166" s="579" t="s">
        <v>238</v>
      </c>
      <c r="D166" s="593"/>
      <c r="E166" s="593"/>
      <c r="F166" s="593"/>
      <c r="G166" s="593"/>
      <c r="H166" s="593"/>
      <c r="I166" s="593"/>
      <c r="J166" s="593"/>
      <c r="K166" s="572"/>
      <c r="L166" s="572"/>
      <c r="M166" s="593"/>
      <c r="N166" s="593"/>
      <c r="O166" s="593"/>
      <c r="P166" s="593"/>
      <c r="Q166" s="593"/>
      <c r="R166" s="577" t="s">
        <v>292</v>
      </c>
    </row>
    <row r="167" spans="1:18" outlineLevel="1" x14ac:dyDescent="0.2">
      <c r="A167" s="572"/>
      <c r="B167" s="572"/>
      <c r="C167" s="589"/>
      <c r="D167" s="610"/>
      <c r="E167" s="610"/>
      <c r="F167" s="610"/>
      <c r="G167" s="610"/>
      <c r="H167" s="610"/>
      <c r="I167" s="610"/>
      <c r="J167" s="593"/>
      <c r="K167" s="581">
        <f t="shared" ref="K167:P176" si="29">IF(D167="",1,D167)</f>
        <v>1</v>
      </c>
      <c r="L167" s="581">
        <f t="shared" si="29"/>
        <v>1</v>
      </c>
      <c r="M167" s="581">
        <f t="shared" si="29"/>
        <v>1</v>
      </c>
      <c r="N167" s="581">
        <f t="shared" si="29"/>
        <v>1</v>
      </c>
      <c r="O167" s="581">
        <f t="shared" si="29"/>
        <v>1</v>
      </c>
      <c r="P167" s="581">
        <f t="shared" si="29"/>
        <v>1</v>
      </c>
      <c r="Q167" s="572"/>
      <c r="R167" s="589"/>
    </row>
    <row r="168" spans="1:18" outlineLevel="1" x14ac:dyDescent="0.2">
      <c r="A168" s="572"/>
      <c r="B168" s="572"/>
      <c r="C168" s="589"/>
      <c r="D168" s="610"/>
      <c r="E168" s="610"/>
      <c r="F168" s="610"/>
      <c r="G168" s="610"/>
      <c r="H168" s="610"/>
      <c r="I168" s="610"/>
      <c r="J168" s="593"/>
      <c r="K168" s="581">
        <f t="shared" si="29"/>
        <v>1</v>
      </c>
      <c r="L168" s="581">
        <f t="shared" si="29"/>
        <v>1</v>
      </c>
      <c r="M168" s="581">
        <f t="shared" si="29"/>
        <v>1</v>
      </c>
      <c r="N168" s="581">
        <f t="shared" si="29"/>
        <v>1</v>
      </c>
      <c r="O168" s="581">
        <f t="shared" si="29"/>
        <v>1</v>
      </c>
      <c r="P168" s="581">
        <f t="shared" si="29"/>
        <v>1</v>
      </c>
      <c r="Q168" s="572"/>
      <c r="R168" s="589"/>
    </row>
    <row r="169" spans="1:18" ht="12.75" customHeight="1" outlineLevel="1" x14ac:dyDescent="0.2">
      <c r="A169" s="572"/>
      <c r="B169" s="572"/>
      <c r="C169" s="589"/>
      <c r="D169" s="610"/>
      <c r="E169" s="610"/>
      <c r="F169" s="610"/>
      <c r="G169" s="610"/>
      <c r="H169" s="610"/>
      <c r="I169" s="610"/>
      <c r="J169" s="593"/>
      <c r="K169" s="581">
        <f t="shared" si="29"/>
        <v>1</v>
      </c>
      <c r="L169" s="581">
        <f t="shared" si="29"/>
        <v>1</v>
      </c>
      <c r="M169" s="581">
        <f t="shared" si="29"/>
        <v>1</v>
      </c>
      <c r="N169" s="581">
        <f t="shared" si="29"/>
        <v>1</v>
      </c>
      <c r="O169" s="581">
        <f t="shared" si="29"/>
        <v>1</v>
      </c>
      <c r="P169" s="581">
        <f t="shared" si="29"/>
        <v>1</v>
      </c>
      <c r="Q169" s="572"/>
      <c r="R169" s="589"/>
    </row>
    <row r="170" spans="1:18" ht="12.75" customHeight="1" outlineLevel="1" x14ac:dyDescent="0.2">
      <c r="A170" s="572"/>
      <c r="B170" s="572"/>
      <c r="C170" s="589"/>
      <c r="D170" s="610"/>
      <c r="E170" s="610"/>
      <c r="F170" s="610"/>
      <c r="G170" s="610"/>
      <c r="H170" s="610"/>
      <c r="I170" s="610"/>
      <c r="J170" s="593"/>
      <c r="K170" s="581">
        <f t="shared" si="29"/>
        <v>1</v>
      </c>
      <c r="L170" s="581">
        <f t="shared" si="29"/>
        <v>1</v>
      </c>
      <c r="M170" s="581">
        <f t="shared" si="29"/>
        <v>1</v>
      </c>
      <c r="N170" s="581">
        <f t="shared" si="29"/>
        <v>1</v>
      </c>
      <c r="O170" s="581">
        <f t="shared" si="29"/>
        <v>1</v>
      </c>
      <c r="P170" s="581">
        <f t="shared" si="29"/>
        <v>1</v>
      </c>
      <c r="Q170" s="572"/>
      <c r="R170" s="589"/>
    </row>
    <row r="171" spans="1:18" ht="12.75" customHeight="1" outlineLevel="1" x14ac:dyDescent="0.2">
      <c r="A171" s="572"/>
      <c r="B171" s="572"/>
      <c r="C171" s="589"/>
      <c r="D171" s="610"/>
      <c r="E171" s="610"/>
      <c r="F171" s="610"/>
      <c r="G171" s="610"/>
      <c r="H171" s="610"/>
      <c r="I171" s="610"/>
      <c r="J171" s="593"/>
      <c r="K171" s="581">
        <f t="shared" si="29"/>
        <v>1</v>
      </c>
      <c r="L171" s="581">
        <f t="shared" si="29"/>
        <v>1</v>
      </c>
      <c r="M171" s="581">
        <f t="shared" si="29"/>
        <v>1</v>
      </c>
      <c r="N171" s="581">
        <f t="shared" si="29"/>
        <v>1</v>
      </c>
      <c r="O171" s="581">
        <f t="shared" si="29"/>
        <v>1</v>
      </c>
      <c r="P171" s="581">
        <f t="shared" si="29"/>
        <v>1</v>
      </c>
      <c r="Q171" s="572"/>
      <c r="R171" s="589"/>
    </row>
    <row r="172" spans="1:18" ht="12.75" customHeight="1" outlineLevel="1" x14ac:dyDescent="0.2">
      <c r="A172" s="572"/>
      <c r="B172" s="572"/>
      <c r="C172" s="589"/>
      <c r="D172" s="610"/>
      <c r="E172" s="610"/>
      <c r="F172" s="610"/>
      <c r="G172" s="610"/>
      <c r="H172" s="610"/>
      <c r="I172" s="610"/>
      <c r="J172" s="593"/>
      <c r="K172" s="581">
        <f t="shared" si="29"/>
        <v>1</v>
      </c>
      <c r="L172" s="581">
        <f t="shared" si="29"/>
        <v>1</v>
      </c>
      <c r="M172" s="581">
        <f t="shared" si="29"/>
        <v>1</v>
      </c>
      <c r="N172" s="581">
        <f t="shared" si="29"/>
        <v>1</v>
      </c>
      <c r="O172" s="581">
        <f t="shared" si="29"/>
        <v>1</v>
      </c>
      <c r="P172" s="581">
        <f t="shared" si="29"/>
        <v>1</v>
      </c>
      <c r="Q172" s="572"/>
      <c r="R172" s="589"/>
    </row>
    <row r="173" spans="1:18" outlineLevel="1" x14ac:dyDescent="0.2">
      <c r="A173" s="572"/>
      <c r="B173" s="572"/>
      <c r="C173" s="589"/>
      <c r="D173" s="610"/>
      <c r="E173" s="610"/>
      <c r="F173" s="610"/>
      <c r="G173" s="610"/>
      <c r="H173" s="610"/>
      <c r="I173" s="610"/>
      <c r="J173" s="593"/>
      <c r="K173" s="581">
        <f t="shared" si="29"/>
        <v>1</v>
      </c>
      <c r="L173" s="581">
        <f t="shared" si="29"/>
        <v>1</v>
      </c>
      <c r="M173" s="581">
        <f t="shared" si="29"/>
        <v>1</v>
      </c>
      <c r="N173" s="581">
        <f t="shared" si="29"/>
        <v>1</v>
      </c>
      <c r="O173" s="581">
        <f t="shared" si="29"/>
        <v>1</v>
      </c>
      <c r="P173" s="581">
        <f t="shared" si="29"/>
        <v>1</v>
      </c>
      <c r="Q173" s="572"/>
      <c r="R173" s="589"/>
    </row>
    <row r="174" spans="1:18" outlineLevel="1" x14ac:dyDescent="0.2">
      <c r="A174" s="572"/>
      <c r="B174" s="572"/>
      <c r="C174" s="589"/>
      <c r="D174" s="610"/>
      <c r="E174" s="610"/>
      <c r="F174" s="610"/>
      <c r="G174" s="610"/>
      <c r="H174" s="610"/>
      <c r="I174" s="610"/>
      <c r="J174" s="593"/>
      <c r="K174" s="581">
        <f t="shared" si="29"/>
        <v>1</v>
      </c>
      <c r="L174" s="581">
        <f t="shared" si="29"/>
        <v>1</v>
      </c>
      <c r="M174" s="581">
        <f t="shared" si="29"/>
        <v>1</v>
      </c>
      <c r="N174" s="581">
        <f t="shared" si="29"/>
        <v>1</v>
      </c>
      <c r="O174" s="581">
        <f t="shared" si="29"/>
        <v>1</v>
      </c>
      <c r="P174" s="581">
        <f t="shared" si="29"/>
        <v>1</v>
      </c>
      <c r="Q174" s="572"/>
      <c r="R174" s="589"/>
    </row>
    <row r="175" spans="1:18" outlineLevel="1" x14ac:dyDescent="0.2">
      <c r="A175" s="572"/>
      <c r="B175" s="572"/>
      <c r="C175" s="589"/>
      <c r="D175" s="610"/>
      <c r="E175" s="610"/>
      <c r="F175" s="610"/>
      <c r="G175" s="610"/>
      <c r="H175" s="610"/>
      <c r="I175" s="610"/>
      <c r="J175" s="593"/>
      <c r="K175" s="581">
        <f t="shared" si="29"/>
        <v>1</v>
      </c>
      <c r="L175" s="581">
        <f t="shared" si="29"/>
        <v>1</v>
      </c>
      <c r="M175" s="581">
        <f t="shared" si="29"/>
        <v>1</v>
      </c>
      <c r="N175" s="581">
        <f t="shared" si="29"/>
        <v>1</v>
      </c>
      <c r="O175" s="581">
        <f t="shared" si="29"/>
        <v>1</v>
      </c>
      <c r="P175" s="581">
        <f t="shared" si="29"/>
        <v>1</v>
      </c>
      <c r="Q175" s="572"/>
      <c r="R175" s="589"/>
    </row>
    <row r="176" spans="1:18" outlineLevel="1" x14ac:dyDescent="0.2">
      <c r="A176" s="572"/>
      <c r="B176" s="572"/>
      <c r="C176" s="589"/>
      <c r="D176" s="610"/>
      <c r="E176" s="610"/>
      <c r="F176" s="610"/>
      <c r="G176" s="610"/>
      <c r="H176" s="610"/>
      <c r="I176" s="610"/>
      <c r="J176" s="593"/>
      <c r="K176" s="581">
        <f>IF(D176="",1,D176)</f>
        <v>1</v>
      </c>
      <c r="L176" s="581">
        <f t="shared" si="29"/>
        <v>1</v>
      </c>
      <c r="M176" s="581">
        <f t="shared" si="29"/>
        <v>1</v>
      </c>
      <c r="N176" s="581">
        <f t="shared" si="29"/>
        <v>1</v>
      </c>
      <c r="O176" s="581">
        <f t="shared" si="29"/>
        <v>1</v>
      </c>
      <c r="P176" s="581">
        <f t="shared" si="29"/>
        <v>1</v>
      </c>
      <c r="Q176" s="572"/>
      <c r="R176" s="589"/>
    </row>
    <row r="177" spans="1:18" outlineLevel="1" x14ac:dyDescent="0.2">
      <c r="A177" s="572"/>
      <c r="B177" s="572"/>
      <c r="C177" s="580" t="s">
        <v>246</v>
      </c>
      <c r="D177" s="611">
        <f t="shared" ref="D177:I177" si="30">K167*K168*K169*K170*K176*K171*K172*K173*K174*K175</f>
        <v>1</v>
      </c>
      <c r="E177" s="611">
        <f t="shared" si="30"/>
        <v>1</v>
      </c>
      <c r="F177" s="611">
        <f t="shared" si="30"/>
        <v>1</v>
      </c>
      <c r="G177" s="611">
        <f t="shared" si="30"/>
        <v>1</v>
      </c>
      <c r="H177" s="611">
        <f t="shared" si="30"/>
        <v>1</v>
      </c>
      <c r="I177" s="611">
        <f t="shared" si="30"/>
        <v>1</v>
      </c>
      <c r="J177" s="593"/>
      <c r="K177" s="572"/>
      <c r="L177" s="572"/>
      <c r="M177" s="597"/>
      <c r="N177" s="572"/>
      <c r="O177" s="572"/>
      <c r="P177" s="572"/>
      <c r="Q177" s="572"/>
      <c r="R177" s="572"/>
    </row>
    <row r="178" spans="1:18" outlineLevel="1" x14ac:dyDescent="0.2">
      <c r="A178" s="597"/>
      <c r="B178" s="597"/>
      <c r="C178" s="574" t="s">
        <v>108</v>
      </c>
      <c r="D178" s="607">
        <f t="shared" ref="D178:I178" ca="1" si="31">IF(ISNUMBER(D164),D164*D177,"")</f>
        <v>0</v>
      </c>
      <c r="E178" s="607">
        <f t="shared" ca="1" si="31"/>
        <v>0</v>
      </c>
      <c r="F178" s="607">
        <f t="shared" ca="1" si="31"/>
        <v>0</v>
      </c>
      <c r="G178" s="607">
        <f t="shared" ca="1" si="31"/>
        <v>0</v>
      </c>
      <c r="H178" s="607">
        <f t="shared" ca="1" si="31"/>
        <v>0</v>
      </c>
      <c r="I178" s="607">
        <f t="shared" ca="1" si="31"/>
        <v>0</v>
      </c>
      <c r="J178" s="593"/>
      <c r="K178" s="597"/>
      <c r="L178" s="572"/>
      <c r="M178" s="572"/>
      <c r="N178" s="572"/>
      <c r="O178" s="575"/>
      <c r="P178" s="575"/>
      <c r="Q178" s="572"/>
      <c r="R178" s="572"/>
    </row>
    <row r="179" spans="1:18" outlineLevel="1" x14ac:dyDescent="0.2">
      <c r="A179" s="593"/>
      <c r="B179" s="593"/>
      <c r="C179" s="593"/>
      <c r="D179" s="593"/>
      <c r="E179" s="593"/>
      <c r="F179" s="593"/>
      <c r="G179" s="593"/>
      <c r="H179" s="593"/>
      <c r="I179" s="593"/>
      <c r="J179" s="593"/>
      <c r="K179" s="593"/>
      <c r="L179" s="593"/>
      <c r="M179" s="593"/>
      <c r="N179" s="593"/>
      <c r="O179" s="575"/>
      <c r="P179" s="575"/>
      <c r="Q179" s="593"/>
      <c r="R179" s="593"/>
    </row>
    <row r="180" spans="1:18" outlineLevel="1" x14ac:dyDescent="0.2">
      <c r="A180" s="593"/>
      <c r="B180" s="593"/>
      <c r="C180" s="585" t="str">
        <f>TxPhase1Tx</f>
        <v/>
      </c>
      <c r="D180" s="591"/>
      <c r="E180" s="572"/>
      <c r="F180" s="572"/>
      <c r="G180" s="593"/>
      <c r="H180" s="593"/>
      <c r="I180" s="593"/>
      <c r="J180" s="593"/>
      <c r="K180" s="604" t="s">
        <v>292</v>
      </c>
      <c r="L180" s="604" t="s">
        <v>52</v>
      </c>
      <c r="M180" s="604" t="s">
        <v>381</v>
      </c>
      <c r="N180" s="593"/>
      <c r="O180" s="575"/>
      <c r="P180" s="575"/>
      <c r="Q180" s="593"/>
      <c r="R180" s="577" t="s">
        <v>292</v>
      </c>
    </row>
    <row r="181" spans="1:18" outlineLevel="1" x14ac:dyDescent="0.2">
      <c r="A181" s="593"/>
      <c r="B181" s="593"/>
      <c r="C181" s="585" t="s">
        <v>109</v>
      </c>
      <c r="D181" s="584"/>
      <c r="E181" s="584"/>
      <c r="F181" s="584"/>
      <c r="G181" s="584"/>
      <c r="H181" s="584"/>
      <c r="I181" s="584"/>
      <c r="J181" s="593"/>
      <c r="K181" s="598">
        <f>IF(D160&lt;&gt;"",MATCH(D160,EPISource,0)-1,0)</f>
        <v>0</v>
      </c>
      <c r="L181" s="598">
        <f ca="1">IF(F160&lt;&gt;"",MATCH(F160,OFFSET(References!$AB$7,0,K181,PxPopCount),0),0)</f>
        <v>0</v>
      </c>
      <c r="M181" s="598">
        <f ca="1">(K181*PxPopCount)+L181</f>
        <v>0</v>
      </c>
      <c r="N181" s="593"/>
      <c r="O181" s="575"/>
      <c r="P181" s="575"/>
      <c r="Q181" s="593"/>
      <c r="R181" s="582"/>
    </row>
    <row r="182" spans="1:18" outlineLevel="1" x14ac:dyDescent="0.2">
      <c r="A182" s="593"/>
      <c r="B182" s="593"/>
      <c r="C182" s="593"/>
      <c r="D182" s="593"/>
      <c r="E182" s="612"/>
      <c r="F182" s="593"/>
      <c r="G182" s="593"/>
      <c r="H182" s="593"/>
      <c r="I182" s="593"/>
      <c r="J182" s="593"/>
      <c r="K182" s="571"/>
      <c r="L182" s="571"/>
      <c r="M182" s="593"/>
      <c r="N182" s="593"/>
      <c r="O182" s="575"/>
      <c r="P182" s="575"/>
      <c r="Q182" s="593"/>
      <c r="R182" s="593"/>
    </row>
    <row r="183" spans="1:18" outlineLevel="1" x14ac:dyDescent="0.2">
      <c r="A183" s="593"/>
      <c r="B183" s="593"/>
      <c r="C183" s="590" t="str">
        <f>TXPhase2Tx</f>
        <v/>
      </c>
      <c r="D183" s="600"/>
      <c r="E183" s="600"/>
      <c r="F183" s="593"/>
      <c r="G183" s="593"/>
      <c r="H183" s="593"/>
      <c r="I183" s="593"/>
      <c r="J183" s="593"/>
      <c r="K183" s="571"/>
      <c r="L183" s="571"/>
      <c r="M183" s="593"/>
      <c r="N183" s="593"/>
      <c r="O183" s="575"/>
      <c r="P183" s="575"/>
      <c r="Q183" s="593"/>
      <c r="R183" s="577" t="s">
        <v>292</v>
      </c>
    </row>
    <row r="184" spans="1:18" outlineLevel="1" x14ac:dyDescent="0.2">
      <c r="A184" s="593"/>
      <c r="B184" s="593"/>
      <c r="C184" s="590" t="str">
        <f>IF(C183&lt;&gt;"","Patients electing treatment (%)","")</f>
        <v/>
      </c>
      <c r="D184" s="584"/>
      <c r="E184" s="584"/>
      <c r="F184" s="584"/>
      <c r="G184" s="584"/>
      <c r="H184" s="584"/>
      <c r="I184" s="584"/>
      <c r="J184" s="593"/>
      <c r="K184" s="572"/>
      <c r="L184" s="575"/>
      <c r="M184" s="593"/>
      <c r="N184" s="593"/>
      <c r="O184" s="575"/>
      <c r="P184" s="575"/>
      <c r="Q184" s="593"/>
      <c r="R184" s="582"/>
    </row>
    <row r="185" spans="1:18" outlineLevel="1" x14ac:dyDescent="0.2">
      <c r="A185" s="593"/>
      <c r="B185" s="593"/>
      <c r="C185" s="593"/>
      <c r="D185" s="593"/>
      <c r="E185" s="593"/>
      <c r="F185" s="593"/>
      <c r="G185" s="593"/>
      <c r="H185" s="593"/>
      <c r="I185" s="593"/>
      <c r="J185" s="593"/>
      <c r="K185" s="593"/>
      <c r="L185" s="593"/>
      <c r="M185" s="593"/>
      <c r="N185" s="593"/>
      <c r="O185" s="575"/>
      <c r="P185" s="575"/>
      <c r="Q185" s="593"/>
      <c r="R185" s="593"/>
    </row>
    <row r="186" spans="1:18" outlineLevel="1" x14ac:dyDescent="0.2">
      <c r="A186" s="572"/>
      <c r="B186" s="572"/>
      <c r="C186" s="585" t="str">
        <f>TxPhase1Px</f>
        <v/>
      </c>
      <c r="D186" s="607">
        <f t="shared" ref="D186:I186" si="32">IF(TxPhase1&lt;&gt;"",D178*D181,0)</f>
        <v>0</v>
      </c>
      <c r="E186" s="607">
        <f t="shared" si="32"/>
        <v>0</v>
      </c>
      <c r="F186" s="607">
        <f t="shared" si="32"/>
        <v>0</v>
      </c>
      <c r="G186" s="607">
        <f t="shared" si="32"/>
        <v>0</v>
      </c>
      <c r="H186" s="607">
        <f t="shared" si="32"/>
        <v>0</v>
      </c>
      <c r="I186" s="607">
        <f t="shared" si="32"/>
        <v>0</v>
      </c>
      <c r="J186" s="598" t="str">
        <f>IF(D189&lt;&gt;"",D189,"")</f>
        <v/>
      </c>
      <c r="K186" s="599"/>
      <c r="L186" s="599"/>
      <c r="M186" s="599"/>
      <c r="N186" s="599"/>
      <c r="O186" s="575"/>
      <c r="P186" s="575"/>
      <c r="Q186" s="572"/>
      <c r="R186" s="572"/>
    </row>
    <row r="187" spans="1:18" outlineLevel="1" x14ac:dyDescent="0.2">
      <c r="A187" s="572"/>
      <c r="B187" s="572"/>
      <c r="C187" s="585" t="str">
        <f>TxPhase2Px</f>
        <v/>
      </c>
      <c r="D187" s="607">
        <f t="shared" ref="D187:I187" si="33">IF(TxPhase2&lt;&gt;"",D178*D184,0)</f>
        <v>0</v>
      </c>
      <c r="E187" s="607">
        <f t="shared" si="33"/>
        <v>0</v>
      </c>
      <c r="F187" s="607">
        <f t="shared" si="33"/>
        <v>0</v>
      </c>
      <c r="G187" s="607">
        <f t="shared" si="33"/>
        <v>0</v>
      </c>
      <c r="H187" s="607">
        <f t="shared" si="33"/>
        <v>0</v>
      </c>
      <c r="I187" s="607">
        <f t="shared" si="33"/>
        <v>0</v>
      </c>
      <c r="J187" s="598" t="str">
        <f>IF(D189&lt;&gt;"",D189,"")</f>
        <v/>
      </c>
      <c r="K187" s="572"/>
      <c r="L187" s="572"/>
      <c r="M187" s="597"/>
      <c r="N187" s="572"/>
      <c r="O187" s="575"/>
      <c r="P187" s="575"/>
      <c r="Q187" s="572"/>
      <c r="R187" s="572"/>
    </row>
    <row r="188" spans="1:18" s="570" customFormat="1" outlineLevel="1" x14ac:dyDescent="0.2">
      <c r="A188" s="572"/>
      <c r="B188" s="572"/>
      <c r="C188" s="572"/>
      <c r="D188" s="572"/>
      <c r="E188" s="572"/>
      <c r="F188" s="572"/>
      <c r="G188" s="572"/>
      <c r="H188" s="572"/>
      <c r="I188" s="572"/>
      <c r="J188" s="593"/>
      <c r="K188" s="572"/>
      <c r="L188" s="572"/>
      <c r="M188" s="597"/>
      <c r="N188" s="572"/>
      <c r="O188" s="575"/>
      <c r="P188" s="575"/>
      <c r="Q188" s="572"/>
      <c r="R188" s="572"/>
    </row>
    <row r="189" spans="1:18" s="570" customFormat="1" outlineLevel="1" x14ac:dyDescent="0.2">
      <c r="A189" s="572"/>
      <c r="B189" s="572"/>
      <c r="C189" s="122" t="s">
        <v>817</v>
      </c>
      <c r="D189" s="375"/>
      <c r="E189" s="572"/>
      <c r="F189" s="572"/>
      <c r="G189" s="572"/>
      <c r="H189" s="572"/>
      <c r="I189" s="572"/>
      <c r="J189" s="593"/>
      <c r="K189" s="572"/>
      <c r="L189" s="572"/>
      <c r="M189" s="597"/>
      <c r="N189" s="572"/>
      <c r="O189" s="575"/>
      <c r="P189" s="575"/>
      <c r="Q189" s="572"/>
      <c r="R189" s="572"/>
    </row>
    <row r="190" spans="1:18" outlineLevel="1" x14ac:dyDescent="0.2">
      <c r="A190" s="572"/>
      <c r="B190" s="572"/>
      <c r="C190" s="572"/>
      <c r="D190" s="572"/>
      <c r="E190" s="572"/>
      <c r="F190" s="572"/>
      <c r="G190" s="572"/>
      <c r="H190" s="572"/>
      <c r="I190" s="572"/>
      <c r="J190" s="593"/>
      <c r="K190" s="572"/>
      <c r="L190" s="572"/>
      <c r="M190" s="597"/>
      <c r="N190" s="572"/>
      <c r="O190" s="575"/>
      <c r="P190" s="575"/>
      <c r="Q190" s="572"/>
      <c r="R190" s="572"/>
    </row>
    <row r="191" spans="1:18" x14ac:dyDescent="0.2">
      <c r="A191" s="572"/>
      <c r="B191" s="572"/>
      <c r="C191" s="572"/>
      <c r="D191" s="572"/>
      <c r="E191" s="572"/>
      <c r="F191" s="572"/>
      <c r="G191" s="572"/>
      <c r="H191" s="572"/>
      <c r="I191" s="572"/>
      <c r="J191" s="593"/>
      <c r="K191" s="572"/>
      <c r="L191" s="572"/>
      <c r="M191" s="572"/>
      <c r="N191" s="572"/>
      <c r="O191" s="575"/>
      <c r="P191" s="575"/>
      <c r="Q191" s="572"/>
      <c r="R191" s="572"/>
    </row>
    <row r="192" spans="1:18" ht="15.75" x14ac:dyDescent="0.2">
      <c r="A192" s="104"/>
      <c r="B192" s="190">
        <v>5</v>
      </c>
      <c r="C192" s="110" t="str">
        <f>IF(D196&lt;&gt;"",CONCATENATE("Incident ",B192,": ",F196,I192),MsgNotUsed)</f>
        <v>** NOT USED **</v>
      </c>
      <c r="D192" s="188"/>
      <c r="E192" s="188"/>
      <c r="F192" s="188"/>
      <c r="G192" s="188"/>
      <c r="H192" s="191"/>
      <c r="I192" s="455" t="str">
        <f>IF(R196&lt;&gt;"",CONCATENATE(" (",R196,")"),"")</f>
        <v/>
      </c>
      <c r="J192" s="187"/>
      <c r="K192" s="187"/>
      <c r="L192" s="187"/>
      <c r="M192" s="187"/>
      <c r="N192" s="187"/>
      <c r="O192" s="187"/>
      <c r="P192" s="187"/>
      <c r="Q192" s="189"/>
      <c r="R192" s="189"/>
    </row>
    <row r="193" spans="1:18" outlineLevel="1" x14ac:dyDescent="0.2">
      <c r="A193" s="599"/>
      <c r="B193" s="599"/>
      <c r="C193" s="595"/>
      <c r="D193" s="599"/>
      <c r="E193" s="599"/>
      <c r="F193" s="599"/>
      <c r="G193" s="599"/>
      <c r="H193" s="599"/>
      <c r="I193" s="599"/>
      <c r="J193" s="593"/>
      <c r="K193" s="599"/>
      <c r="L193" s="599"/>
      <c r="M193" s="599"/>
      <c r="N193" s="599"/>
      <c r="O193" s="599"/>
      <c r="P193" s="599"/>
      <c r="Q193" s="599"/>
      <c r="R193" s="599"/>
    </row>
    <row r="194" spans="1:18" outlineLevel="1" x14ac:dyDescent="0.2">
      <c r="A194" s="599"/>
      <c r="B194" s="599"/>
      <c r="C194" s="572" t="s">
        <v>913</v>
      </c>
      <c r="D194" s="599"/>
      <c r="E194" s="599"/>
      <c r="F194" s="599"/>
      <c r="G194" s="770" t="str">
        <f>IF(D196=INDEX(EPISource,4),MsgNote &amp; VLOOKUP("PrevInc",WarningMessages,2,FALSE),"")</f>
        <v/>
      </c>
      <c r="H194" s="770"/>
      <c r="I194" s="770"/>
      <c r="J194" s="593"/>
      <c r="K194" s="599"/>
      <c r="L194" s="599"/>
      <c r="M194" s="599"/>
      <c r="N194" s="599"/>
      <c r="O194" s="599"/>
      <c r="P194" s="599"/>
      <c r="Q194" s="599"/>
      <c r="R194" s="670" t="str">
        <f ca="1">IF(ISERROR($M217)=TRUE,MsgError &amp; VLOOKUP("BadPop",ErrorMessages,2,FALSE),"")</f>
        <v/>
      </c>
    </row>
    <row r="195" spans="1:18" outlineLevel="1" x14ac:dyDescent="0.2">
      <c r="A195" s="599"/>
      <c r="B195" s="599"/>
      <c r="C195" s="595"/>
      <c r="D195" s="599"/>
      <c r="E195" s="599"/>
      <c r="F195" s="599"/>
      <c r="G195" s="599"/>
      <c r="H195" s="599"/>
      <c r="I195" s="599"/>
      <c r="J195" s="593"/>
      <c r="K195" s="599"/>
      <c r="L195" s="599"/>
      <c r="M195" s="599"/>
      <c r="N195" s="599"/>
      <c r="O195" s="599"/>
      <c r="P195" s="599"/>
      <c r="Q195" s="599"/>
      <c r="R195" s="577" t="s">
        <v>470</v>
      </c>
    </row>
    <row r="196" spans="1:18" outlineLevel="1" x14ac:dyDescent="0.2">
      <c r="A196" s="599"/>
      <c r="B196" s="599"/>
      <c r="C196" s="578" t="s">
        <v>131</v>
      </c>
      <c r="D196" s="605"/>
      <c r="E196" s="594"/>
      <c r="F196" s="774"/>
      <c r="G196" s="775"/>
      <c r="H196" s="775"/>
      <c r="I196" s="775"/>
      <c r="J196" s="593"/>
      <c r="K196" s="599"/>
      <c r="L196" s="599"/>
      <c r="M196" s="599"/>
      <c r="N196" s="599"/>
      <c r="O196" s="599"/>
      <c r="P196" s="599"/>
      <c r="Q196" s="599"/>
      <c r="R196" s="606"/>
    </row>
    <row r="197" spans="1:18" outlineLevel="1" x14ac:dyDescent="0.2">
      <c r="A197" s="599"/>
      <c r="B197" s="599"/>
      <c r="C197" s="595"/>
      <c r="D197" s="600">
        <v>1</v>
      </c>
      <c r="E197" s="600">
        <v>2</v>
      </c>
      <c r="F197" s="600">
        <v>3</v>
      </c>
      <c r="G197" s="600">
        <v>4</v>
      </c>
      <c r="H197" s="600">
        <v>5</v>
      </c>
      <c r="I197" s="600">
        <v>6</v>
      </c>
      <c r="J197" s="593"/>
      <c r="K197" s="599"/>
      <c r="L197" s="599"/>
      <c r="M197" s="599"/>
      <c r="N197" s="599"/>
      <c r="O197" s="599"/>
      <c r="P197" s="599"/>
      <c r="Q197" s="599"/>
      <c r="R197" s="599"/>
    </row>
    <row r="198" spans="1:18" ht="15" customHeight="1" outlineLevel="1" x14ac:dyDescent="0.2">
      <c r="A198" s="599"/>
      <c r="B198" s="599"/>
      <c r="C198" s="595"/>
      <c r="D198" s="776" t="s">
        <v>11</v>
      </c>
      <c r="E198" s="776"/>
      <c r="F198" s="776"/>
      <c r="G198" s="776"/>
      <c r="H198" s="776"/>
      <c r="I198" s="776"/>
      <c r="J198" s="593"/>
      <c r="K198" s="599"/>
      <c r="L198" s="599"/>
      <c r="M198" s="599"/>
      <c r="N198" s="599"/>
      <c r="O198" s="599"/>
      <c r="P198" s="599"/>
      <c r="Q198" s="599"/>
      <c r="R198" s="599"/>
    </row>
    <row r="199" spans="1:18" outlineLevel="1" x14ac:dyDescent="0.2">
      <c r="A199" s="599"/>
      <c r="B199" s="599"/>
      <c r="C199" s="573"/>
      <c r="D199" s="588">
        <f>FirstYear</f>
        <v>0</v>
      </c>
      <c r="E199" s="588">
        <f>D199+1</f>
        <v>1</v>
      </c>
      <c r="F199" s="588">
        <f>E199+1</f>
        <v>2</v>
      </c>
      <c r="G199" s="588">
        <f>F199+1</f>
        <v>3</v>
      </c>
      <c r="H199" s="588">
        <f>G199+1</f>
        <v>4</v>
      </c>
      <c r="I199" s="588">
        <f>H199+1</f>
        <v>5</v>
      </c>
      <c r="J199" s="593"/>
      <c r="K199" s="599"/>
      <c r="L199" s="599"/>
      <c r="M199" s="599"/>
      <c r="N199" s="599"/>
      <c r="O199" s="599"/>
      <c r="P199" s="599"/>
      <c r="Q199" s="599"/>
      <c r="R199" s="599"/>
    </row>
    <row r="200" spans="1:18" ht="12.75" customHeight="1" outlineLevel="1" x14ac:dyDescent="0.2">
      <c r="A200" s="572"/>
      <c r="B200" s="572"/>
      <c r="C200" s="576" t="s">
        <v>382</v>
      </c>
      <c r="D200" s="596">
        <f t="shared" ref="D200:I200" ca="1" si="34">IF(AND(ISERROR($M217)&lt;&gt;TRUE,$F196&lt;&gt;""),INDEX(PxPopNumbers,$M217,D197),0)</f>
        <v>0</v>
      </c>
      <c r="E200" s="596">
        <f t="shared" ca="1" si="34"/>
        <v>0</v>
      </c>
      <c r="F200" s="596">
        <f t="shared" ca="1" si="34"/>
        <v>0</v>
      </c>
      <c r="G200" s="596">
        <f t="shared" ca="1" si="34"/>
        <v>0</v>
      </c>
      <c r="H200" s="596">
        <f t="shared" ca="1" si="34"/>
        <v>0</v>
      </c>
      <c r="I200" s="596">
        <f t="shared" ca="1" si="34"/>
        <v>0</v>
      </c>
      <c r="J200" s="593"/>
      <c r="K200" s="572"/>
      <c r="L200" s="572"/>
      <c r="M200" s="572"/>
      <c r="N200" s="572"/>
      <c r="O200" s="572"/>
      <c r="P200" s="572"/>
      <c r="Q200" s="595"/>
      <c r="R200" s="572"/>
    </row>
    <row r="201" spans="1:18" ht="12.75" customHeight="1" outlineLevel="1" x14ac:dyDescent="0.2">
      <c r="A201" s="593"/>
      <c r="B201" s="593"/>
      <c r="C201" s="593"/>
      <c r="D201" s="593"/>
      <c r="E201" s="593"/>
      <c r="F201" s="593"/>
      <c r="G201" s="593"/>
      <c r="H201" s="593"/>
      <c r="I201" s="593"/>
      <c r="J201" s="593"/>
      <c r="K201" s="572"/>
      <c r="L201" s="572"/>
      <c r="M201" s="572"/>
      <c r="N201" s="572"/>
      <c r="O201" s="572"/>
      <c r="P201" s="572"/>
      <c r="Q201" s="593"/>
      <c r="R201" s="593"/>
    </row>
    <row r="202" spans="1:18" ht="12.75" customHeight="1" outlineLevel="1" x14ac:dyDescent="0.2">
      <c r="A202" s="593"/>
      <c r="B202" s="593"/>
      <c r="C202" s="579" t="s">
        <v>238</v>
      </c>
      <c r="D202" s="593"/>
      <c r="E202" s="593"/>
      <c r="F202" s="593"/>
      <c r="G202" s="593"/>
      <c r="H202" s="593"/>
      <c r="I202" s="593"/>
      <c r="J202" s="593"/>
      <c r="K202" s="572"/>
      <c r="L202" s="572"/>
      <c r="M202" s="593"/>
      <c r="N202" s="593"/>
      <c r="O202" s="593"/>
      <c r="P202" s="593"/>
      <c r="Q202" s="593"/>
      <c r="R202" s="577" t="s">
        <v>292</v>
      </c>
    </row>
    <row r="203" spans="1:18" outlineLevel="1" x14ac:dyDescent="0.2">
      <c r="A203" s="572"/>
      <c r="B203" s="572"/>
      <c r="C203" s="589"/>
      <c r="D203" s="610"/>
      <c r="E203" s="610"/>
      <c r="F203" s="610"/>
      <c r="G203" s="610"/>
      <c r="H203" s="610"/>
      <c r="I203" s="610"/>
      <c r="J203" s="593"/>
      <c r="K203" s="581">
        <f t="shared" ref="K203:P212" si="35">IF(D203="",1,D203)</f>
        <v>1</v>
      </c>
      <c r="L203" s="581">
        <f t="shared" si="35"/>
        <v>1</v>
      </c>
      <c r="M203" s="581">
        <f t="shared" si="35"/>
        <v>1</v>
      </c>
      <c r="N203" s="581">
        <f t="shared" si="35"/>
        <v>1</v>
      </c>
      <c r="O203" s="581">
        <f t="shared" si="35"/>
        <v>1</v>
      </c>
      <c r="P203" s="581">
        <f t="shared" si="35"/>
        <v>1</v>
      </c>
      <c r="Q203" s="572"/>
      <c r="R203" s="589"/>
    </row>
    <row r="204" spans="1:18" outlineLevel="1" x14ac:dyDescent="0.2">
      <c r="A204" s="572"/>
      <c r="B204" s="572"/>
      <c r="C204" s="589"/>
      <c r="D204" s="610"/>
      <c r="E204" s="610"/>
      <c r="F204" s="610"/>
      <c r="G204" s="610"/>
      <c r="H204" s="610"/>
      <c r="I204" s="610"/>
      <c r="J204" s="593"/>
      <c r="K204" s="581">
        <f t="shared" si="35"/>
        <v>1</v>
      </c>
      <c r="L204" s="581">
        <f t="shared" si="35"/>
        <v>1</v>
      </c>
      <c r="M204" s="581">
        <f t="shared" si="35"/>
        <v>1</v>
      </c>
      <c r="N204" s="581">
        <f t="shared" si="35"/>
        <v>1</v>
      </c>
      <c r="O204" s="581">
        <f t="shared" si="35"/>
        <v>1</v>
      </c>
      <c r="P204" s="581">
        <f t="shared" si="35"/>
        <v>1</v>
      </c>
      <c r="Q204" s="572"/>
      <c r="R204" s="589"/>
    </row>
    <row r="205" spans="1:18" outlineLevel="1" x14ac:dyDescent="0.2">
      <c r="A205" s="572"/>
      <c r="B205" s="572"/>
      <c r="C205" s="589"/>
      <c r="D205" s="610"/>
      <c r="E205" s="610"/>
      <c r="F205" s="610"/>
      <c r="G205" s="610"/>
      <c r="H205" s="610"/>
      <c r="I205" s="610"/>
      <c r="J205" s="593"/>
      <c r="K205" s="581">
        <f t="shared" si="35"/>
        <v>1</v>
      </c>
      <c r="L205" s="581">
        <f t="shared" si="35"/>
        <v>1</v>
      </c>
      <c r="M205" s="581">
        <f t="shared" si="35"/>
        <v>1</v>
      </c>
      <c r="N205" s="581">
        <f t="shared" si="35"/>
        <v>1</v>
      </c>
      <c r="O205" s="581">
        <f t="shared" si="35"/>
        <v>1</v>
      </c>
      <c r="P205" s="581">
        <f t="shared" si="35"/>
        <v>1</v>
      </c>
      <c r="Q205" s="572"/>
      <c r="R205" s="589"/>
    </row>
    <row r="206" spans="1:18" outlineLevel="1" x14ac:dyDescent="0.2">
      <c r="A206" s="572"/>
      <c r="B206" s="572"/>
      <c r="C206" s="589"/>
      <c r="D206" s="610"/>
      <c r="E206" s="610"/>
      <c r="F206" s="610"/>
      <c r="G206" s="610"/>
      <c r="H206" s="610"/>
      <c r="I206" s="610"/>
      <c r="J206" s="593"/>
      <c r="K206" s="581">
        <f t="shared" si="35"/>
        <v>1</v>
      </c>
      <c r="L206" s="581">
        <f t="shared" si="35"/>
        <v>1</v>
      </c>
      <c r="M206" s="581">
        <f t="shared" si="35"/>
        <v>1</v>
      </c>
      <c r="N206" s="581">
        <f t="shared" si="35"/>
        <v>1</v>
      </c>
      <c r="O206" s="581">
        <f t="shared" si="35"/>
        <v>1</v>
      </c>
      <c r="P206" s="581">
        <f t="shared" si="35"/>
        <v>1</v>
      </c>
      <c r="Q206" s="572"/>
      <c r="R206" s="589"/>
    </row>
    <row r="207" spans="1:18" outlineLevel="1" x14ac:dyDescent="0.2">
      <c r="A207" s="572"/>
      <c r="B207" s="572"/>
      <c r="C207" s="589"/>
      <c r="D207" s="610"/>
      <c r="E207" s="610"/>
      <c r="F207" s="610"/>
      <c r="G207" s="610"/>
      <c r="H207" s="610"/>
      <c r="I207" s="610"/>
      <c r="J207" s="593"/>
      <c r="K207" s="581">
        <f t="shared" si="35"/>
        <v>1</v>
      </c>
      <c r="L207" s="581">
        <f t="shared" si="35"/>
        <v>1</v>
      </c>
      <c r="M207" s="581">
        <f t="shared" si="35"/>
        <v>1</v>
      </c>
      <c r="N207" s="581">
        <f t="shared" si="35"/>
        <v>1</v>
      </c>
      <c r="O207" s="581">
        <f t="shared" si="35"/>
        <v>1</v>
      </c>
      <c r="P207" s="581">
        <f t="shared" si="35"/>
        <v>1</v>
      </c>
      <c r="Q207" s="572"/>
      <c r="R207" s="589"/>
    </row>
    <row r="208" spans="1:18" outlineLevel="1" x14ac:dyDescent="0.2">
      <c r="A208" s="572"/>
      <c r="B208" s="572"/>
      <c r="C208" s="589"/>
      <c r="D208" s="610"/>
      <c r="E208" s="610"/>
      <c r="F208" s="610"/>
      <c r="G208" s="610"/>
      <c r="H208" s="610"/>
      <c r="I208" s="610"/>
      <c r="J208" s="593"/>
      <c r="K208" s="581">
        <f t="shared" si="35"/>
        <v>1</v>
      </c>
      <c r="L208" s="581">
        <f t="shared" si="35"/>
        <v>1</v>
      </c>
      <c r="M208" s="581">
        <f t="shared" si="35"/>
        <v>1</v>
      </c>
      <c r="N208" s="581">
        <f t="shared" si="35"/>
        <v>1</v>
      </c>
      <c r="O208" s="581">
        <f t="shared" si="35"/>
        <v>1</v>
      </c>
      <c r="P208" s="581">
        <f t="shared" si="35"/>
        <v>1</v>
      </c>
      <c r="Q208" s="572"/>
      <c r="R208" s="589"/>
    </row>
    <row r="209" spans="1:18" outlineLevel="1" x14ac:dyDescent="0.2">
      <c r="A209" s="572"/>
      <c r="B209" s="572"/>
      <c r="C209" s="589"/>
      <c r="D209" s="610"/>
      <c r="E209" s="610"/>
      <c r="F209" s="610"/>
      <c r="G209" s="610"/>
      <c r="H209" s="610"/>
      <c r="I209" s="610"/>
      <c r="J209" s="593"/>
      <c r="K209" s="581">
        <f t="shared" si="35"/>
        <v>1</v>
      </c>
      <c r="L209" s="581">
        <f t="shared" si="35"/>
        <v>1</v>
      </c>
      <c r="M209" s="581">
        <f t="shared" si="35"/>
        <v>1</v>
      </c>
      <c r="N209" s="581">
        <f t="shared" si="35"/>
        <v>1</v>
      </c>
      <c r="O209" s="581">
        <f t="shared" si="35"/>
        <v>1</v>
      </c>
      <c r="P209" s="581">
        <f t="shared" si="35"/>
        <v>1</v>
      </c>
      <c r="Q209" s="572"/>
      <c r="R209" s="589"/>
    </row>
    <row r="210" spans="1:18" outlineLevel="1" x14ac:dyDescent="0.2">
      <c r="A210" s="572"/>
      <c r="B210" s="572"/>
      <c r="C210" s="589"/>
      <c r="D210" s="610"/>
      <c r="E210" s="610"/>
      <c r="F210" s="610"/>
      <c r="G210" s="610"/>
      <c r="H210" s="610"/>
      <c r="I210" s="610"/>
      <c r="J210" s="593"/>
      <c r="K210" s="581">
        <f t="shared" si="35"/>
        <v>1</v>
      </c>
      <c r="L210" s="581">
        <f t="shared" si="35"/>
        <v>1</v>
      </c>
      <c r="M210" s="581">
        <f t="shared" si="35"/>
        <v>1</v>
      </c>
      <c r="N210" s="581">
        <f t="shared" si="35"/>
        <v>1</v>
      </c>
      <c r="O210" s="581">
        <f t="shared" si="35"/>
        <v>1</v>
      </c>
      <c r="P210" s="581">
        <f t="shared" si="35"/>
        <v>1</v>
      </c>
      <c r="Q210" s="572"/>
      <c r="R210" s="589"/>
    </row>
    <row r="211" spans="1:18" outlineLevel="1" x14ac:dyDescent="0.2">
      <c r="A211" s="572"/>
      <c r="B211" s="572"/>
      <c r="C211" s="589"/>
      <c r="D211" s="610"/>
      <c r="E211" s="610"/>
      <c r="F211" s="610"/>
      <c r="G211" s="610"/>
      <c r="H211" s="610"/>
      <c r="I211" s="610"/>
      <c r="J211" s="593"/>
      <c r="K211" s="581">
        <f t="shared" si="35"/>
        <v>1</v>
      </c>
      <c r="L211" s="581">
        <f t="shared" si="35"/>
        <v>1</v>
      </c>
      <c r="M211" s="581">
        <f t="shared" si="35"/>
        <v>1</v>
      </c>
      <c r="N211" s="581">
        <f t="shared" si="35"/>
        <v>1</v>
      </c>
      <c r="O211" s="581">
        <f t="shared" si="35"/>
        <v>1</v>
      </c>
      <c r="P211" s="581">
        <f t="shared" si="35"/>
        <v>1</v>
      </c>
      <c r="Q211" s="572"/>
      <c r="R211" s="589"/>
    </row>
    <row r="212" spans="1:18" outlineLevel="1" x14ac:dyDescent="0.2">
      <c r="A212" s="572"/>
      <c r="B212" s="572"/>
      <c r="C212" s="589"/>
      <c r="D212" s="610"/>
      <c r="E212" s="610"/>
      <c r="F212" s="610"/>
      <c r="G212" s="610"/>
      <c r="H212" s="610"/>
      <c r="I212" s="610"/>
      <c r="J212" s="593"/>
      <c r="K212" s="581">
        <f>IF(D212="",1,D212)</f>
        <v>1</v>
      </c>
      <c r="L212" s="581">
        <f t="shared" si="35"/>
        <v>1</v>
      </c>
      <c r="M212" s="581">
        <f t="shared" si="35"/>
        <v>1</v>
      </c>
      <c r="N212" s="581">
        <f t="shared" si="35"/>
        <v>1</v>
      </c>
      <c r="O212" s="581">
        <f t="shared" si="35"/>
        <v>1</v>
      </c>
      <c r="P212" s="581">
        <f t="shared" si="35"/>
        <v>1</v>
      </c>
      <c r="Q212" s="572"/>
      <c r="R212" s="589"/>
    </row>
    <row r="213" spans="1:18" outlineLevel="1" x14ac:dyDescent="0.2">
      <c r="A213" s="572"/>
      <c r="B213" s="572"/>
      <c r="C213" s="580" t="s">
        <v>246</v>
      </c>
      <c r="D213" s="611">
        <f t="shared" ref="D213:I213" si="36">K203*K204*K205*K206*K212*K207*K208*K209*K210*K211</f>
        <v>1</v>
      </c>
      <c r="E213" s="611">
        <f t="shared" si="36"/>
        <v>1</v>
      </c>
      <c r="F213" s="611">
        <f t="shared" si="36"/>
        <v>1</v>
      </c>
      <c r="G213" s="611">
        <f t="shared" si="36"/>
        <v>1</v>
      </c>
      <c r="H213" s="611">
        <f t="shared" si="36"/>
        <v>1</v>
      </c>
      <c r="I213" s="611">
        <f t="shared" si="36"/>
        <v>1</v>
      </c>
      <c r="J213" s="593"/>
      <c r="K213" s="572"/>
      <c r="L213" s="572"/>
      <c r="M213" s="597"/>
      <c r="N213" s="572"/>
      <c r="O213" s="572"/>
      <c r="P213" s="572"/>
      <c r="Q213" s="572"/>
      <c r="R213" s="572"/>
    </row>
    <row r="214" spans="1:18" outlineLevel="1" x14ac:dyDescent="0.2">
      <c r="A214" s="597"/>
      <c r="B214" s="597"/>
      <c r="C214" s="574" t="s">
        <v>108</v>
      </c>
      <c r="D214" s="607">
        <f t="shared" ref="D214:I214" ca="1" si="37">IF(ISNUMBER(D200),D200*D213,"")</f>
        <v>0</v>
      </c>
      <c r="E214" s="607">
        <f t="shared" ca="1" si="37"/>
        <v>0</v>
      </c>
      <c r="F214" s="607">
        <f t="shared" ca="1" si="37"/>
        <v>0</v>
      </c>
      <c r="G214" s="607">
        <f t="shared" ca="1" si="37"/>
        <v>0</v>
      </c>
      <c r="H214" s="607">
        <f t="shared" ca="1" si="37"/>
        <v>0</v>
      </c>
      <c r="I214" s="607">
        <f t="shared" ca="1" si="37"/>
        <v>0</v>
      </c>
      <c r="J214" s="593"/>
      <c r="K214" s="597"/>
      <c r="L214" s="572"/>
      <c r="M214" s="572"/>
      <c r="N214" s="572"/>
      <c r="O214" s="572"/>
      <c r="P214" s="572"/>
      <c r="Q214" s="572"/>
      <c r="R214" s="572"/>
    </row>
    <row r="215" spans="1:18" outlineLevel="1" x14ac:dyDescent="0.2">
      <c r="A215" s="593"/>
      <c r="B215" s="593"/>
      <c r="C215" s="593"/>
      <c r="D215" s="593"/>
      <c r="E215" s="593"/>
      <c r="F215" s="593"/>
      <c r="G215" s="593"/>
      <c r="H215" s="593"/>
      <c r="I215" s="593"/>
      <c r="J215" s="593"/>
      <c r="K215" s="593"/>
      <c r="L215" s="593"/>
      <c r="M215" s="571"/>
      <c r="N215" s="593"/>
      <c r="O215" s="575"/>
      <c r="P215" s="575"/>
      <c r="Q215" s="593"/>
      <c r="R215" s="593"/>
    </row>
    <row r="216" spans="1:18" outlineLevel="1" x14ac:dyDescent="0.2">
      <c r="A216" s="593"/>
      <c r="B216" s="593"/>
      <c r="C216" s="585" t="str">
        <f>TxPhase1Tx</f>
        <v/>
      </c>
      <c r="D216" s="591"/>
      <c r="E216" s="572"/>
      <c r="F216" s="572"/>
      <c r="G216" s="593"/>
      <c r="H216" s="593"/>
      <c r="I216" s="593"/>
      <c r="J216" s="593"/>
      <c r="K216" s="604" t="s">
        <v>292</v>
      </c>
      <c r="L216" s="604" t="s">
        <v>52</v>
      </c>
      <c r="M216" s="604" t="s">
        <v>381</v>
      </c>
      <c r="N216" s="593"/>
      <c r="O216" s="575"/>
      <c r="P216" s="575"/>
      <c r="Q216" s="593"/>
      <c r="R216" s="577" t="s">
        <v>292</v>
      </c>
    </row>
    <row r="217" spans="1:18" outlineLevel="1" x14ac:dyDescent="0.2">
      <c r="A217" s="593"/>
      <c r="B217" s="593"/>
      <c r="C217" s="585" t="s">
        <v>109</v>
      </c>
      <c r="D217" s="584"/>
      <c r="E217" s="584"/>
      <c r="F217" s="584"/>
      <c r="G217" s="584"/>
      <c r="H217" s="584"/>
      <c r="I217" s="584"/>
      <c r="J217" s="593"/>
      <c r="K217" s="598">
        <f>IF(D196&lt;&gt;"",MATCH(D196,EPISource,0)-1,0)</f>
        <v>0</v>
      </c>
      <c r="L217" s="598">
        <f ca="1">IF(F196&lt;&gt;"",MATCH(F196,OFFSET(References!$AB$7,0,K217,PxPopCount),0),0)</f>
        <v>0</v>
      </c>
      <c r="M217" s="598">
        <f ca="1">(K217*PxPopCount)+L217</f>
        <v>0</v>
      </c>
      <c r="N217" s="593"/>
      <c r="O217" s="575"/>
      <c r="P217" s="575"/>
      <c r="Q217" s="593"/>
      <c r="R217" s="582"/>
    </row>
    <row r="218" spans="1:18" outlineLevel="1" x14ac:dyDescent="0.2">
      <c r="A218" s="593"/>
      <c r="B218" s="593"/>
      <c r="C218" s="593"/>
      <c r="D218" s="593"/>
      <c r="E218" s="612"/>
      <c r="F218" s="593"/>
      <c r="G218" s="593"/>
      <c r="H218" s="593"/>
      <c r="I218" s="593"/>
      <c r="J218" s="593"/>
      <c r="K218" s="571"/>
      <c r="L218" s="571"/>
      <c r="M218" s="593"/>
      <c r="N218" s="593"/>
      <c r="O218" s="575"/>
      <c r="P218" s="575"/>
      <c r="Q218" s="593"/>
      <c r="R218" s="593"/>
    </row>
    <row r="219" spans="1:18" outlineLevel="1" x14ac:dyDescent="0.2">
      <c r="A219" s="593"/>
      <c r="B219" s="593"/>
      <c r="C219" s="590" t="str">
        <f>TXPhase2Tx</f>
        <v/>
      </c>
      <c r="D219" s="600"/>
      <c r="E219" s="600"/>
      <c r="F219" s="593"/>
      <c r="G219" s="593"/>
      <c r="H219" s="593"/>
      <c r="I219" s="593"/>
      <c r="J219" s="593"/>
      <c r="K219" s="571"/>
      <c r="L219" s="571"/>
      <c r="M219" s="593"/>
      <c r="N219" s="593"/>
      <c r="O219" s="575"/>
      <c r="P219" s="575"/>
      <c r="Q219" s="593"/>
      <c r="R219" s="577" t="s">
        <v>292</v>
      </c>
    </row>
    <row r="220" spans="1:18" outlineLevel="1" x14ac:dyDescent="0.2">
      <c r="A220" s="593"/>
      <c r="B220" s="593"/>
      <c r="C220" s="590" t="str">
        <f>IF(C219&lt;&gt;"","Patients electing treatment (%)","")</f>
        <v/>
      </c>
      <c r="D220" s="584"/>
      <c r="E220" s="584"/>
      <c r="F220" s="584"/>
      <c r="G220" s="584"/>
      <c r="H220" s="584"/>
      <c r="I220" s="584"/>
      <c r="J220" s="593"/>
      <c r="K220" s="572"/>
      <c r="L220" s="575"/>
      <c r="M220" s="593"/>
      <c r="N220" s="593"/>
      <c r="O220" s="575"/>
      <c r="P220" s="575"/>
      <c r="Q220" s="593"/>
      <c r="R220" s="582"/>
    </row>
    <row r="221" spans="1:18" outlineLevel="1" x14ac:dyDescent="0.2">
      <c r="A221" s="593"/>
      <c r="B221" s="593"/>
      <c r="C221" s="593"/>
      <c r="D221" s="593"/>
      <c r="E221" s="593"/>
      <c r="F221" s="593"/>
      <c r="G221" s="593"/>
      <c r="H221" s="593"/>
      <c r="I221" s="593"/>
      <c r="J221" s="593"/>
      <c r="K221" s="593"/>
      <c r="L221" s="593"/>
      <c r="M221" s="593"/>
      <c r="N221" s="593"/>
      <c r="O221" s="575"/>
      <c r="P221" s="575"/>
      <c r="Q221" s="593"/>
      <c r="R221" s="593"/>
    </row>
    <row r="222" spans="1:18" outlineLevel="1" x14ac:dyDescent="0.2">
      <c r="A222" s="572"/>
      <c r="B222" s="572"/>
      <c r="C222" s="585" t="str">
        <f>IF(TxPhase1&lt;&gt;"",TxPhase1 &amp; " patients (#)","")</f>
        <v/>
      </c>
      <c r="D222" s="607">
        <f t="shared" ref="D222:I222" si="38">IF(TxPhase1&lt;&gt;"",D214*D217,0)</f>
        <v>0</v>
      </c>
      <c r="E222" s="607">
        <f t="shared" si="38"/>
        <v>0</v>
      </c>
      <c r="F222" s="607">
        <f t="shared" si="38"/>
        <v>0</v>
      </c>
      <c r="G222" s="607">
        <f t="shared" si="38"/>
        <v>0</v>
      </c>
      <c r="H222" s="607">
        <f t="shared" si="38"/>
        <v>0</v>
      </c>
      <c r="I222" s="607">
        <f t="shared" si="38"/>
        <v>0</v>
      </c>
      <c r="J222" s="598" t="str">
        <f>IF(D225&lt;&gt;"",D225,"")</f>
        <v/>
      </c>
      <c r="K222" s="599"/>
      <c r="L222" s="599"/>
      <c r="M222" s="599"/>
      <c r="N222" s="599"/>
      <c r="O222" s="575"/>
      <c r="P222" s="575"/>
      <c r="Q222" s="572"/>
      <c r="R222" s="572"/>
    </row>
    <row r="223" spans="1:18" outlineLevel="1" x14ac:dyDescent="0.2">
      <c r="A223" s="572"/>
      <c r="B223" s="572"/>
      <c r="C223" s="585" t="str">
        <f>IF(TxPhase2&lt;&gt;"",TxPhase2 &amp; " patients (#)","")</f>
        <v/>
      </c>
      <c r="D223" s="607">
        <f t="shared" ref="D223:I223" si="39">IF(TxPhase2&lt;&gt;"",D214*D220,0)</f>
        <v>0</v>
      </c>
      <c r="E223" s="607">
        <f t="shared" si="39"/>
        <v>0</v>
      </c>
      <c r="F223" s="607">
        <f t="shared" si="39"/>
        <v>0</v>
      </c>
      <c r="G223" s="607">
        <f t="shared" si="39"/>
        <v>0</v>
      </c>
      <c r="H223" s="607">
        <f t="shared" si="39"/>
        <v>0</v>
      </c>
      <c r="I223" s="607">
        <f t="shared" si="39"/>
        <v>0</v>
      </c>
      <c r="J223" s="598" t="str">
        <f>IF(D225&lt;&gt;"",D225,"")</f>
        <v/>
      </c>
      <c r="K223" s="572"/>
      <c r="L223" s="572"/>
      <c r="M223" s="597"/>
      <c r="N223" s="572"/>
      <c r="O223" s="575"/>
      <c r="P223" s="575"/>
      <c r="Q223" s="572"/>
      <c r="R223" s="572"/>
    </row>
    <row r="224" spans="1:18" s="570" customFormat="1" outlineLevel="1" x14ac:dyDescent="0.2">
      <c r="A224" s="572"/>
      <c r="B224" s="572"/>
      <c r="C224" s="572"/>
      <c r="D224" s="572"/>
      <c r="E224" s="572"/>
      <c r="F224" s="572"/>
      <c r="G224" s="572"/>
      <c r="H224" s="572"/>
      <c r="I224" s="572"/>
      <c r="J224" s="593"/>
      <c r="K224" s="572"/>
      <c r="L224" s="572"/>
      <c r="M224" s="597"/>
      <c r="N224" s="572"/>
      <c r="O224" s="575"/>
      <c r="P224" s="575"/>
      <c r="Q224" s="572"/>
      <c r="R224" s="572"/>
    </row>
    <row r="225" spans="1:18" s="570" customFormat="1" outlineLevel="1" x14ac:dyDescent="0.2">
      <c r="A225" s="572"/>
      <c r="B225" s="572"/>
      <c r="C225" s="122" t="s">
        <v>817</v>
      </c>
      <c r="D225" s="375"/>
      <c r="E225" s="572"/>
      <c r="F225" s="572"/>
      <c r="G225" s="572"/>
      <c r="H225" s="572"/>
      <c r="I225" s="572"/>
      <c r="J225" s="593"/>
      <c r="K225" s="572"/>
      <c r="L225" s="572"/>
      <c r="M225" s="597"/>
      <c r="N225" s="572"/>
      <c r="O225" s="575"/>
      <c r="P225" s="575"/>
      <c r="Q225" s="572"/>
      <c r="R225" s="572"/>
    </row>
    <row r="226" spans="1:18" outlineLevel="1" x14ac:dyDescent="0.2">
      <c r="A226" s="572"/>
      <c r="B226" s="572"/>
      <c r="C226" s="572"/>
      <c r="D226" s="572"/>
      <c r="E226" s="572"/>
      <c r="F226" s="572"/>
      <c r="G226" s="572"/>
      <c r="H226" s="572"/>
      <c r="I226" s="572"/>
      <c r="J226" s="593"/>
      <c r="K226" s="572"/>
      <c r="L226" s="572"/>
      <c r="M226" s="597"/>
      <c r="N226" s="572"/>
      <c r="O226" s="575"/>
      <c r="P226" s="575"/>
      <c r="Q226" s="572"/>
      <c r="R226" s="572"/>
    </row>
    <row r="227" spans="1:18" x14ac:dyDescent="0.2">
      <c r="A227" s="572"/>
      <c r="B227" s="572"/>
      <c r="C227" s="572"/>
      <c r="D227" s="572"/>
      <c r="E227" s="572"/>
      <c r="F227" s="572"/>
      <c r="G227" s="572"/>
      <c r="H227" s="572"/>
      <c r="I227" s="572"/>
      <c r="J227" s="593"/>
      <c r="K227" s="572"/>
      <c r="L227" s="572"/>
      <c r="M227" s="572"/>
      <c r="N227" s="572"/>
      <c r="O227" s="575"/>
      <c r="P227" s="575"/>
      <c r="Q227" s="572"/>
      <c r="R227" s="572"/>
    </row>
    <row r="228" spans="1:18" ht="15.75" x14ac:dyDescent="0.2">
      <c r="A228" s="104"/>
      <c r="B228" s="190">
        <v>6</v>
      </c>
      <c r="C228" s="110" t="str">
        <f>IF(D232&lt;&gt;"",CONCATENATE("Incident ",B228,": ",F232,I228),MsgNotUsed)</f>
        <v>** NOT USED **</v>
      </c>
      <c r="D228" s="188"/>
      <c r="E228" s="188"/>
      <c r="F228" s="188"/>
      <c r="G228" s="188"/>
      <c r="H228" s="191"/>
      <c r="I228" s="455" t="str">
        <f>IF(R232&lt;&gt;"",CONCATENATE(" (",R232,")"),"")</f>
        <v/>
      </c>
      <c r="J228" s="187"/>
      <c r="K228" s="187"/>
      <c r="L228" s="187"/>
      <c r="M228" s="187"/>
      <c r="N228" s="187"/>
      <c r="O228" s="187"/>
      <c r="P228" s="187"/>
      <c r="Q228" s="189"/>
      <c r="R228" s="189"/>
    </row>
    <row r="229" spans="1:18" outlineLevel="1" x14ac:dyDescent="0.2">
      <c r="A229" s="599"/>
      <c r="B229" s="599"/>
      <c r="C229" s="595"/>
      <c r="D229" s="599"/>
      <c r="E229" s="599"/>
      <c r="F229" s="599"/>
      <c r="G229" s="599"/>
      <c r="H229" s="599"/>
      <c r="I229" s="599"/>
      <c r="J229" s="593"/>
      <c r="K229" s="599"/>
      <c r="L229" s="599"/>
      <c r="M229" s="599"/>
      <c r="N229" s="599"/>
      <c r="O229" s="599"/>
      <c r="P229" s="599"/>
      <c r="Q229" s="599"/>
      <c r="R229" s="599"/>
    </row>
    <row r="230" spans="1:18" outlineLevel="1" x14ac:dyDescent="0.2">
      <c r="A230" s="599"/>
      <c r="B230" s="599"/>
      <c r="C230" s="572" t="s">
        <v>913</v>
      </c>
      <c r="D230" s="599"/>
      <c r="E230" s="599"/>
      <c r="F230" s="599"/>
      <c r="G230" s="770" t="str">
        <f>IF(D232=INDEX(EPISource,4),MsgNote &amp; VLOOKUP("PrevInc",WarningMessages,2,FALSE),"")</f>
        <v/>
      </c>
      <c r="H230" s="770"/>
      <c r="I230" s="770"/>
      <c r="J230" s="593"/>
      <c r="K230" s="599"/>
      <c r="L230" s="599"/>
      <c r="M230" s="599"/>
      <c r="N230" s="599"/>
      <c r="O230" s="599"/>
      <c r="P230" s="599"/>
      <c r="Q230" s="599"/>
      <c r="R230" s="670" t="str">
        <f ca="1">IF(ISERROR($M253)=TRUE,MsgError &amp; VLOOKUP("BadPop",ErrorMessages,2,FALSE),"")</f>
        <v/>
      </c>
    </row>
    <row r="231" spans="1:18" outlineLevel="1" x14ac:dyDescent="0.2">
      <c r="A231" s="599"/>
      <c r="B231" s="599"/>
      <c r="C231" s="595"/>
      <c r="D231" s="599"/>
      <c r="E231" s="599"/>
      <c r="F231" s="599"/>
      <c r="G231" s="599"/>
      <c r="H231" s="599"/>
      <c r="I231" s="599"/>
      <c r="J231" s="593"/>
      <c r="K231" s="599"/>
      <c r="L231" s="599"/>
      <c r="M231" s="599"/>
      <c r="N231" s="599"/>
      <c r="O231" s="599"/>
      <c r="P231" s="599"/>
      <c r="Q231" s="599"/>
      <c r="R231" s="577" t="s">
        <v>470</v>
      </c>
    </row>
    <row r="232" spans="1:18" outlineLevel="1" x14ac:dyDescent="0.2">
      <c r="A232" s="599"/>
      <c r="B232" s="599"/>
      <c r="C232" s="578" t="s">
        <v>131</v>
      </c>
      <c r="D232" s="605"/>
      <c r="E232" s="594"/>
      <c r="F232" s="774"/>
      <c r="G232" s="775"/>
      <c r="H232" s="775"/>
      <c r="I232" s="775"/>
      <c r="J232" s="593"/>
      <c r="K232" s="599"/>
      <c r="L232" s="599"/>
      <c r="M232" s="599"/>
      <c r="N232" s="599"/>
      <c r="O232" s="599"/>
      <c r="P232" s="599"/>
      <c r="Q232" s="599"/>
      <c r="R232" s="606"/>
    </row>
    <row r="233" spans="1:18" outlineLevel="1" x14ac:dyDescent="0.2">
      <c r="A233" s="599"/>
      <c r="B233" s="599"/>
      <c r="C233" s="595"/>
      <c r="D233" s="600">
        <v>1</v>
      </c>
      <c r="E233" s="600">
        <v>2</v>
      </c>
      <c r="F233" s="600">
        <v>3</v>
      </c>
      <c r="G233" s="600">
        <v>4</v>
      </c>
      <c r="H233" s="600">
        <v>5</v>
      </c>
      <c r="I233" s="600">
        <v>6</v>
      </c>
      <c r="J233" s="593"/>
      <c r="K233" s="599"/>
      <c r="L233" s="599"/>
      <c r="M233" s="599"/>
      <c r="N233" s="599"/>
      <c r="O233" s="599"/>
      <c r="P233" s="599"/>
      <c r="Q233" s="599"/>
      <c r="R233" s="599"/>
    </row>
    <row r="234" spans="1:18" ht="15" customHeight="1" outlineLevel="1" x14ac:dyDescent="0.2">
      <c r="A234" s="599"/>
      <c r="B234" s="599"/>
      <c r="C234" s="595"/>
      <c r="D234" s="776" t="s">
        <v>11</v>
      </c>
      <c r="E234" s="776"/>
      <c r="F234" s="776"/>
      <c r="G234" s="776"/>
      <c r="H234" s="776"/>
      <c r="I234" s="776"/>
      <c r="J234" s="593"/>
      <c r="K234" s="599"/>
      <c r="L234" s="599"/>
      <c r="M234" s="599"/>
      <c r="N234" s="599"/>
      <c r="O234" s="599"/>
      <c r="P234" s="599"/>
      <c r="Q234" s="599"/>
      <c r="R234" s="599"/>
    </row>
    <row r="235" spans="1:18" outlineLevel="1" x14ac:dyDescent="0.2">
      <c r="A235" s="599"/>
      <c r="B235" s="599"/>
      <c r="C235" s="573"/>
      <c r="D235" s="588">
        <f>FirstYear</f>
        <v>0</v>
      </c>
      <c r="E235" s="588">
        <f>D235+1</f>
        <v>1</v>
      </c>
      <c r="F235" s="588">
        <f>E235+1</f>
        <v>2</v>
      </c>
      <c r="G235" s="588">
        <f>F235+1</f>
        <v>3</v>
      </c>
      <c r="H235" s="588">
        <f>G235+1</f>
        <v>4</v>
      </c>
      <c r="I235" s="588">
        <f>H235+1</f>
        <v>5</v>
      </c>
      <c r="J235" s="593"/>
      <c r="K235" s="599"/>
      <c r="L235" s="599"/>
      <c r="M235" s="599"/>
      <c r="N235" s="599"/>
      <c r="O235" s="599"/>
      <c r="P235" s="599"/>
      <c r="Q235" s="599"/>
      <c r="R235" s="599"/>
    </row>
    <row r="236" spans="1:18" ht="12.75" customHeight="1" outlineLevel="1" x14ac:dyDescent="0.2">
      <c r="A236" s="572"/>
      <c r="B236" s="572"/>
      <c r="C236" s="576" t="s">
        <v>382</v>
      </c>
      <c r="D236" s="596">
        <f t="shared" ref="D236:I236" ca="1" si="40">IF(AND(ISERROR($M253)&lt;&gt;TRUE,$F232&lt;&gt;""),INDEX(PxPopNumbers,$M253,D233),0)</f>
        <v>0</v>
      </c>
      <c r="E236" s="596">
        <f t="shared" ca="1" si="40"/>
        <v>0</v>
      </c>
      <c r="F236" s="596">
        <f t="shared" ca="1" si="40"/>
        <v>0</v>
      </c>
      <c r="G236" s="596">
        <f t="shared" ca="1" si="40"/>
        <v>0</v>
      </c>
      <c r="H236" s="596">
        <f t="shared" ca="1" si="40"/>
        <v>0</v>
      </c>
      <c r="I236" s="596">
        <f t="shared" ca="1" si="40"/>
        <v>0</v>
      </c>
      <c r="J236" s="593"/>
      <c r="K236" s="572"/>
      <c r="L236" s="572"/>
      <c r="M236" s="572"/>
      <c r="N236" s="572"/>
      <c r="O236" s="572"/>
      <c r="P236" s="572"/>
      <c r="Q236" s="595"/>
      <c r="R236" s="572"/>
    </row>
    <row r="237" spans="1:18" ht="12.75" customHeight="1" outlineLevel="1" x14ac:dyDescent="0.2">
      <c r="A237" s="593"/>
      <c r="B237" s="593"/>
      <c r="C237" s="593"/>
      <c r="D237" s="593"/>
      <c r="E237" s="593"/>
      <c r="F237" s="593"/>
      <c r="G237" s="593"/>
      <c r="H237" s="593"/>
      <c r="I237" s="593"/>
      <c r="J237" s="593"/>
      <c r="K237" s="572"/>
      <c r="L237" s="572"/>
      <c r="M237" s="572"/>
      <c r="N237" s="572"/>
      <c r="O237" s="572"/>
      <c r="P237" s="572"/>
      <c r="Q237" s="593"/>
      <c r="R237" s="593"/>
    </row>
    <row r="238" spans="1:18" ht="12.75" customHeight="1" outlineLevel="1" x14ac:dyDescent="0.2">
      <c r="A238" s="593"/>
      <c r="B238" s="593"/>
      <c r="C238" s="579" t="s">
        <v>238</v>
      </c>
      <c r="D238" s="593"/>
      <c r="E238" s="593"/>
      <c r="F238" s="593"/>
      <c r="G238" s="593"/>
      <c r="H238" s="593"/>
      <c r="I238" s="593"/>
      <c r="J238" s="593"/>
      <c r="K238" s="572"/>
      <c r="L238" s="572"/>
      <c r="M238" s="593"/>
      <c r="N238" s="593"/>
      <c r="O238" s="593"/>
      <c r="P238" s="593"/>
      <c r="Q238" s="593"/>
      <c r="R238" s="577" t="s">
        <v>292</v>
      </c>
    </row>
    <row r="239" spans="1:18" outlineLevel="1" x14ac:dyDescent="0.2">
      <c r="A239" s="572"/>
      <c r="B239" s="572"/>
      <c r="C239" s="589"/>
      <c r="D239" s="610"/>
      <c r="E239" s="610"/>
      <c r="F239" s="610"/>
      <c r="G239" s="610"/>
      <c r="H239" s="610"/>
      <c r="I239" s="610"/>
      <c r="J239" s="593"/>
      <c r="K239" s="581">
        <f t="shared" ref="K239:K247" si="41">IF(D239="",1,D239)</f>
        <v>1</v>
      </c>
      <c r="L239" s="581">
        <f t="shared" ref="L239:L248" si="42">IF(E239="",1,E239)</f>
        <v>1</v>
      </c>
      <c r="M239" s="581">
        <f t="shared" ref="M239:M248" si="43">IF(F239="",1,F239)</f>
        <v>1</v>
      </c>
      <c r="N239" s="581">
        <f t="shared" ref="N239:N248" si="44">IF(G239="",1,G239)</f>
        <v>1</v>
      </c>
      <c r="O239" s="581">
        <f t="shared" ref="O239:O248" si="45">IF(H239="",1,H239)</f>
        <v>1</v>
      </c>
      <c r="P239" s="581">
        <f t="shared" ref="P239:P248" si="46">IF(I239="",1,I239)</f>
        <v>1</v>
      </c>
      <c r="Q239" s="572"/>
      <c r="R239" s="589"/>
    </row>
    <row r="240" spans="1:18" outlineLevel="1" x14ac:dyDescent="0.2">
      <c r="A240" s="572"/>
      <c r="B240" s="572"/>
      <c r="C240" s="589"/>
      <c r="D240" s="610"/>
      <c r="E240" s="610"/>
      <c r="F240" s="610"/>
      <c r="G240" s="610"/>
      <c r="H240" s="610"/>
      <c r="I240" s="610"/>
      <c r="J240" s="593"/>
      <c r="K240" s="581">
        <f t="shared" si="41"/>
        <v>1</v>
      </c>
      <c r="L240" s="581">
        <f t="shared" si="42"/>
        <v>1</v>
      </c>
      <c r="M240" s="581">
        <f t="shared" si="43"/>
        <v>1</v>
      </c>
      <c r="N240" s="581">
        <f t="shared" si="44"/>
        <v>1</v>
      </c>
      <c r="O240" s="581">
        <f t="shared" si="45"/>
        <v>1</v>
      </c>
      <c r="P240" s="581">
        <f t="shared" si="46"/>
        <v>1</v>
      </c>
      <c r="Q240" s="572"/>
      <c r="R240" s="589"/>
    </row>
    <row r="241" spans="1:18" outlineLevel="1" x14ac:dyDescent="0.2">
      <c r="A241" s="572"/>
      <c r="B241" s="572"/>
      <c r="C241" s="589"/>
      <c r="D241" s="610"/>
      <c r="E241" s="610"/>
      <c r="F241" s="610"/>
      <c r="G241" s="610"/>
      <c r="H241" s="610"/>
      <c r="I241" s="610"/>
      <c r="J241" s="593"/>
      <c r="K241" s="581">
        <f t="shared" si="41"/>
        <v>1</v>
      </c>
      <c r="L241" s="581">
        <f t="shared" si="42"/>
        <v>1</v>
      </c>
      <c r="M241" s="581">
        <f t="shared" si="43"/>
        <v>1</v>
      </c>
      <c r="N241" s="581">
        <f t="shared" si="44"/>
        <v>1</v>
      </c>
      <c r="O241" s="581">
        <f t="shared" si="45"/>
        <v>1</v>
      </c>
      <c r="P241" s="581">
        <f t="shared" si="46"/>
        <v>1</v>
      </c>
      <c r="Q241" s="572"/>
      <c r="R241" s="589"/>
    </row>
    <row r="242" spans="1:18" outlineLevel="1" x14ac:dyDescent="0.2">
      <c r="A242" s="572"/>
      <c r="B242" s="572"/>
      <c r="C242" s="589"/>
      <c r="D242" s="610"/>
      <c r="E242" s="610"/>
      <c r="F242" s="610"/>
      <c r="G242" s="610"/>
      <c r="H242" s="610"/>
      <c r="I242" s="610"/>
      <c r="J242" s="593"/>
      <c r="K242" s="581">
        <f t="shared" si="41"/>
        <v>1</v>
      </c>
      <c r="L242" s="581">
        <f t="shared" si="42"/>
        <v>1</v>
      </c>
      <c r="M242" s="581">
        <f t="shared" si="43"/>
        <v>1</v>
      </c>
      <c r="N242" s="581">
        <f t="shared" si="44"/>
        <v>1</v>
      </c>
      <c r="O242" s="581">
        <f t="shared" si="45"/>
        <v>1</v>
      </c>
      <c r="P242" s="581">
        <f t="shared" si="46"/>
        <v>1</v>
      </c>
      <c r="Q242" s="572"/>
      <c r="R242" s="589"/>
    </row>
    <row r="243" spans="1:18" outlineLevel="1" x14ac:dyDescent="0.2">
      <c r="A243" s="572"/>
      <c r="B243" s="572"/>
      <c r="C243" s="589"/>
      <c r="D243" s="610"/>
      <c r="E243" s="610"/>
      <c r="F243" s="610"/>
      <c r="G243" s="610"/>
      <c r="H243" s="610"/>
      <c r="I243" s="610"/>
      <c r="J243" s="593"/>
      <c r="K243" s="581">
        <f t="shared" si="41"/>
        <v>1</v>
      </c>
      <c r="L243" s="581">
        <f t="shared" si="42"/>
        <v>1</v>
      </c>
      <c r="M243" s="581">
        <f t="shared" si="43"/>
        <v>1</v>
      </c>
      <c r="N243" s="581">
        <f t="shared" si="44"/>
        <v>1</v>
      </c>
      <c r="O243" s="581">
        <f t="shared" si="45"/>
        <v>1</v>
      </c>
      <c r="P243" s="581">
        <f t="shared" si="46"/>
        <v>1</v>
      </c>
      <c r="Q243" s="572"/>
      <c r="R243" s="589"/>
    </row>
    <row r="244" spans="1:18" outlineLevel="1" x14ac:dyDescent="0.2">
      <c r="A244" s="572"/>
      <c r="B244" s="572"/>
      <c r="C244" s="589"/>
      <c r="D244" s="610"/>
      <c r="E244" s="610"/>
      <c r="F244" s="610"/>
      <c r="G244" s="610"/>
      <c r="H244" s="610"/>
      <c r="I244" s="610"/>
      <c r="J244" s="593"/>
      <c r="K244" s="581">
        <f t="shared" si="41"/>
        <v>1</v>
      </c>
      <c r="L244" s="581">
        <f t="shared" si="42"/>
        <v>1</v>
      </c>
      <c r="M244" s="581">
        <f t="shared" si="43"/>
        <v>1</v>
      </c>
      <c r="N244" s="581">
        <f t="shared" si="44"/>
        <v>1</v>
      </c>
      <c r="O244" s="581">
        <f t="shared" si="45"/>
        <v>1</v>
      </c>
      <c r="P244" s="581">
        <f t="shared" si="46"/>
        <v>1</v>
      </c>
      <c r="Q244" s="572"/>
      <c r="R244" s="589"/>
    </row>
    <row r="245" spans="1:18" outlineLevel="1" x14ac:dyDescent="0.2">
      <c r="A245" s="572"/>
      <c r="B245" s="572"/>
      <c r="C245" s="589"/>
      <c r="D245" s="610"/>
      <c r="E245" s="610"/>
      <c r="F245" s="610"/>
      <c r="G245" s="610"/>
      <c r="H245" s="610"/>
      <c r="I245" s="610"/>
      <c r="J245" s="593"/>
      <c r="K245" s="581">
        <f t="shared" si="41"/>
        <v>1</v>
      </c>
      <c r="L245" s="581">
        <f t="shared" si="42"/>
        <v>1</v>
      </c>
      <c r="M245" s="581">
        <f t="shared" si="43"/>
        <v>1</v>
      </c>
      <c r="N245" s="581">
        <f t="shared" si="44"/>
        <v>1</v>
      </c>
      <c r="O245" s="581">
        <f t="shared" si="45"/>
        <v>1</v>
      </c>
      <c r="P245" s="581">
        <f t="shared" si="46"/>
        <v>1</v>
      </c>
      <c r="Q245" s="572"/>
      <c r="R245" s="589"/>
    </row>
    <row r="246" spans="1:18" outlineLevel="1" x14ac:dyDescent="0.2">
      <c r="A246" s="572"/>
      <c r="B246" s="572"/>
      <c r="C246" s="589"/>
      <c r="D246" s="610"/>
      <c r="E246" s="610"/>
      <c r="F246" s="610"/>
      <c r="G246" s="610"/>
      <c r="H246" s="610"/>
      <c r="I246" s="610"/>
      <c r="J246" s="593"/>
      <c r="K246" s="581">
        <f t="shared" si="41"/>
        <v>1</v>
      </c>
      <c r="L246" s="581">
        <f t="shared" si="42"/>
        <v>1</v>
      </c>
      <c r="M246" s="581">
        <f t="shared" si="43"/>
        <v>1</v>
      </c>
      <c r="N246" s="581">
        <f t="shared" si="44"/>
        <v>1</v>
      </c>
      <c r="O246" s="581">
        <f t="shared" si="45"/>
        <v>1</v>
      </c>
      <c r="P246" s="581">
        <f t="shared" si="46"/>
        <v>1</v>
      </c>
      <c r="Q246" s="572"/>
      <c r="R246" s="589"/>
    </row>
    <row r="247" spans="1:18" outlineLevel="1" x14ac:dyDescent="0.2">
      <c r="A247" s="572"/>
      <c r="B247" s="572"/>
      <c r="C247" s="589"/>
      <c r="D247" s="610"/>
      <c r="E247" s="610"/>
      <c r="F247" s="610"/>
      <c r="G247" s="610"/>
      <c r="H247" s="610"/>
      <c r="I247" s="610"/>
      <c r="J247" s="593"/>
      <c r="K247" s="581">
        <f t="shared" si="41"/>
        <v>1</v>
      </c>
      <c r="L247" s="581">
        <f t="shared" si="42"/>
        <v>1</v>
      </c>
      <c r="M247" s="581">
        <f t="shared" si="43"/>
        <v>1</v>
      </c>
      <c r="N247" s="581">
        <f t="shared" si="44"/>
        <v>1</v>
      </c>
      <c r="O247" s="581">
        <f t="shared" si="45"/>
        <v>1</v>
      </c>
      <c r="P247" s="581">
        <f t="shared" si="46"/>
        <v>1</v>
      </c>
      <c r="Q247" s="572"/>
      <c r="R247" s="589"/>
    </row>
    <row r="248" spans="1:18" outlineLevel="1" x14ac:dyDescent="0.2">
      <c r="A248" s="572"/>
      <c r="B248" s="572"/>
      <c r="C248" s="589"/>
      <c r="D248" s="610"/>
      <c r="E248" s="610"/>
      <c r="F248" s="610"/>
      <c r="G248" s="610"/>
      <c r="H248" s="610"/>
      <c r="I248" s="610"/>
      <c r="J248" s="593"/>
      <c r="K248" s="581">
        <f>IF(D248="",1,D248)</f>
        <v>1</v>
      </c>
      <c r="L248" s="581">
        <f t="shared" si="42"/>
        <v>1</v>
      </c>
      <c r="M248" s="581">
        <f t="shared" si="43"/>
        <v>1</v>
      </c>
      <c r="N248" s="581">
        <f t="shared" si="44"/>
        <v>1</v>
      </c>
      <c r="O248" s="581">
        <f t="shared" si="45"/>
        <v>1</v>
      </c>
      <c r="P248" s="581">
        <f t="shared" si="46"/>
        <v>1</v>
      </c>
      <c r="Q248" s="572"/>
      <c r="R248" s="589"/>
    </row>
    <row r="249" spans="1:18" outlineLevel="1" x14ac:dyDescent="0.2">
      <c r="A249" s="572"/>
      <c r="B249" s="572"/>
      <c r="C249" s="580" t="s">
        <v>246</v>
      </c>
      <c r="D249" s="611">
        <f t="shared" ref="D249:I249" si="47">K239*K240*K241*K242*K248*K243*K244*K245*K246*K247</f>
        <v>1</v>
      </c>
      <c r="E249" s="611">
        <f t="shared" si="47"/>
        <v>1</v>
      </c>
      <c r="F249" s="611">
        <f t="shared" si="47"/>
        <v>1</v>
      </c>
      <c r="G249" s="611">
        <f t="shared" si="47"/>
        <v>1</v>
      </c>
      <c r="H249" s="611">
        <f t="shared" si="47"/>
        <v>1</v>
      </c>
      <c r="I249" s="611">
        <f t="shared" si="47"/>
        <v>1</v>
      </c>
      <c r="J249" s="593"/>
      <c r="K249" s="572"/>
      <c r="L249" s="572"/>
      <c r="M249" s="597"/>
      <c r="N249" s="572"/>
      <c r="O249" s="572"/>
      <c r="P249" s="572"/>
      <c r="Q249" s="572"/>
      <c r="R249" s="572"/>
    </row>
    <row r="250" spans="1:18" outlineLevel="1" x14ac:dyDescent="0.2">
      <c r="A250" s="597"/>
      <c r="B250" s="597"/>
      <c r="C250" s="574" t="s">
        <v>108</v>
      </c>
      <c r="D250" s="607">
        <f t="shared" ref="D250:I250" ca="1" si="48">IF(ISNUMBER(D236),D236*D249,"")</f>
        <v>0</v>
      </c>
      <c r="E250" s="607">
        <f t="shared" ca="1" si="48"/>
        <v>0</v>
      </c>
      <c r="F250" s="607">
        <f t="shared" ca="1" si="48"/>
        <v>0</v>
      </c>
      <c r="G250" s="607">
        <f t="shared" ca="1" si="48"/>
        <v>0</v>
      </c>
      <c r="H250" s="607">
        <f t="shared" ca="1" si="48"/>
        <v>0</v>
      </c>
      <c r="I250" s="607">
        <f t="shared" ca="1" si="48"/>
        <v>0</v>
      </c>
      <c r="J250" s="593"/>
      <c r="K250" s="597"/>
      <c r="L250" s="572"/>
      <c r="M250" s="572"/>
      <c r="N250" s="572"/>
      <c r="O250" s="572"/>
      <c r="P250" s="572"/>
      <c r="Q250" s="572"/>
      <c r="R250" s="572"/>
    </row>
    <row r="251" spans="1:18" outlineLevel="1" x14ac:dyDescent="0.2">
      <c r="A251" s="593"/>
      <c r="B251" s="593"/>
      <c r="C251" s="593"/>
      <c r="D251" s="593"/>
      <c r="E251" s="593"/>
      <c r="F251" s="593"/>
      <c r="G251" s="593"/>
      <c r="H251" s="593"/>
      <c r="I251" s="593"/>
      <c r="J251" s="593"/>
      <c r="K251" s="593"/>
      <c r="L251" s="593"/>
      <c r="M251" s="593"/>
      <c r="N251" s="593"/>
      <c r="O251" s="575"/>
      <c r="P251" s="575"/>
      <c r="Q251" s="593"/>
      <c r="R251" s="593"/>
    </row>
    <row r="252" spans="1:18" outlineLevel="1" x14ac:dyDescent="0.2">
      <c r="A252" s="593"/>
      <c r="B252" s="593"/>
      <c r="C252" s="585" t="str">
        <f>TxPhase1Tx</f>
        <v/>
      </c>
      <c r="D252" s="591"/>
      <c r="E252" s="572"/>
      <c r="F252" s="572"/>
      <c r="G252" s="593"/>
      <c r="H252" s="593"/>
      <c r="I252" s="593"/>
      <c r="J252" s="593"/>
      <c r="K252" s="604" t="s">
        <v>292</v>
      </c>
      <c r="L252" s="604" t="s">
        <v>52</v>
      </c>
      <c r="M252" s="604" t="s">
        <v>381</v>
      </c>
      <c r="N252" s="593"/>
      <c r="O252" s="575"/>
      <c r="P252" s="575"/>
      <c r="Q252" s="593"/>
      <c r="R252" s="577" t="s">
        <v>292</v>
      </c>
    </row>
    <row r="253" spans="1:18" outlineLevel="1" x14ac:dyDescent="0.2">
      <c r="A253" s="593"/>
      <c r="B253" s="593"/>
      <c r="C253" s="585" t="s">
        <v>109</v>
      </c>
      <c r="D253" s="584"/>
      <c r="E253" s="584"/>
      <c r="F253" s="584"/>
      <c r="G253" s="584"/>
      <c r="H253" s="584"/>
      <c r="I253" s="584"/>
      <c r="J253" s="593"/>
      <c r="K253" s="598">
        <f>IF(D232&lt;&gt;"",MATCH(D232,EPISource,0)-1,0)</f>
        <v>0</v>
      </c>
      <c r="L253" s="598">
        <f ca="1">IF(F232&lt;&gt;"",MATCH(F232,OFFSET(References!$AB$7,0,K253,PxPopCount),0),0)</f>
        <v>0</v>
      </c>
      <c r="M253" s="598">
        <f ca="1">(K253*PxPopCount)+L253</f>
        <v>0</v>
      </c>
      <c r="N253" s="593"/>
      <c r="O253" s="575"/>
      <c r="P253" s="575"/>
      <c r="Q253" s="593"/>
      <c r="R253" s="582"/>
    </row>
    <row r="254" spans="1:18" outlineLevel="1" x14ac:dyDescent="0.2">
      <c r="A254" s="593"/>
      <c r="B254" s="593"/>
      <c r="C254" s="593"/>
      <c r="D254" s="593"/>
      <c r="E254" s="612"/>
      <c r="F254" s="593"/>
      <c r="G254" s="593"/>
      <c r="H254" s="593"/>
      <c r="I254" s="593"/>
      <c r="J254" s="593"/>
      <c r="K254" s="571"/>
      <c r="L254" s="571"/>
      <c r="M254" s="593"/>
      <c r="N254" s="593"/>
      <c r="O254" s="575"/>
      <c r="P254" s="575"/>
      <c r="Q254" s="593"/>
      <c r="R254" s="593"/>
    </row>
    <row r="255" spans="1:18" outlineLevel="1" x14ac:dyDescent="0.2">
      <c r="A255" s="593"/>
      <c r="B255" s="593"/>
      <c r="C255" s="590" t="str">
        <f>TXPhase2Tx</f>
        <v/>
      </c>
      <c r="D255" s="600"/>
      <c r="E255" s="600"/>
      <c r="F255" s="593"/>
      <c r="G255" s="593"/>
      <c r="H255" s="593"/>
      <c r="I255" s="593"/>
      <c r="J255" s="593"/>
      <c r="K255" s="571"/>
      <c r="L255" s="571"/>
      <c r="M255" s="593"/>
      <c r="N255" s="593"/>
      <c r="O255" s="575"/>
      <c r="P255" s="575"/>
      <c r="Q255" s="593"/>
      <c r="R255" s="577" t="s">
        <v>292</v>
      </c>
    </row>
    <row r="256" spans="1:18" outlineLevel="1" x14ac:dyDescent="0.2">
      <c r="A256" s="593"/>
      <c r="B256" s="593"/>
      <c r="C256" s="590" t="str">
        <f>IF(C255&lt;&gt;"","Patients electing treatment (%)","")</f>
        <v/>
      </c>
      <c r="D256" s="584"/>
      <c r="E256" s="584"/>
      <c r="F256" s="584"/>
      <c r="G256" s="584"/>
      <c r="H256" s="584"/>
      <c r="I256" s="584"/>
      <c r="J256" s="593"/>
      <c r="K256" s="572"/>
      <c r="L256" s="575"/>
      <c r="M256" s="593"/>
      <c r="N256" s="593"/>
      <c r="O256" s="575"/>
      <c r="P256" s="575"/>
      <c r="Q256" s="593"/>
      <c r="R256" s="582"/>
    </row>
    <row r="257" spans="1:18" outlineLevel="1" x14ac:dyDescent="0.2">
      <c r="A257" s="593"/>
      <c r="B257" s="593"/>
      <c r="C257" s="593"/>
      <c r="D257" s="593"/>
      <c r="E257" s="593"/>
      <c r="F257" s="593"/>
      <c r="G257" s="593"/>
      <c r="H257" s="593"/>
      <c r="I257" s="593"/>
      <c r="J257" s="593"/>
      <c r="K257" s="593"/>
      <c r="L257" s="593"/>
      <c r="M257" s="593"/>
      <c r="N257" s="593"/>
      <c r="O257" s="575"/>
      <c r="P257" s="575"/>
      <c r="Q257" s="593"/>
      <c r="R257" s="593"/>
    </row>
    <row r="258" spans="1:18" outlineLevel="1" x14ac:dyDescent="0.2">
      <c r="A258" s="572"/>
      <c r="B258" s="572"/>
      <c r="C258" s="585" t="str">
        <f>TxPhase1Px</f>
        <v/>
      </c>
      <c r="D258" s="607">
        <f t="shared" ref="D258:I258" si="49">IF(TxPhase1&lt;&gt;"",D250*D253,0)</f>
        <v>0</v>
      </c>
      <c r="E258" s="607">
        <f t="shared" si="49"/>
        <v>0</v>
      </c>
      <c r="F258" s="607">
        <f t="shared" si="49"/>
        <v>0</v>
      </c>
      <c r="G258" s="607">
        <f t="shared" si="49"/>
        <v>0</v>
      </c>
      <c r="H258" s="607">
        <f t="shared" si="49"/>
        <v>0</v>
      </c>
      <c r="I258" s="607">
        <f t="shared" si="49"/>
        <v>0</v>
      </c>
      <c r="J258" s="598" t="str">
        <f>IF(D261&lt;&gt;"",D261,"")</f>
        <v/>
      </c>
      <c r="K258" s="599"/>
      <c r="L258" s="599"/>
      <c r="M258" s="599"/>
      <c r="N258" s="599"/>
      <c r="O258" s="575"/>
      <c r="P258" s="575"/>
      <c r="Q258" s="572"/>
      <c r="R258" s="572"/>
    </row>
    <row r="259" spans="1:18" outlineLevel="1" x14ac:dyDescent="0.2">
      <c r="A259" s="572"/>
      <c r="B259" s="572"/>
      <c r="C259" s="585" t="str">
        <f>TxPhase2Px</f>
        <v/>
      </c>
      <c r="D259" s="607">
        <f t="shared" ref="D259:I259" si="50">IF(TxPhase2&lt;&gt;"",D250*D256,0)</f>
        <v>0</v>
      </c>
      <c r="E259" s="607">
        <f t="shared" si="50"/>
        <v>0</v>
      </c>
      <c r="F259" s="607">
        <f t="shared" si="50"/>
        <v>0</v>
      </c>
      <c r="G259" s="607">
        <f t="shared" si="50"/>
        <v>0</v>
      </c>
      <c r="H259" s="607">
        <f t="shared" si="50"/>
        <v>0</v>
      </c>
      <c r="I259" s="607">
        <f t="shared" si="50"/>
        <v>0</v>
      </c>
      <c r="J259" s="598" t="str">
        <f>IF(D261&lt;&gt;"",D261,"")</f>
        <v/>
      </c>
      <c r="K259" s="572"/>
      <c r="L259" s="572"/>
      <c r="M259" s="597"/>
      <c r="N259" s="572"/>
      <c r="O259" s="575"/>
      <c r="P259" s="575"/>
      <c r="Q259" s="572"/>
      <c r="R259" s="572"/>
    </row>
    <row r="260" spans="1:18" s="570" customFormat="1" outlineLevel="1" x14ac:dyDescent="0.2">
      <c r="A260" s="572"/>
      <c r="B260" s="572"/>
      <c r="C260" s="572"/>
      <c r="D260" s="572"/>
      <c r="E260" s="572"/>
      <c r="F260" s="572"/>
      <c r="G260" s="572"/>
      <c r="H260" s="572"/>
      <c r="I260" s="572"/>
      <c r="J260" s="593"/>
      <c r="K260" s="572"/>
      <c r="L260" s="572"/>
      <c r="M260" s="597"/>
      <c r="N260" s="572"/>
      <c r="O260" s="575"/>
      <c r="P260" s="575"/>
      <c r="Q260" s="572"/>
      <c r="R260" s="572"/>
    </row>
    <row r="261" spans="1:18" s="570" customFormat="1" outlineLevel="1" x14ac:dyDescent="0.2">
      <c r="A261" s="572"/>
      <c r="B261" s="572"/>
      <c r="C261" s="122" t="s">
        <v>817</v>
      </c>
      <c r="D261" s="375"/>
      <c r="E261" s="572"/>
      <c r="F261" s="572"/>
      <c r="G261" s="572"/>
      <c r="H261" s="572"/>
      <c r="I261" s="572"/>
      <c r="J261" s="593"/>
      <c r="K261" s="572"/>
      <c r="L261" s="572"/>
      <c r="M261" s="597"/>
      <c r="N261" s="572"/>
      <c r="O261" s="575"/>
      <c r="P261" s="575"/>
      <c r="Q261" s="572"/>
      <c r="R261" s="572"/>
    </row>
    <row r="262" spans="1:18" outlineLevel="1" x14ac:dyDescent="0.2">
      <c r="A262" s="572"/>
      <c r="B262" s="572"/>
      <c r="C262" s="572"/>
      <c r="D262" s="572"/>
      <c r="E262" s="572"/>
      <c r="F262" s="572"/>
      <c r="G262" s="572"/>
      <c r="H262" s="572"/>
      <c r="I262" s="572"/>
      <c r="J262" s="593"/>
      <c r="K262" s="572"/>
      <c r="L262" s="572"/>
      <c r="M262" s="597"/>
      <c r="N262" s="572"/>
      <c r="O262" s="575"/>
      <c r="P262" s="575"/>
      <c r="Q262" s="572"/>
      <c r="R262" s="572"/>
    </row>
    <row r="263" spans="1:18" x14ac:dyDescent="0.2">
      <c r="A263" s="572"/>
      <c r="B263" s="572"/>
      <c r="C263" s="572"/>
      <c r="D263" s="572"/>
      <c r="E263" s="572"/>
      <c r="F263" s="572"/>
      <c r="G263" s="572"/>
      <c r="H263" s="572"/>
      <c r="I263" s="572"/>
      <c r="J263" s="593"/>
      <c r="K263" s="572"/>
      <c r="L263" s="572"/>
      <c r="M263" s="572"/>
      <c r="N263" s="572"/>
      <c r="O263" s="575"/>
      <c r="P263" s="575"/>
      <c r="Q263" s="572"/>
      <c r="R263" s="572"/>
    </row>
    <row r="264" spans="1:18" ht="15.75" x14ac:dyDescent="0.2">
      <c r="A264" s="104"/>
      <c r="B264" s="190">
        <v>7</v>
      </c>
      <c r="C264" s="110" t="str">
        <f>IF(D268&lt;&gt;"",CONCATENATE("Incident ",B264,": ",F268,I264),MsgNotUsed)</f>
        <v>** NOT USED **</v>
      </c>
      <c r="D264" s="188"/>
      <c r="E264" s="188"/>
      <c r="F264" s="188"/>
      <c r="G264" s="188"/>
      <c r="H264" s="191"/>
      <c r="I264" s="455" t="str">
        <f>IF(R268&lt;&gt;"",CONCATENATE(" (",R268,")"),"")</f>
        <v/>
      </c>
      <c r="J264" s="187"/>
      <c r="K264" s="187"/>
      <c r="L264" s="187"/>
      <c r="M264" s="187"/>
      <c r="N264" s="187"/>
      <c r="O264" s="187"/>
      <c r="P264" s="187"/>
      <c r="Q264" s="189"/>
      <c r="R264" s="189"/>
    </row>
    <row r="265" spans="1:18" outlineLevel="1" x14ac:dyDescent="0.2">
      <c r="A265" s="599"/>
      <c r="B265" s="599"/>
      <c r="C265" s="595"/>
      <c r="D265" s="599"/>
      <c r="E265" s="599"/>
      <c r="F265" s="599"/>
      <c r="G265" s="599"/>
      <c r="H265" s="599"/>
      <c r="I265" s="599"/>
      <c r="J265" s="593"/>
      <c r="K265" s="599"/>
      <c r="L265" s="599"/>
      <c r="M265" s="599"/>
      <c r="N265" s="599"/>
      <c r="O265" s="599"/>
      <c r="P265" s="599"/>
      <c r="Q265" s="599"/>
      <c r="R265" s="599"/>
    </row>
    <row r="266" spans="1:18" outlineLevel="1" x14ac:dyDescent="0.2">
      <c r="A266" s="599"/>
      <c r="B266" s="599"/>
      <c r="C266" s="572" t="s">
        <v>913</v>
      </c>
      <c r="D266" s="599"/>
      <c r="E266" s="599"/>
      <c r="F266" s="599"/>
      <c r="G266" s="770" t="str">
        <f>IF(D268=INDEX(EPISource,4),MsgNote &amp; VLOOKUP("PrevInc",WarningMessages,2,FALSE),"")</f>
        <v/>
      </c>
      <c r="H266" s="770"/>
      <c r="I266" s="770"/>
      <c r="J266" s="593"/>
      <c r="K266" s="599"/>
      <c r="L266" s="599"/>
      <c r="M266" s="599"/>
      <c r="N266" s="599"/>
      <c r="O266" s="599"/>
      <c r="P266" s="599"/>
      <c r="Q266" s="599"/>
      <c r="R266" s="670" t="str">
        <f ca="1">IF(ISERROR($M289)=TRUE,MsgError &amp; VLOOKUP("BadPop",ErrorMessages,2,FALSE),"")</f>
        <v/>
      </c>
    </row>
    <row r="267" spans="1:18" outlineLevel="1" x14ac:dyDescent="0.2">
      <c r="A267" s="599"/>
      <c r="B267" s="599"/>
      <c r="C267" s="595"/>
      <c r="D267" s="599"/>
      <c r="E267" s="599"/>
      <c r="F267" s="599"/>
      <c r="G267" s="599"/>
      <c r="H267" s="599"/>
      <c r="I267" s="599"/>
      <c r="J267" s="593"/>
      <c r="K267" s="599"/>
      <c r="L267" s="599"/>
      <c r="M267" s="599"/>
      <c r="N267" s="599"/>
      <c r="O267" s="599"/>
      <c r="P267" s="599"/>
      <c r="Q267" s="599"/>
      <c r="R267" s="577" t="s">
        <v>470</v>
      </c>
    </row>
    <row r="268" spans="1:18" outlineLevel="1" x14ac:dyDescent="0.2">
      <c r="A268" s="599"/>
      <c r="B268" s="599"/>
      <c r="C268" s="578" t="s">
        <v>131</v>
      </c>
      <c r="D268" s="605"/>
      <c r="E268" s="594"/>
      <c r="F268" s="774"/>
      <c r="G268" s="775"/>
      <c r="H268" s="775"/>
      <c r="I268" s="775"/>
      <c r="J268" s="593"/>
      <c r="K268" s="599"/>
      <c r="L268" s="599"/>
      <c r="M268" s="599"/>
      <c r="N268" s="599"/>
      <c r="O268" s="599"/>
      <c r="P268" s="599"/>
      <c r="Q268" s="599"/>
      <c r="R268" s="606"/>
    </row>
    <row r="269" spans="1:18" outlineLevel="1" x14ac:dyDescent="0.2">
      <c r="A269" s="599"/>
      <c r="B269" s="599"/>
      <c r="C269" s="595"/>
      <c r="D269" s="600">
        <v>1</v>
      </c>
      <c r="E269" s="600">
        <v>2</v>
      </c>
      <c r="F269" s="600">
        <v>3</v>
      </c>
      <c r="G269" s="600">
        <v>4</v>
      </c>
      <c r="H269" s="600">
        <v>5</v>
      </c>
      <c r="I269" s="600">
        <v>6</v>
      </c>
      <c r="J269" s="593"/>
      <c r="K269" s="599"/>
      <c r="L269" s="599"/>
      <c r="M269" s="599"/>
      <c r="N269" s="599"/>
      <c r="O269" s="599"/>
      <c r="P269" s="599"/>
      <c r="Q269" s="599"/>
      <c r="R269" s="599"/>
    </row>
    <row r="270" spans="1:18" ht="15" customHeight="1" outlineLevel="1" x14ac:dyDescent="0.2">
      <c r="A270" s="599"/>
      <c r="B270" s="599"/>
      <c r="C270" s="595"/>
      <c r="D270" s="776" t="s">
        <v>11</v>
      </c>
      <c r="E270" s="776"/>
      <c r="F270" s="776"/>
      <c r="G270" s="776"/>
      <c r="H270" s="776"/>
      <c r="I270" s="776"/>
      <c r="J270" s="593"/>
      <c r="K270" s="599"/>
      <c r="L270" s="599"/>
      <c r="M270" s="599"/>
      <c r="N270" s="599"/>
      <c r="O270" s="599"/>
      <c r="P270" s="599"/>
      <c r="Q270" s="599"/>
      <c r="R270" s="599"/>
    </row>
    <row r="271" spans="1:18" outlineLevel="1" x14ac:dyDescent="0.2">
      <c r="A271" s="599"/>
      <c r="B271" s="599"/>
      <c r="C271" s="573"/>
      <c r="D271" s="588">
        <f>FirstYear</f>
        <v>0</v>
      </c>
      <c r="E271" s="588">
        <f>D271+1</f>
        <v>1</v>
      </c>
      <c r="F271" s="588">
        <f>E271+1</f>
        <v>2</v>
      </c>
      <c r="G271" s="588">
        <f>F271+1</f>
        <v>3</v>
      </c>
      <c r="H271" s="588">
        <f>G271+1</f>
        <v>4</v>
      </c>
      <c r="I271" s="588">
        <f>H271+1</f>
        <v>5</v>
      </c>
      <c r="J271" s="593"/>
      <c r="K271" s="599"/>
      <c r="L271" s="599"/>
      <c r="M271" s="599"/>
      <c r="N271" s="599"/>
      <c r="O271" s="599"/>
      <c r="P271" s="599"/>
      <c r="Q271" s="599"/>
      <c r="R271" s="599"/>
    </row>
    <row r="272" spans="1:18" ht="12.75" customHeight="1" outlineLevel="1" x14ac:dyDescent="0.2">
      <c r="A272" s="572"/>
      <c r="B272" s="572"/>
      <c r="C272" s="576" t="s">
        <v>382</v>
      </c>
      <c r="D272" s="596">
        <f t="shared" ref="D272:I272" ca="1" si="51">IF(AND(ISERROR($M289)&lt;&gt;TRUE,$F268&lt;&gt;""),INDEX(PxPopNumbers,$M289,D269),0)</f>
        <v>0</v>
      </c>
      <c r="E272" s="596">
        <f t="shared" ca="1" si="51"/>
        <v>0</v>
      </c>
      <c r="F272" s="596">
        <f t="shared" ca="1" si="51"/>
        <v>0</v>
      </c>
      <c r="G272" s="596">
        <f t="shared" ca="1" si="51"/>
        <v>0</v>
      </c>
      <c r="H272" s="596">
        <f t="shared" ca="1" si="51"/>
        <v>0</v>
      </c>
      <c r="I272" s="596">
        <f t="shared" ca="1" si="51"/>
        <v>0</v>
      </c>
      <c r="J272" s="593"/>
      <c r="K272" s="572"/>
      <c r="L272" s="572"/>
      <c r="M272" s="572"/>
      <c r="N272" s="572"/>
      <c r="O272" s="572"/>
      <c r="P272" s="572"/>
      <c r="Q272" s="595"/>
      <c r="R272" s="572"/>
    </row>
    <row r="273" spans="1:18" ht="12.75" customHeight="1" outlineLevel="1" x14ac:dyDescent="0.2">
      <c r="A273" s="593"/>
      <c r="B273" s="593"/>
      <c r="C273" s="593"/>
      <c r="D273" s="593"/>
      <c r="E273" s="593"/>
      <c r="F273" s="593"/>
      <c r="G273" s="593"/>
      <c r="H273" s="593"/>
      <c r="I273" s="593"/>
      <c r="J273" s="593"/>
      <c r="K273" s="572"/>
      <c r="L273" s="572"/>
      <c r="M273" s="572"/>
      <c r="N273" s="572"/>
      <c r="O273" s="572"/>
      <c r="P273" s="572"/>
      <c r="Q273" s="593"/>
      <c r="R273" s="593"/>
    </row>
    <row r="274" spans="1:18" ht="12.75" customHeight="1" outlineLevel="1" x14ac:dyDescent="0.2">
      <c r="A274" s="593"/>
      <c r="B274" s="593"/>
      <c r="C274" s="579" t="s">
        <v>238</v>
      </c>
      <c r="D274" s="593"/>
      <c r="E274" s="593"/>
      <c r="F274" s="593"/>
      <c r="G274" s="593"/>
      <c r="H274" s="593"/>
      <c r="I274" s="593"/>
      <c r="J274" s="593"/>
      <c r="K274" s="572"/>
      <c r="L274" s="572"/>
      <c r="M274" s="593"/>
      <c r="N274" s="593"/>
      <c r="O274" s="593"/>
      <c r="P274" s="593"/>
      <c r="Q274" s="593"/>
      <c r="R274" s="577" t="s">
        <v>292</v>
      </c>
    </row>
    <row r="275" spans="1:18" outlineLevel="1" x14ac:dyDescent="0.2">
      <c r="A275" s="572"/>
      <c r="B275" s="572"/>
      <c r="C275" s="589"/>
      <c r="D275" s="610"/>
      <c r="E275" s="610"/>
      <c r="F275" s="610"/>
      <c r="G275" s="610"/>
      <c r="H275" s="610"/>
      <c r="I275" s="610"/>
      <c r="J275" s="593"/>
      <c r="K275" s="581">
        <f t="shared" ref="K275:K283" si="52">IF(D275="",1,D275)</f>
        <v>1</v>
      </c>
      <c r="L275" s="581">
        <f t="shared" ref="L275:L284" si="53">IF(E275="",1,E275)</f>
        <v>1</v>
      </c>
      <c r="M275" s="581">
        <f t="shared" ref="M275:M284" si="54">IF(F275="",1,F275)</f>
        <v>1</v>
      </c>
      <c r="N275" s="581">
        <f t="shared" ref="N275:N284" si="55">IF(G275="",1,G275)</f>
        <v>1</v>
      </c>
      <c r="O275" s="581">
        <f t="shared" ref="O275:O284" si="56">IF(H275="",1,H275)</f>
        <v>1</v>
      </c>
      <c r="P275" s="581">
        <f t="shared" ref="P275:P284" si="57">IF(I275="",1,I275)</f>
        <v>1</v>
      </c>
      <c r="Q275" s="572"/>
      <c r="R275" s="589"/>
    </row>
    <row r="276" spans="1:18" outlineLevel="1" x14ac:dyDescent="0.2">
      <c r="A276" s="572"/>
      <c r="B276" s="572"/>
      <c r="C276" s="589"/>
      <c r="D276" s="610"/>
      <c r="E276" s="610"/>
      <c r="F276" s="610"/>
      <c r="G276" s="610"/>
      <c r="H276" s="610"/>
      <c r="I276" s="610"/>
      <c r="J276" s="593"/>
      <c r="K276" s="581">
        <f t="shared" si="52"/>
        <v>1</v>
      </c>
      <c r="L276" s="581">
        <f t="shared" si="53"/>
        <v>1</v>
      </c>
      <c r="M276" s="581">
        <f t="shared" si="54"/>
        <v>1</v>
      </c>
      <c r="N276" s="581">
        <f t="shared" si="55"/>
        <v>1</v>
      </c>
      <c r="O276" s="581">
        <f t="shared" si="56"/>
        <v>1</v>
      </c>
      <c r="P276" s="581">
        <f t="shared" si="57"/>
        <v>1</v>
      </c>
      <c r="Q276" s="572"/>
      <c r="R276" s="589"/>
    </row>
    <row r="277" spans="1:18" outlineLevel="1" x14ac:dyDescent="0.2">
      <c r="A277" s="572"/>
      <c r="B277" s="572"/>
      <c r="C277" s="589"/>
      <c r="D277" s="610"/>
      <c r="E277" s="610"/>
      <c r="F277" s="610"/>
      <c r="G277" s="610"/>
      <c r="H277" s="610"/>
      <c r="I277" s="610"/>
      <c r="J277" s="593"/>
      <c r="K277" s="581">
        <f t="shared" si="52"/>
        <v>1</v>
      </c>
      <c r="L277" s="581">
        <f t="shared" si="53"/>
        <v>1</v>
      </c>
      <c r="M277" s="581">
        <f t="shared" si="54"/>
        <v>1</v>
      </c>
      <c r="N277" s="581">
        <f t="shared" si="55"/>
        <v>1</v>
      </c>
      <c r="O277" s="581">
        <f t="shared" si="56"/>
        <v>1</v>
      </c>
      <c r="P277" s="581">
        <f t="shared" si="57"/>
        <v>1</v>
      </c>
      <c r="Q277" s="572"/>
      <c r="R277" s="589"/>
    </row>
    <row r="278" spans="1:18" outlineLevel="1" x14ac:dyDescent="0.2">
      <c r="A278" s="572"/>
      <c r="B278" s="572"/>
      <c r="C278" s="589"/>
      <c r="D278" s="610"/>
      <c r="E278" s="610"/>
      <c r="F278" s="610"/>
      <c r="G278" s="610"/>
      <c r="H278" s="610"/>
      <c r="I278" s="610"/>
      <c r="J278" s="593"/>
      <c r="K278" s="581">
        <f t="shared" si="52"/>
        <v>1</v>
      </c>
      <c r="L278" s="581">
        <f t="shared" si="53"/>
        <v>1</v>
      </c>
      <c r="M278" s="581">
        <f t="shared" si="54"/>
        <v>1</v>
      </c>
      <c r="N278" s="581">
        <f t="shared" si="55"/>
        <v>1</v>
      </c>
      <c r="O278" s="581">
        <f t="shared" si="56"/>
        <v>1</v>
      </c>
      <c r="P278" s="581">
        <f t="shared" si="57"/>
        <v>1</v>
      </c>
      <c r="Q278" s="572"/>
      <c r="R278" s="589"/>
    </row>
    <row r="279" spans="1:18" outlineLevel="1" x14ac:dyDescent="0.2">
      <c r="A279" s="572"/>
      <c r="B279" s="572"/>
      <c r="C279" s="589"/>
      <c r="D279" s="610"/>
      <c r="E279" s="610"/>
      <c r="F279" s="610"/>
      <c r="G279" s="610"/>
      <c r="H279" s="610"/>
      <c r="I279" s="610"/>
      <c r="J279" s="593"/>
      <c r="K279" s="581">
        <f t="shared" si="52"/>
        <v>1</v>
      </c>
      <c r="L279" s="581">
        <f t="shared" si="53"/>
        <v>1</v>
      </c>
      <c r="M279" s="581">
        <f t="shared" si="54"/>
        <v>1</v>
      </c>
      <c r="N279" s="581">
        <f t="shared" si="55"/>
        <v>1</v>
      </c>
      <c r="O279" s="581">
        <f t="shared" si="56"/>
        <v>1</v>
      </c>
      <c r="P279" s="581">
        <f t="shared" si="57"/>
        <v>1</v>
      </c>
      <c r="Q279" s="572"/>
      <c r="R279" s="589"/>
    </row>
    <row r="280" spans="1:18" outlineLevel="1" x14ac:dyDescent="0.2">
      <c r="A280" s="572"/>
      <c r="B280" s="572"/>
      <c r="C280" s="589"/>
      <c r="D280" s="610"/>
      <c r="E280" s="610"/>
      <c r="F280" s="610"/>
      <c r="G280" s="610"/>
      <c r="H280" s="610"/>
      <c r="I280" s="610"/>
      <c r="J280" s="593"/>
      <c r="K280" s="581">
        <f t="shared" si="52"/>
        <v>1</v>
      </c>
      <c r="L280" s="581">
        <f t="shared" si="53"/>
        <v>1</v>
      </c>
      <c r="M280" s="581">
        <f t="shared" si="54"/>
        <v>1</v>
      </c>
      <c r="N280" s="581">
        <f t="shared" si="55"/>
        <v>1</v>
      </c>
      <c r="O280" s="581">
        <f t="shared" si="56"/>
        <v>1</v>
      </c>
      <c r="P280" s="581">
        <f t="shared" si="57"/>
        <v>1</v>
      </c>
      <c r="Q280" s="572"/>
      <c r="R280" s="589"/>
    </row>
    <row r="281" spans="1:18" outlineLevel="1" x14ac:dyDescent="0.2">
      <c r="A281" s="572"/>
      <c r="B281" s="572"/>
      <c r="C281" s="589"/>
      <c r="D281" s="610"/>
      <c r="E281" s="610"/>
      <c r="F281" s="610"/>
      <c r="G281" s="610"/>
      <c r="H281" s="610"/>
      <c r="I281" s="610"/>
      <c r="J281" s="593"/>
      <c r="K281" s="581">
        <f t="shared" si="52"/>
        <v>1</v>
      </c>
      <c r="L281" s="581">
        <f t="shared" si="53"/>
        <v>1</v>
      </c>
      <c r="M281" s="581">
        <f t="shared" si="54"/>
        <v>1</v>
      </c>
      <c r="N281" s="581">
        <f t="shared" si="55"/>
        <v>1</v>
      </c>
      <c r="O281" s="581">
        <f t="shared" si="56"/>
        <v>1</v>
      </c>
      <c r="P281" s="581">
        <f t="shared" si="57"/>
        <v>1</v>
      </c>
      <c r="Q281" s="572"/>
      <c r="R281" s="589"/>
    </row>
    <row r="282" spans="1:18" outlineLevel="1" x14ac:dyDescent="0.2">
      <c r="A282" s="572"/>
      <c r="B282" s="572"/>
      <c r="C282" s="589"/>
      <c r="D282" s="610"/>
      <c r="E282" s="610"/>
      <c r="F282" s="610"/>
      <c r="G282" s="610"/>
      <c r="H282" s="610"/>
      <c r="I282" s="610"/>
      <c r="J282" s="593"/>
      <c r="K282" s="581">
        <f t="shared" si="52"/>
        <v>1</v>
      </c>
      <c r="L282" s="581">
        <f t="shared" si="53"/>
        <v>1</v>
      </c>
      <c r="M282" s="581">
        <f t="shared" si="54"/>
        <v>1</v>
      </c>
      <c r="N282" s="581">
        <f t="shared" si="55"/>
        <v>1</v>
      </c>
      <c r="O282" s="581">
        <f t="shared" si="56"/>
        <v>1</v>
      </c>
      <c r="P282" s="581">
        <f t="shared" si="57"/>
        <v>1</v>
      </c>
      <c r="Q282" s="572"/>
      <c r="R282" s="589"/>
    </row>
    <row r="283" spans="1:18" outlineLevel="1" x14ac:dyDescent="0.2">
      <c r="A283" s="572"/>
      <c r="B283" s="572"/>
      <c r="C283" s="589"/>
      <c r="D283" s="610"/>
      <c r="E283" s="610"/>
      <c r="F283" s="610"/>
      <c r="G283" s="610"/>
      <c r="H283" s="610"/>
      <c r="I283" s="610"/>
      <c r="J283" s="593"/>
      <c r="K283" s="581">
        <f t="shared" si="52"/>
        <v>1</v>
      </c>
      <c r="L283" s="581">
        <f t="shared" si="53"/>
        <v>1</v>
      </c>
      <c r="M283" s="581">
        <f t="shared" si="54"/>
        <v>1</v>
      </c>
      <c r="N283" s="581">
        <f t="shared" si="55"/>
        <v>1</v>
      </c>
      <c r="O283" s="581">
        <f t="shared" si="56"/>
        <v>1</v>
      </c>
      <c r="P283" s="581">
        <f t="shared" si="57"/>
        <v>1</v>
      </c>
      <c r="Q283" s="572"/>
      <c r="R283" s="589"/>
    </row>
    <row r="284" spans="1:18" outlineLevel="1" x14ac:dyDescent="0.2">
      <c r="A284" s="572"/>
      <c r="B284" s="572"/>
      <c r="C284" s="589"/>
      <c r="D284" s="610"/>
      <c r="E284" s="610"/>
      <c r="F284" s="610"/>
      <c r="G284" s="610"/>
      <c r="H284" s="610"/>
      <c r="I284" s="610"/>
      <c r="J284" s="593"/>
      <c r="K284" s="581">
        <f>IF(D284="",1,D284)</f>
        <v>1</v>
      </c>
      <c r="L284" s="581">
        <f t="shared" si="53"/>
        <v>1</v>
      </c>
      <c r="M284" s="581">
        <f t="shared" si="54"/>
        <v>1</v>
      </c>
      <c r="N284" s="581">
        <f t="shared" si="55"/>
        <v>1</v>
      </c>
      <c r="O284" s="581">
        <f t="shared" si="56"/>
        <v>1</v>
      </c>
      <c r="P284" s="581">
        <f t="shared" si="57"/>
        <v>1</v>
      </c>
      <c r="Q284" s="572"/>
      <c r="R284" s="589"/>
    </row>
    <row r="285" spans="1:18" outlineLevel="1" x14ac:dyDescent="0.2">
      <c r="A285" s="572"/>
      <c r="B285" s="572"/>
      <c r="C285" s="580" t="s">
        <v>246</v>
      </c>
      <c r="D285" s="611">
        <f t="shared" ref="D285:I285" si="58">K275*K276*K277*K278*K284*K279*K280*K281*K282*K283</f>
        <v>1</v>
      </c>
      <c r="E285" s="611">
        <f t="shared" si="58"/>
        <v>1</v>
      </c>
      <c r="F285" s="611">
        <f t="shared" si="58"/>
        <v>1</v>
      </c>
      <c r="G285" s="611">
        <f t="shared" si="58"/>
        <v>1</v>
      </c>
      <c r="H285" s="611">
        <f t="shared" si="58"/>
        <v>1</v>
      </c>
      <c r="I285" s="611">
        <f t="shared" si="58"/>
        <v>1</v>
      </c>
      <c r="J285" s="593"/>
      <c r="K285" s="572"/>
      <c r="L285" s="572"/>
      <c r="M285" s="597"/>
      <c r="N285" s="572"/>
      <c r="O285" s="572"/>
      <c r="P285" s="572"/>
      <c r="Q285" s="572"/>
      <c r="R285" s="572"/>
    </row>
    <row r="286" spans="1:18" outlineLevel="1" x14ac:dyDescent="0.2">
      <c r="A286" s="597"/>
      <c r="B286" s="597"/>
      <c r="C286" s="574" t="s">
        <v>108</v>
      </c>
      <c r="D286" s="607">
        <f t="shared" ref="D286:I286" ca="1" si="59">IF(ISNUMBER(D272),D272*D285,"")</f>
        <v>0</v>
      </c>
      <c r="E286" s="607">
        <f t="shared" ca="1" si="59"/>
        <v>0</v>
      </c>
      <c r="F286" s="607">
        <f t="shared" ca="1" si="59"/>
        <v>0</v>
      </c>
      <c r="G286" s="607">
        <f t="shared" ca="1" si="59"/>
        <v>0</v>
      </c>
      <c r="H286" s="607">
        <f t="shared" ca="1" si="59"/>
        <v>0</v>
      </c>
      <c r="I286" s="607">
        <f t="shared" ca="1" si="59"/>
        <v>0</v>
      </c>
      <c r="J286" s="593"/>
      <c r="K286" s="597"/>
      <c r="L286" s="572"/>
      <c r="M286" s="572"/>
      <c r="N286" s="572"/>
      <c r="O286" s="572"/>
      <c r="P286" s="572"/>
      <c r="Q286" s="572"/>
      <c r="R286" s="572"/>
    </row>
    <row r="287" spans="1:18" outlineLevel="1" x14ac:dyDescent="0.2">
      <c r="A287" s="593"/>
      <c r="B287" s="593"/>
      <c r="C287" s="593"/>
      <c r="D287" s="593"/>
      <c r="E287" s="593"/>
      <c r="F287" s="593"/>
      <c r="G287" s="593"/>
      <c r="H287" s="593"/>
      <c r="I287" s="593"/>
      <c r="J287" s="593"/>
      <c r="K287" s="593"/>
      <c r="L287" s="593"/>
      <c r="M287" s="593"/>
      <c r="N287" s="593"/>
      <c r="O287" s="575"/>
      <c r="P287" s="575"/>
      <c r="Q287" s="593"/>
      <c r="R287" s="593"/>
    </row>
    <row r="288" spans="1:18" outlineLevel="1" x14ac:dyDescent="0.2">
      <c r="A288" s="593"/>
      <c r="B288" s="593"/>
      <c r="C288" s="585" t="str">
        <f>TxPhase1Tx</f>
        <v/>
      </c>
      <c r="D288" s="591"/>
      <c r="E288" s="572"/>
      <c r="F288" s="572"/>
      <c r="G288" s="593"/>
      <c r="H288" s="593"/>
      <c r="I288" s="593"/>
      <c r="J288" s="593"/>
      <c r="K288" s="604" t="s">
        <v>292</v>
      </c>
      <c r="L288" s="604" t="s">
        <v>52</v>
      </c>
      <c r="M288" s="604" t="s">
        <v>381</v>
      </c>
      <c r="N288" s="593"/>
      <c r="O288" s="575"/>
      <c r="P288" s="575"/>
      <c r="Q288" s="593"/>
      <c r="R288" s="577" t="s">
        <v>292</v>
      </c>
    </row>
    <row r="289" spans="1:18" outlineLevel="1" x14ac:dyDescent="0.2">
      <c r="A289" s="593"/>
      <c r="B289" s="593"/>
      <c r="C289" s="585" t="s">
        <v>109</v>
      </c>
      <c r="D289" s="584"/>
      <c r="E289" s="584"/>
      <c r="F289" s="584"/>
      <c r="G289" s="584"/>
      <c r="H289" s="584"/>
      <c r="I289" s="584"/>
      <c r="J289" s="593"/>
      <c r="K289" s="598">
        <f>IF(D268&lt;&gt;"",MATCH(D268,EPISource,0)-1,0)</f>
        <v>0</v>
      </c>
      <c r="L289" s="598">
        <f ca="1">IF(F268&lt;&gt;"",MATCH(F268,OFFSET(References!$AB$7,0,K289,PxPopCount),0),0)</f>
        <v>0</v>
      </c>
      <c r="M289" s="598">
        <f ca="1">(K289*PxPopCount)+L289</f>
        <v>0</v>
      </c>
      <c r="N289" s="593"/>
      <c r="O289" s="575"/>
      <c r="P289" s="575"/>
      <c r="Q289" s="593"/>
      <c r="R289" s="582"/>
    </row>
    <row r="290" spans="1:18" outlineLevel="1" x14ac:dyDescent="0.2">
      <c r="A290" s="593"/>
      <c r="B290" s="593"/>
      <c r="C290" s="593"/>
      <c r="D290" s="593"/>
      <c r="E290" s="612"/>
      <c r="F290" s="593"/>
      <c r="G290" s="593"/>
      <c r="H290" s="593"/>
      <c r="I290" s="593"/>
      <c r="J290" s="593"/>
      <c r="K290" s="571"/>
      <c r="L290" s="593"/>
      <c r="M290" s="593"/>
      <c r="N290" s="593"/>
      <c r="O290" s="575"/>
      <c r="P290" s="575"/>
      <c r="Q290" s="593"/>
      <c r="R290" s="593"/>
    </row>
    <row r="291" spans="1:18" outlineLevel="1" x14ac:dyDescent="0.2">
      <c r="A291" s="593"/>
      <c r="B291" s="593"/>
      <c r="C291" s="590" t="str">
        <f>TXPhase2Tx</f>
        <v/>
      </c>
      <c r="D291" s="600"/>
      <c r="E291" s="600"/>
      <c r="F291" s="593"/>
      <c r="G291" s="593"/>
      <c r="H291" s="593"/>
      <c r="I291" s="593"/>
      <c r="J291" s="593"/>
      <c r="K291" s="571"/>
      <c r="L291" s="571"/>
      <c r="M291" s="593"/>
      <c r="N291" s="593"/>
      <c r="O291" s="575"/>
      <c r="P291" s="575"/>
      <c r="Q291" s="593"/>
      <c r="R291" s="577" t="s">
        <v>292</v>
      </c>
    </row>
    <row r="292" spans="1:18" outlineLevel="1" x14ac:dyDescent="0.2">
      <c r="A292" s="593"/>
      <c r="B292" s="593"/>
      <c r="C292" s="590" t="str">
        <f>IF(C291&lt;&gt;"","Patients electing treatment (%)","")</f>
        <v/>
      </c>
      <c r="D292" s="584"/>
      <c r="E292" s="584"/>
      <c r="F292" s="584"/>
      <c r="G292" s="584"/>
      <c r="H292" s="584"/>
      <c r="I292" s="584"/>
      <c r="J292" s="593"/>
      <c r="K292" s="572"/>
      <c r="L292" s="575"/>
      <c r="M292" s="593"/>
      <c r="N292" s="593"/>
      <c r="O292" s="575"/>
      <c r="P292" s="575"/>
      <c r="Q292" s="593"/>
      <c r="R292" s="582"/>
    </row>
    <row r="293" spans="1:18" outlineLevel="1" x14ac:dyDescent="0.2">
      <c r="A293" s="593"/>
      <c r="B293" s="593"/>
      <c r="C293" s="593"/>
      <c r="D293" s="593"/>
      <c r="E293" s="593"/>
      <c r="F293" s="593"/>
      <c r="G293" s="593"/>
      <c r="H293" s="593"/>
      <c r="I293" s="593"/>
      <c r="J293" s="593"/>
      <c r="K293" s="593"/>
      <c r="L293" s="593"/>
      <c r="M293" s="593"/>
      <c r="N293" s="593"/>
      <c r="O293" s="575"/>
      <c r="P293" s="575"/>
      <c r="Q293" s="593"/>
      <c r="R293" s="593"/>
    </row>
    <row r="294" spans="1:18" outlineLevel="1" x14ac:dyDescent="0.2">
      <c r="A294" s="572"/>
      <c r="B294" s="572"/>
      <c r="C294" s="585" t="str">
        <f>IF(TxPhase1&lt;&gt;"",TxPhase1 &amp; " patients (#)","")</f>
        <v/>
      </c>
      <c r="D294" s="607">
        <f t="shared" ref="D294:I294" si="60">IF(TxPhase1&lt;&gt;"",D286*D289,0)</f>
        <v>0</v>
      </c>
      <c r="E294" s="607">
        <f t="shared" si="60"/>
        <v>0</v>
      </c>
      <c r="F294" s="607">
        <f t="shared" si="60"/>
        <v>0</v>
      </c>
      <c r="G294" s="607">
        <f t="shared" si="60"/>
        <v>0</v>
      </c>
      <c r="H294" s="607">
        <f t="shared" si="60"/>
        <v>0</v>
      </c>
      <c r="I294" s="607">
        <f t="shared" si="60"/>
        <v>0</v>
      </c>
      <c r="J294" s="598" t="str">
        <f>IF(D297&lt;&gt;"",D297,"")</f>
        <v/>
      </c>
      <c r="K294" s="599"/>
      <c r="L294" s="599"/>
      <c r="M294" s="599"/>
      <c r="N294" s="599"/>
      <c r="O294" s="575"/>
      <c r="P294" s="575"/>
      <c r="Q294" s="572"/>
      <c r="R294" s="572"/>
    </row>
    <row r="295" spans="1:18" outlineLevel="1" x14ac:dyDescent="0.2">
      <c r="A295" s="572"/>
      <c r="B295" s="572"/>
      <c r="C295" s="585" t="str">
        <f>IF(TxPhase2&lt;&gt;"",TxPhase2 &amp; " patients (#)","")</f>
        <v/>
      </c>
      <c r="D295" s="607">
        <f t="shared" ref="D295:I295" si="61">IF(TxPhase2&lt;&gt;"",D286*D292,0)</f>
        <v>0</v>
      </c>
      <c r="E295" s="607">
        <f t="shared" si="61"/>
        <v>0</v>
      </c>
      <c r="F295" s="607">
        <f t="shared" si="61"/>
        <v>0</v>
      </c>
      <c r="G295" s="607">
        <f t="shared" si="61"/>
        <v>0</v>
      </c>
      <c r="H295" s="607">
        <f t="shared" si="61"/>
        <v>0</v>
      </c>
      <c r="I295" s="607">
        <f t="shared" si="61"/>
        <v>0</v>
      </c>
      <c r="J295" s="598" t="str">
        <f>IF(D297&lt;&gt;"",D297,"")</f>
        <v/>
      </c>
      <c r="K295" s="572"/>
      <c r="L295" s="572"/>
      <c r="M295" s="597"/>
      <c r="N295" s="572"/>
      <c r="O295" s="575"/>
      <c r="P295" s="575"/>
      <c r="Q295" s="572"/>
      <c r="R295" s="572"/>
    </row>
    <row r="296" spans="1:18" s="570" customFormat="1" outlineLevel="1" x14ac:dyDescent="0.2">
      <c r="A296" s="572"/>
      <c r="B296" s="572"/>
      <c r="C296" s="572"/>
      <c r="D296" s="572"/>
      <c r="E296" s="572"/>
      <c r="F296" s="572"/>
      <c r="G296" s="572"/>
      <c r="H296" s="572"/>
      <c r="I296" s="572"/>
      <c r="J296" s="593"/>
      <c r="K296" s="572"/>
      <c r="L296" s="572"/>
      <c r="M296" s="597"/>
      <c r="N296" s="572"/>
      <c r="O296" s="575"/>
      <c r="P296" s="575"/>
      <c r="Q296" s="572"/>
      <c r="R296" s="572"/>
    </row>
    <row r="297" spans="1:18" s="570" customFormat="1" outlineLevel="1" x14ac:dyDescent="0.2">
      <c r="A297" s="572"/>
      <c r="B297" s="572"/>
      <c r="C297" s="122" t="s">
        <v>817</v>
      </c>
      <c r="D297" s="375"/>
      <c r="E297" s="572"/>
      <c r="F297" s="572"/>
      <c r="G297" s="572"/>
      <c r="H297" s="572"/>
      <c r="I297" s="572"/>
      <c r="J297" s="593"/>
      <c r="K297" s="572"/>
      <c r="L297" s="572"/>
      <c r="M297" s="597"/>
      <c r="N297" s="572"/>
      <c r="O297" s="575"/>
      <c r="P297" s="575"/>
      <c r="Q297" s="572"/>
      <c r="R297" s="572"/>
    </row>
    <row r="298" spans="1:18" outlineLevel="1" x14ac:dyDescent="0.2">
      <c r="A298" s="572"/>
      <c r="B298" s="572"/>
      <c r="C298" s="572"/>
      <c r="D298" s="572"/>
      <c r="E298" s="572"/>
      <c r="F298" s="572"/>
      <c r="G298" s="572"/>
      <c r="H298" s="572"/>
      <c r="I298" s="572"/>
      <c r="J298" s="593"/>
      <c r="K298" s="572"/>
      <c r="L298" s="572"/>
      <c r="M298" s="597"/>
      <c r="N298" s="572"/>
      <c r="O298" s="575"/>
      <c r="P298" s="575"/>
      <c r="Q298" s="572"/>
      <c r="R298" s="572"/>
    </row>
    <row r="299" spans="1:18" x14ac:dyDescent="0.2">
      <c r="A299" s="572"/>
      <c r="B299" s="572"/>
      <c r="C299" s="572"/>
      <c r="D299" s="572"/>
      <c r="E299" s="572"/>
      <c r="F299" s="572"/>
      <c r="G299" s="572"/>
      <c r="H299" s="572"/>
      <c r="I299" s="572"/>
      <c r="J299" s="593"/>
      <c r="K299" s="572"/>
      <c r="L299" s="572"/>
      <c r="M299" s="572"/>
      <c r="N299" s="572"/>
      <c r="O299" s="575"/>
      <c r="P299" s="575"/>
      <c r="Q299" s="572"/>
      <c r="R299" s="572"/>
    </row>
    <row r="300" spans="1:18" ht="15.75" x14ac:dyDescent="0.2">
      <c r="A300" s="104"/>
      <c r="B300" s="190">
        <v>8</v>
      </c>
      <c r="C300" s="110" t="str">
        <f>IF(D304&lt;&gt;"",CONCATENATE("Incident ",B300,": ",F304,I300),MsgNotUsed)</f>
        <v>** NOT USED **</v>
      </c>
      <c r="D300" s="188"/>
      <c r="E300" s="188"/>
      <c r="F300" s="188"/>
      <c r="G300" s="188"/>
      <c r="H300" s="191"/>
      <c r="I300" s="455" t="str">
        <f>IF(R304&lt;&gt;"",CONCATENATE(" (",R304,")"),"")</f>
        <v/>
      </c>
      <c r="J300" s="187"/>
      <c r="K300" s="187"/>
      <c r="L300" s="187"/>
      <c r="M300" s="187"/>
      <c r="N300" s="187"/>
      <c r="O300" s="187"/>
      <c r="P300" s="187"/>
      <c r="Q300" s="189"/>
      <c r="R300" s="189"/>
    </row>
    <row r="301" spans="1:18" outlineLevel="1" x14ac:dyDescent="0.2">
      <c r="A301" s="599"/>
      <c r="B301" s="599"/>
      <c r="C301" s="595"/>
      <c r="D301" s="599"/>
      <c r="E301" s="599"/>
      <c r="F301" s="599"/>
      <c r="G301" s="599"/>
      <c r="H301" s="599"/>
      <c r="I301" s="599"/>
      <c r="J301" s="593"/>
      <c r="K301" s="599"/>
      <c r="L301" s="599"/>
      <c r="M301" s="599"/>
      <c r="N301" s="599"/>
      <c r="O301" s="599"/>
      <c r="P301" s="599"/>
      <c r="Q301" s="599"/>
      <c r="R301" s="599"/>
    </row>
    <row r="302" spans="1:18" outlineLevel="1" x14ac:dyDescent="0.2">
      <c r="A302" s="599"/>
      <c r="B302" s="599"/>
      <c r="C302" s="572" t="s">
        <v>913</v>
      </c>
      <c r="D302" s="599"/>
      <c r="E302" s="599"/>
      <c r="F302" s="599"/>
      <c r="G302" s="770" t="str">
        <f>IF(D304=INDEX(EPISource,4),MsgNote &amp; VLOOKUP("PrevInc",WarningMessages,2,FALSE),"")</f>
        <v/>
      </c>
      <c r="H302" s="770"/>
      <c r="I302" s="770"/>
      <c r="J302" s="593"/>
      <c r="K302" s="599"/>
      <c r="L302" s="599"/>
      <c r="M302" s="599"/>
      <c r="N302" s="599"/>
      <c r="O302" s="599"/>
      <c r="P302" s="599"/>
      <c r="Q302" s="599"/>
      <c r="R302" s="670" t="str">
        <f ca="1">IF(ISERROR($M325)=TRUE,MsgError &amp; VLOOKUP("BadPop",ErrorMessages,2,FALSE),"")</f>
        <v/>
      </c>
    </row>
    <row r="303" spans="1:18" outlineLevel="1" x14ac:dyDescent="0.2">
      <c r="A303" s="599"/>
      <c r="B303" s="599"/>
      <c r="C303" s="595"/>
      <c r="D303" s="599"/>
      <c r="E303" s="599"/>
      <c r="F303" s="599"/>
      <c r="G303" s="599"/>
      <c r="H303" s="599"/>
      <c r="I303" s="599"/>
      <c r="J303" s="593"/>
      <c r="K303" s="599"/>
      <c r="L303" s="599"/>
      <c r="M303" s="599"/>
      <c r="N303" s="599"/>
      <c r="O303" s="599"/>
      <c r="P303" s="599"/>
      <c r="Q303" s="599"/>
      <c r="R303" s="577" t="s">
        <v>470</v>
      </c>
    </row>
    <row r="304" spans="1:18" outlineLevel="1" x14ac:dyDescent="0.2">
      <c r="A304" s="599"/>
      <c r="B304" s="599"/>
      <c r="C304" s="578" t="s">
        <v>131</v>
      </c>
      <c r="D304" s="605"/>
      <c r="E304" s="594"/>
      <c r="F304" s="774"/>
      <c r="G304" s="775"/>
      <c r="H304" s="775"/>
      <c r="I304" s="775"/>
      <c r="J304" s="593"/>
      <c r="K304" s="599"/>
      <c r="L304" s="599"/>
      <c r="M304" s="599"/>
      <c r="N304" s="599"/>
      <c r="O304" s="599"/>
      <c r="P304" s="599"/>
      <c r="Q304" s="599"/>
      <c r="R304" s="606"/>
    </row>
    <row r="305" spans="1:18" outlineLevel="1" x14ac:dyDescent="0.2">
      <c r="A305" s="599"/>
      <c r="B305" s="599"/>
      <c r="C305" s="595"/>
      <c r="D305" s="600">
        <v>1</v>
      </c>
      <c r="E305" s="600">
        <v>2</v>
      </c>
      <c r="F305" s="600">
        <v>3</v>
      </c>
      <c r="G305" s="600">
        <v>4</v>
      </c>
      <c r="H305" s="600">
        <v>5</v>
      </c>
      <c r="I305" s="600">
        <v>6</v>
      </c>
      <c r="J305" s="593"/>
      <c r="K305" s="599"/>
      <c r="L305" s="599"/>
      <c r="M305" s="599"/>
      <c r="N305" s="599"/>
      <c r="O305" s="599"/>
      <c r="P305" s="599"/>
      <c r="Q305" s="599"/>
      <c r="R305" s="599"/>
    </row>
    <row r="306" spans="1:18" ht="15" customHeight="1" outlineLevel="1" x14ac:dyDescent="0.2">
      <c r="A306" s="599"/>
      <c r="B306" s="599"/>
      <c r="C306" s="595"/>
      <c r="D306" s="776" t="s">
        <v>11</v>
      </c>
      <c r="E306" s="776"/>
      <c r="F306" s="776"/>
      <c r="G306" s="776"/>
      <c r="H306" s="776"/>
      <c r="I306" s="776"/>
      <c r="J306" s="593"/>
      <c r="K306" s="599"/>
      <c r="L306" s="599"/>
      <c r="M306" s="599"/>
      <c r="N306" s="599"/>
      <c r="O306" s="599"/>
      <c r="P306" s="599"/>
      <c r="Q306" s="599"/>
      <c r="R306" s="599"/>
    </row>
    <row r="307" spans="1:18" outlineLevel="1" x14ac:dyDescent="0.2">
      <c r="A307" s="599"/>
      <c r="B307" s="599"/>
      <c r="C307" s="573"/>
      <c r="D307" s="588">
        <f>FirstYear</f>
        <v>0</v>
      </c>
      <c r="E307" s="588">
        <f>D307+1</f>
        <v>1</v>
      </c>
      <c r="F307" s="588">
        <f>E307+1</f>
        <v>2</v>
      </c>
      <c r="G307" s="588">
        <f>F307+1</f>
        <v>3</v>
      </c>
      <c r="H307" s="588">
        <f>G307+1</f>
        <v>4</v>
      </c>
      <c r="I307" s="588">
        <f>H307+1</f>
        <v>5</v>
      </c>
      <c r="J307" s="593"/>
      <c r="K307" s="599"/>
      <c r="L307" s="599"/>
      <c r="M307" s="599"/>
      <c r="N307" s="599"/>
      <c r="O307" s="599"/>
      <c r="P307" s="599"/>
      <c r="Q307" s="599"/>
      <c r="R307" s="599"/>
    </row>
    <row r="308" spans="1:18" ht="12.75" customHeight="1" outlineLevel="1" x14ac:dyDescent="0.2">
      <c r="A308" s="572"/>
      <c r="B308" s="572"/>
      <c r="C308" s="576" t="s">
        <v>382</v>
      </c>
      <c r="D308" s="596">
        <f t="shared" ref="D308:I308" ca="1" si="62">IF(AND(ISERROR($M325)&lt;&gt;TRUE,$F304&lt;&gt;""),INDEX(PxPopNumbers,$M325,D305),0)</f>
        <v>0</v>
      </c>
      <c r="E308" s="596">
        <f t="shared" ca="1" si="62"/>
        <v>0</v>
      </c>
      <c r="F308" s="596">
        <f t="shared" ca="1" si="62"/>
        <v>0</v>
      </c>
      <c r="G308" s="596">
        <f t="shared" ca="1" si="62"/>
        <v>0</v>
      </c>
      <c r="H308" s="596">
        <f t="shared" ca="1" si="62"/>
        <v>0</v>
      </c>
      <c r="I308" s="596">
        <f t="shared" ca="1" si="62"/>
        <v>0</v>
      </c>
      <c r="J308" s="593"/>
      <c r="K308" s="572"/>
      <c r="L308" s="572"/>
      <c r="M308" s="572"/>
      <c r="N308" s="572"/>
      <c r="O308" s="572"/>
      <c r="P308" s="572"/>
      <c r="Q308" s="595"/>
      <c r="R308" s="572"/>
    </row>
    <row r="309" spans="1:18" ht="12.75" customHeight="1" outlineLevel="1" x14ac:dyDescent="0.2">
      <c r="A309" s="593"/>
      <c r="B309" s="593"/>
      <c r="C309" s="593"/>
      <c r="D309" s="593"/>
      <c r="E309" s="593"/>
      <c r="F309" s="593"/>
      <c r="G309" s="593"/>
      <c r="H309" s="593"/>
      <c r="I309" s="593"/>
      <c r="J309" s="593"/>
      <c r="K309" s="572"/>
      <c r="L309" s="572"/>
      <c r="M309" s="572"/>
      <c r="N309" s="572"/>
      <c r="O309" s="572"/>
      <c r="P309" s="572"/>
      <c r="Q309" s="593"/>
      <c r="R309" s="593"/>
    </row>
    <row r="310" spans="1:18" ht="12.75" customHeight="1" outlineLevel="1" x14ac:dyDescent="0.2">
      <c r="A310" s="593"/>
      <c r="B310" s="593"/>
      <c r="C310" s="579" t="s">
        <v>238</v>
      </c>
      <c r="D310" s="593"/>
      <c r="E310" s="593"/>
      <c r="F310" s="593"/>
      <c r="G310" s="593"/>
      <c r="H310" s="593"/>
      <c r="I310" s="593"/>
      <c r="J310" s="593"/>
      <c r="K310" s="572"/>
      <c r="L310" s="572"/>
      <c r="M310" s="593"/>
      <c r="N310" s="593"/>
      <c r="O310" s="593"/>
      <c r="P310" s="593"/>
      <c r="Q310" s="593"/>
      <c r="R310" s="577" t="s">
        <v>292</v>
      </c>
    </row>
    <row r="311" spans="1:18" outlineLevel="1" x14ac:dyDescent="0.2">
      <c r="A311" s="572"/>
      <c r="B311" s="572"/>
      <c r="C311" s="589"/>
      <c r="D311" s="610"/>
      <c r="E311" s="610"/>
      <c r="F311" s="610"/>
      <c r="G311" s="610"/>
      <c r="H311" s="610"/>
      <c r="I311" s="610"/>
      <c r="J311" s="593"/>
      <c r="K311" s="581">
        <f t="shared" ref="K311:K319" si="63">IF(D311="",1,D311)</f>
        <v>1</v>
      </c>
      <c r="L311" s="581">
        <f t="shared" ref="L311:L320" si="64">IF(E311="",1,E311)</f>
        <v>1</v>
      </c>
      <c r="M311" s="581">
        <f t="shared" ref="M311:M320" si="65">IF(F311="",1,F311)</f>
        <v>1</v>
      </c>
      <c r="N311" s="581">
        <f t="shared" ref="N311:N320" si="66">IF(G311="",1,G311)</f>
        <v>1</v>
      </c>
      <c r="O311" s="581">
        <f t="shared" ref="O311:O320" si="67">IF(H311="",1,H311)</f>
        <v>1</v>
      </c>
      <c r="P311" s="581">
        <f t="shared" ref="P311:P320" si="68">IF(I311="",1,I311)</f>
        <v>1</v>
      </c>
      <c r="Q311" s="572"/>
      <c r="R311" s="589"/>
    </row>
    <row r="312" spans="1:18" outlineLevel="1" x14ac:dyDescent="0.2">
      <c r="A312" s="572"/>
      <c r="B312" s="572"/>
      <c r="C312" s="589"/>
      <c r="D312" s="610"/>
      <c r="E312" s="610"/>
      <c r="F312" s="610"/>
      <c r="G312" s="610"/>
      <c r="H312" s="610"/>
      <c r="I312" s="610"/>
      <c r="J312" s="593"/>
      <c r="K312" s="581">
        <f t="shared" si="63"/>
        <v>1</v>
      </c>
      <c r="L312" s="581">
        <f t="shared" si="64"/>
        <v>1</v>
      </c>
      <c r="M312" s="581">
        <f t="shared" si="65"/>
        <v>1</v>
      </c>
      <c r="N312" s="581">
        <f t="shared" si="66"/>
        <v>1</v>
      </c>
      <c r="O312" s="581">
        <f t="shared" si="67"/>
        <v>1</v>
      </c>
      <c r="P312" s="581">
        <f t="shared" si="68"/>
        <v>1</v>
      </c>
      <c r="Q312" s="572"/>
      <c r="R312" s="589"/>
    </row>
    <row r="313" spans="1:18" outlineLevel="1" x14ac:dyDescent="0.2">
      <c r="A313" s="572"/>
      <c r="B313" s="572"/>
      <c r="C313" s="589"/>
      <c r="D313" s="610"/>
      <c r="E313" s="610"/>
      <c r="F313" s="610"/>
      <c r="G313" s="610"/>
      <c r="H313" s="610"/>
      <c r="I313" s="610"/>
      <c r="J313" s="593"/>
      <c r="K313" s="581">
        <f t="shared" si="63"/>
        <v>1</v>
      </c>
      <c r="L313" s="581">
        <f t="shared" si="64"/>
        <v>1</v>
      </c>
      <c r="M313" s="581">
        <f t="shared" si="65"/>
        <v>1</v>
      </c>
      <c r="N313" s="581">
        <f t="shared" si="66"/>
        <v>1</v>
      </c>
      <c r="O313" s="581">
        <f t="shared" si="67"/>
        <v>1</v>
      </c>
      <c r="P313" s="581">
        <f t="shared" si="68"/>
        <v>1</v>
      </c>
      <c r="Q313" s="572"/>
      <c r="R313" s="589"/>
    </row>
    <row r="314" spans="1:18" outlineLevel="1" x14ac:dyDescent="0.2">
      <c r="A314" s="572"/>
      <c r="B314" s="572"/>
      <c r="C314" s="589"/>
      <c r="D314" s="610"/>
      <c r="E314" s="610"/>
      <c r="F314" s="610"/>
      <c r="G314" s="610"/>
      <c r="H314" s="610"/>
      <c r="I314" s="610"/>
      <c r="J314" s="593"/>
      <c r="K314" s="581">
        <f t="shared" si="63"/>
        <v>1</v>
      </c>
      <c r="L314" s="581">
        <f t="shared" si="64"/>
        <v>1</v>
      </c>
      <c r="M314" s="581">
        <f t="shared" si="65"/>
        <v>1</v>
      </c>
      <c r="N314" s="581">
        <f t="shared" si="66"/>
        <v>1</v>
      </c>
      <c r="O314" s="581">
        <f t="shared" si="67"/>
        <v>1</v>
      </c>
      <c r="P314" s="581">
        <f t="shared" si="68"/>
        <v>1</v>
      </c>
      <c r="Q314" s="572"/>
      <c r="R314" s="589"/>
    </row>
    <row r="315" spans="1:18" outlineLevel="1" x14ac:dyDescent="0.2">
      <c r="A315" s="572"/>
      <c r="B315" s="572"/>
      <c r="C315" s="589"/>
      <c r="D315" s="610"/>
      <c r="E315" s="610"/>
      <c r="F315" s="610"/>
      <c r="G315" s="610"/>
      <c r="H315" s="610"/>
      <c r="I315" s="610"/>
      <c r="J315" s="593"/>
      <c r="K315" s="581">
        <f t="shared" si="63"/>
        <v>1</v>
      </c>
      <c r="L315" s="581">
        <f t="shared" si="64"/>
        <v>1</v>
      </c>
      <c r="M315" s="581">
        <f t="shared" si="65"/>
        <v>1</v>
      </c>
      <c r="N315" s="581">
        <f t="shared" si="66"/>
        <v>1</v>
      </c>
      <c r="O315" s="581">
        <f t="shared" si="67"/>
        <v>1</v>
      </c>
      <c r="P315" s="581">
        <f t="shared" si="68"/>
        <v>1</v>
      </c>
      <c r="Q315" s="572"/>
      <c r="R315" s="589"/>
    </row>
    <row r="316" spans="1:18" outlineLevel="1" x14ac:dyDescent="0.2">
      <c r="A316" s="572"/>
      <c r="B316" s="572"/>
      <c r="C316" s="589"/>
      <c r="D316" s="610"/>
      <c r="E316" s="610"/>
      <c r="F316" s="610"/>
      <c r="G316" s="610"/>
      <c r="H316" s="610"/>
      <c r="I316" s="610"/>
      <c r="J316" s="593"/>
      <c r="K316" s="581">
        <f t="shared" si="63"/>
        <v>1</v>
      </c>
      <c r="L316" s="581">
        <f t="shared" si="64"/>
        <v>1</v>
      </c>
      <c r="M316" s="581">
        <f t="shared" si="65"/>
        <v>1</v>
      </c>
      <c r="N316" s="581">
        <f t="shared" si="66"/>
        <v>1</v>
      </c>
      <c r="O316" s="581">
        <f t="shared" si="67"/>
        <v>1</v>
      </c>
      <c r="P316" s="581">
        <f t="shared" si="68"/>
        <v>1</v>
      </c>
      <c r="Q316" s="572"/>
      <c r="R316" s="589"/>
    </row>
    <row r="317" spans="1:18" outlineLevel="1" x14ac:dyDescent="0.2">
      <c r="A317" s="572"/>
      <c r="B317" s="572"/>
      <c r="C317" s="589"/>
      <c r="D317" s="610"/>
      <c r="E317" s="610"/>
      <c r="F317" s="610"/>
      <c r="G317" s="610"/>
      <c r="H317" s="610"/>
      <c r="I317" s="610"/>
      <c r="J317" s="593"/>
      <c r="K317" s="581">
        <f t="shared" si="63"/>
        <v>1</v>
      </c>
      <c r="L317" s="581">
        <f t="shared" si="64"/>
        <v>1</v>
      </c>
      <c r="M317" s="581">
        <f t="shared" si="65"/>
        <v>1</v>
      </c>
      <c r="N317" s="581">
        <f t="shared" si="66"/>
        <v>1</v>
      </c>
      <c r="O317" s="581">
        <f t="shared" si="67"/>
        <v>1</v>
      </c>
      <c r="P317" s="581">
        <f t="shared" si="68"/>
        <v>1</v>
      </c>
      <c r="Q317" s="572"/>
      <c r="R317" s="589"/>
    </row>
    <row r="318" spans="1:18" outlineLevel="1" x14ac:dyDescent="0.2">
      <c r="A318" s="572"/>
      <c r="B318" s="572"/>
      <c r="C318" s="589"/>
      <c r="D318" s="610"/>
      <c r="E318" s="610"/>
      <c r="F318" s="610"/>
      <c r="G318" s="610"/>
      <c r="H318" s="610"/>
      <c r="I318" s="610"/>
      <c r="J318" s="593"/>
      <c r="K318" s="581">
        <f t="shared" si="63"/>
        <v>1</v>
      </c>
      <c r="L318" s="581">
        <f t="shared" si="64"/>
        <v>1</v>
      </c>
      <c r="M318" s="581">
        <f t="shared" si="65"/>
        <v>1</v>
      </c>
      <c r="N318" s="581">
        <f t="shared" si="66"/>
        <v>1</v>
      </c>
      <c r="O318" s="581">
        <f t="shared" si="67"/>
        <v>1</v>
      </c>
      <c r="P318" s="581">
        <f t="shared" si="68"/>
        <v>1</v>
      </c>
      <c r="Q318" s="572"/>
      <c r="R318" s="589"/>
    </row>
    <row r="319" spans="1:18" outlineLevel="1" x14ac:dyDescent="0.2">
      <c r="A319" s="572"/>
      <c r="B319" s="572"/>
      <c r="C319" s="589"/>
      <c r="D319" s="610"/>
      <c r="E319" s="610"/>
      <c r="F319" s="610"/>
      <c r="G319" s="610"/>
      <c r="H319" s="610"/>
      <c r="I319" s="610"/>
      <c r="J319" s="593"/>
      <c r="K319" s="581">
        <f t="shared" si="63"/>
        <v>1</v>
      </c>
      <c r="L319" s="581">
        <f t="shared" si="64"/>
        <v>1</v>
      </c>
      <c r="M319" s="581">
        <f t="shared" si="65"/>
        <v>1</v>
      </c>
      <c r="N319" s="581">
        <f t="shared" si="66"/>
        <v>1</v>
      </c>
      <c r="O319" s="581">
        <f t="shared" si="67"/>
        <v>1</v>
      </c>
      <c r="P319" s="581">
        <f t="shared" si="68"/>
        <v>1</v>
      </c>
      <c r="Q319" s="572"/>
      <c r="R319" s="589"/>
    </row>
    <row r="320" spans="1:18" outlineLevel="1" x14ac:dyDescent="0.2">
      <c r="A320" s="572"/>
      <c r="B320" s="572"/>
      <c r="C320" s="589"/>
      <c r="D320" s="610"/>
      <c r="E320" s="610"/>
      <c r="F320" s="610"/>
      <c r="G320" s="610"/>
      <c r="H320" s="610"/>
      <c r="I320" s="610"/>
      <c r="J320" s="593"/>
      <c r="K320" s="581">
        <f>IF(D320="",1,D320)</f>
        <v>1</v>
      </c>
      <c r="L320" s="581">
        <f t="shared" si="64"/>
        <v>1</v>
      </c>
      <c r="M320" s="581">
        <f t="shared" si="65"/>
        <v>1</v>
      </c>
      <c r="N320" s="581">
        <f t="shared" si="66"/>
        <v>1</v>
      </c>
      <c r="O320" s="581">
        <f t="shared" si="67"/>
        <v>1</v>
      </c>
      <c r="P320" s="581">
        <f t="shared" si="68"/>
        <v>1</v>
      </c>
      <c r="Q320" s="572"/>
      <c r="R320" s="589"/>
    </row>
    <row r="321" spans="1:18" outlineLevel="1" x14ac:dyDescent="0.2">
      <c r="A321" s="572"/>
      <c r="B321" s="572"/>
      <c r="C321" s="580" t="s">
        <v>246</v>
      </c>
      <c r="D321" s="611">
        <f t="shared" ref="D321:I321" si="69">K311*K312*K313*K314*K320*K315*K316*K317*K318*K319</f>
        <v>1</v>
      </c>
      <c r="E321" s="611">
        <f t="shared" si="69"/>
        <v>1</v>
      </c>
      <c r="F321" s="611">
        <f t="shared" si="69"/>
        <v>1</v>
      </c>
      <c r="G321" s="611">
        <f t="shared" si="69"/>
        <v>1</v>
      </c>
      <c r="H321" s="611">
        <f t="shared" si="69"/>
        <v>1</v>
      </c>
      <c r="I321" s="611">
        <f t="shared" si="69"/>
        <v>1</v>
      </c>
      <c r="J321" s="593"/>
      <c r="K321" s="572"/>
      <c r="L321" s="572"/>
      <c r="M321" s="597"/>
      <c r="N321" s="572"/>
      <c r="O321" s="572"/>
      <c r="P321" s="572"/>
      <c r="Q321" s="572"/>
      <c r="R321" s="572"/>
    </row>
    <row r="322" spans="1:18" outlineLevel="1" x14ac:dyDescent="0.2">
      <c r="A322" s="597"/>
      <c r="B322" s="597"/>
      <c r="C322" s="574" t="s">
        <v>108</v>
      </c>
      <c r="D322" s="607">
        <f t="shared" ref="D322:I322" ca="1" si="70">IF(ISNUMBER(D308),D308*D321,"")</f>
        <v>0</v>
      </c>
      <c r="E322" s="607">
        <f t="shared" ca="1" si="70"/>
        <v>0</v>
      </c>
      <c r="F322" s="607">
        <f t="shared" ca="1" si="70"/>
        <v>0</v>
      </c>
      <c r="G322" s="607">
        <f t="shared" ca="1" si="70"/>
        <v>0</v>
      </c>
      <c r="H322" s="607">
        <f t="shared" ca="1" si="70"/>
        <v>0</v>
      </c>
      <c r="I322" s="607">
        <f t="shared" ca="1" si="70"/>
        <v>0</v>
      </c>
      <c r="J322" s="593"/>
      <c r="K322" s="597"/>
      <c r="L322" s="572"/>
      <c r="M322" s="572"/>
      <c r="N322" s="572"/>
      <c r="O322" s="572"/>
      <c r="P322" s="572"/>
      <c r="Q322" s="572"/>
      <c r="R322" s="572"/>
    </row>
    <row r="323" spans="1:18" outlineLevel="1" x14ac:dyDescent="0.2">
      <c r="A323" s="593"/>
      <c r="B323" s="593"/>
      <c r="C323" s="593"/>
      <c r="D323" s="593"/>
      <c r="E323" s="593"/>
      <c r="F323" s="593"/>
      <c r="G323" s="593"/>
      <c r="H323" s="593"/>
      <c r="I323" s="593"/>
      <c r="J323" s="593"/>
      <c r="K323" s="571"/>
      <c r="L323" s="571"/>
      <c r="M323" s="593"/>
      <c r="N323" s="593"/>
      <c r="O323" s="575"/>
      <c r="P323" s="575"/>
      <c r="Q323" s="593"/>
      <c r="R323" s="593"/>
    </row>
    <row r="324" spans="1:18" outlineLevel="1" x14ac:dyDescent="0.2">
      <c r="A324" s="593"/>
      <c r="B324" s="593"/>
      <c r="C324" s="585" t="str">
        <f>TxPhase1Tx</f>
        <v/>
      </c>
      <c r="D324" s="591"/>
      <c r="E324" s="572"/>
      <c r="F324" s="572"/>
      <c r="G324" s="593"/>
      <c r="H324" s="593"/>
      <c r="I324" s="593"/>
      <c r="J324" s="593"/>
      <c r="K324" s="604" t="s">
        <v>292</v>
      </c>
      <c r="L324" s="604" t="s">
        <v>52</v>
      </c>
      <c r="M324" s="604" t="s">
        <v>381</v>
      </c>
      <c r="N324" s="593"/>
      <c r="O324" s="575"/>
      <c r="P324" s="575"/>
      <c r="Q324" s="593"/>
      <c r="R324" s="577" t="s">
        <v>292</v>
      </c>
    </row>
    <row r="325" spans="1:18" outlineLevel="1" x14ac:dyDescent="0.2">
      <c r="A325" s="593"/>
      <c r="B325" s="593"/>
      <c r="C325" s="585" t="s">
        <v>109</v>
      </c>
      <c r="D325" s="584"/>
      <c r="E325" s="584"/>
      <c r="F325" s="584"/>
      <c r="G325" s="584"/>
      <c r="H325" s="584"/>
      <c r="I325" s="584"/>
      <c r="J325" s="593"/>
      <c r="K325" s="598">
        <f>IF(D304&lt;&gt;"",MATCH(D304,EPISource,0)-1,0)</f>
        <v>0</v>
      </c>
      <c r="L325" s="598">
        <f ca="1">IF(F304&lt;&gt;"",MATCH(F304,OFFSET(References!$AB$7,0,K325,PxPopCount),0),0)</f>
        <v>0</v>
      </c>
      <c r="M325" s="598">
        <f ca="1">(K325*PxPopCount)+L325</f>
        <v>0</v>
      </c>
      <c r="N325" s="593"/>
      <c r="O325" s="575"/>
      <c r="P325" s="575"/>
      <c r="Q325" s="593"/>
      <c r="R325" s="582"/>
    </row>
    <row r="326" spans="1:18" outlineLevel="1" x14ac:dyDescent="0.2">
      <c r="A326" s="593"/>
      <c r="B326" s="593"/>
      <c r="C326" s="593"/>
      <c r="D326" s="593"/>
      <c r="E326" s="612"/>
      <c r="F326" s="593"/>
      <c r="G326" s="593"/>
      <c r="H326" s="593"/>
      <c r="I326" s="593"/>
      <c r="J326" s="593"/>
      <c r="K326" s="593"/>
      <c r="L326" s="593"/>
      <c r="M326" s="593"/>
      <c r="N326" s="593"/>
      <c r="O326" s="575"/>
      <c r="P326" s="575"/>
      <c r="Q326" s="593"/>
      <c r="R326" s="593"/>
    </row>
    <row r="327" spans="1:18" outlineLevel="1" x14ac:dyDescent="0.2">
      <c r="A327" s="593"/>
      <c r="B327" s="593"/>
      <c r="C327" s="590" t="str">
        <f>TXPhase2Tx</f>
        <v/>
      </c>
      <c r="D327" s="600"/>
      <c r="E327" s="600"/>
      <c r="F327" s="593"/>
      <c r="G327" s="593"/>
      <c r="H327" s="593"/>
      <c r="I327" s="593"/>
      <c r="J327" s="593"/>
      <c r="K327" s="571"/>
      <c r="L327" s="571"/>
      <c r="M327" s="593"/>
      <c r="N327" s="593"/>
      <c r="O327" s="575"/>
      <c r="P327" s="575"/>
      <c r="Q327" s="593"/>
      <c r="R327" s="577" t="s">
        <v>292</v>
      </c>
    </row>
    <row r="328" spans="1:18" outlineLevel="1" x14ac:dyDescent="0.2">
      <c r="A328" s="593"/>
      <c r="B328" s="593"/>
      <c r="C328" s="590" t="str">
        <f>IF(C327&lt;&gt;"","Patients electing treatment (%)","")</f>
        <v/>
      </c>
      <c r="D328" s="584"/>
      <c r="E328" s="584"/>
      <c r="F328" s="584"/>
      <c r="G328" s="584"/>
      <c r="H328" s="584"/>
      <c r="I328" s="584"/>
      <c r="J328" s="593"/>
      <c r="K328" s="572"/>
      <c r="L328" s="575"/>
      <c r="M328" s="593"/>
      <c r="N328" s="593"/>
      <c r="O328" s="575"/>
      <c r="P328" s="575"/>
      <c r="Q328" s="593"/>
      <c r="R328" s="582"/>
    </row>
    <row r="329" spans="1:18" outlineLevel="1" x14ac:dyDescent="0.2">
      <c r="A329" s="593"/>
      <c r="B329" s="593"/>
      <c r="C329" s="593"/>
      <c r="D329" s="593"/>
      <c r="E329" s="593"/>
      <c r="F329" s="593"/>
      <c r="G329" s="593"/>
      <c r="H329" s="593"/>
      <c r="I329" s="593"/>
      <c r="J329" s="593"/>
      <c r="K329" s="593"/>
      <c r="L329" s="593"/>
      <c r="M329" s="593"/>
      <c r="N329" s="593"/>
      <c r="O329" s="575"/>
      <c r="P329" s="575"/>
      <c r="Q329" s="593"/>
      <c r="R329" s="593"/>
    </row>
    <row r="330" spans="1:18" outlineLevel="1" x14ac:dyDescent="0.2">
      <c r="A330" s="572"/>
      <c r="B330" s="572"/>
      <c r="C330" s="585" t="str">
        <f>TxPhase1Px</f>
        <v/>
      </c>
      <c r="D330" s="607">
        <f t="shared" ref="D330:I330" si="71">IF(TxPhase1&lt;&gt;"",D322*D325,0)</f>
        <v>0</v>
      </c>
      <c r="E330" s="607">
        <f t="shared" si="71"/>
        <v>0</v>
      </c>
      <c r="F330" s="607">
        <f t="shared" si="71"/>
        <v>0</v>
      </c>
      <c r="G330" s="607">
        <f t="shared" si="71"/>
        <v>0</v>
      </c>
      <c r="H330" s="607">
        <f t="shared" si="71"/>
        <v>0</v>
      </c>
      <c r="I330" s="607">
        <f t="shared" si="71"/>
        <v>0</v>
      </c>
      <c r="J330" s="598" t="str">
        <f>IF(D333&lt;&gt;"",D333,"")</f>
        <v/>
      </c>
      <c r="K330" s="599"/>
      <c r="L330" s="599"/>
      <c r="M330" s="599"/>
      <c r="N330" s="599"/>
      <c r="O330" s="575"/>
      <c r="P330" s="575"/>
      <c r="Q330" s="572"/>
      <c r="R330" s="572"/>
    </row>
    <row r="331" spans="1:18" outlineLevel="1" x14ac:dyDescent="0.2">
      <c r="A331" s="572"/>
      <c r="B331" s="572"/>
      <c r="C331" s="585" t="str">
        <f>TxPhase2Px</f>
        <v/>
      </c>
      <c r="D331" s="607">
        <f t="shared" ref="D331:I331" si="72">IF(TxPhase2&lt;&gt;"",D322*D328,0)</f>
        <v>0</v>
      </c>
      <c r="E331" s="607">
        <f t="shared" si="72"/>
        <v>0</v>
      </c>
      <c r="F331" s="607">
        <f t="shared" si="72"/>
        <v>0</v>
      </c>
      <c r="G331" s="607">
        <f t="shared" si="72"/>
        <v>0</v>
      </c>
      <c r="H331" s="607">
        <f t="shared" si="72"/>
        <v>0</v>
      </c>
      <c r="I331" s="607">
        <f t="shared" si="72"/>
        <v>0</v>
      </c>
      <c r="J331" s="598" t="str">
        <f>IF(D333&lt;&gt;"",D333,"")</f>
        <v/>
      </c>
      <c r="K331" s="572"/>
      <c r="L331" s="572"/>
      <c r="M331" s="597"/>
      <c r="N331" s="572"/>
      <c r="O331" s="575"/>
      <c r="P331" s="575"/>
      <c r="Q331" s="572"/>
      <c r="R331" s="572"/>
    </row>
    <row r="332" spans="1:18" s="570" customFormat="1" outlineLevel="1" x14ac:dyDescent="0.2">
      <c r="A332" s="572"/>
      <c r="B332" s="572"/>
      <c r="C332" s="572"/>
      <c r="D332" s="572"/>
      <c r="E332" s="572"/>
      <c r="F332" s="572"/>
      <c r="G332" s="572"/>
      <c r="H332" s="572"/>
      <c r="I332" s="572"/>
      <c r="J332" s="593"/>
      <c r="K332" s="572"/>
      <c r="L332" s="572"/>
      <c r="M332" s="597"/>
      <c r="N332" s="572"/>
      <c r="O332" s="575"/>
      <c r="P332" s="575"/>
      <c r="Q332" s="572"/>
      <c r="R332" s="572"/>
    </row>
    <row r="333" spans="1:18" s="570" customFormat="1" outlineLevel="1" x14ac:dyDescent="0.2">
      <c r="A333" s="572"/>
      <c r="B333" s="572"/>
      <c r="C333" s="122" t="s">
        <v>817</v>
      </c>
      <c r="D333" s="375"/>
      <c r="E333" s="572"/>
      <c r="F333" s="572"/>
      <c r="G333" s="572"/>
      <c r="H333" s="572"/>
      <c r="I333" s="572"/>
      <c r="J333" s="593"/>
      <c r="K333" s="572"/>
      <c r="L333" s="572"/>
      <c r="M333" s="597"/>
      <c r="N333" s="572"/>
      <c r="O333" s="575"/>
      <c r="P333" s="575"/>
      <c r="Q333" s="572"/>
      <c r="R333" s="572"/>
    </row>
    <row r="334" spans="1:18" outlineLevel="1" x14ac:dyDescent="0.2">
      <c r="A334" s="572"/>
      <c r="B334" s="572"/>
      <c r="C334" s="572"/>
      <c r="D334" s="572"/>
      <c r="E334" s="572"/>
      <c r="F334" s="572"/>
      <c r="G334" s="572"/>
      <c r="H334" s="572"/>
      <c r="I334" s="572"/>
      <c r="J334" s="593"/>
      <c r="K334" s="572"/>
      <c r="L334" s="572"/>
      <c r="M334" s="597"/>
      <c r="N334" s="572"/>
      <c r="O334" s="575"/>
      <c r="P334" s="575"/>
      <c r="Q334" s="572"/>
      <c r="R334" s="572"/>
    </row>
    <row r="335" spans="1:18" x14ac:dyDescent="0.2">
      <c r="A335" s="572"/>
      <c r="B335" s="572"/>
      <c r="C335" s="572"/>
      <c r="D335" s="572"/>
      <c r="E335" s="572"/>
      <c r="F335" s="572"/>
      <c r="G335" s="572"/>
      <c r="H335" s="572"/>
      <c r="I335" s="572"/>
      <c r="J335" s="593"/>
      <c r="K335" s="572"/>
      <c r="L335" s="572"/>
      <c r="M335" s="572"/>
      <c r="N335" s="572"/>
      <c r="O335" s="575"/>
      <c r="P335" s="575"/>
      <c r="Q335" s="572"/>
      <c r="R335" s="572"/>
    </row>
    <row r="336" spans="1:18" ht="15.75" x14ac:dyDescent="0.2">
      <c r="A336" s="104"/>
      <c r="B336" s="190">
        <v>9</v>
      </c>
      <c r="C336" s="110" t="str">
        <f>IF(D340&lt;&gt;"",CONCATENATE("Incident ",B336,": ",F340,I336),MsgNotUsed)</f>
        <v>** NOT USED **</v>
      </c>
      <c r="D336" s="188"/>
      <c r="E336" s="188"/>
      <c r="F336" s="188"/>
      <c r="G336" s="188"/>
      <c r="H336" s="191"/>
      <c r="I336" s="455" t="str">
        <f>IF(R340&lt;&gt;"",CONCATENATE(" (",R340,")"),"")</f>
        <v/>
      </c>
      <c r="J336" s="187"/>
      <c r="K336" s="187"/>
      <c r="L336" s="187"/>
      <c r="M336" s="187"/>
      <c r="N336" s="187"/>
      <c r="O336" s="187"/>
      <c r="P336" s="187"/>
      <c r="Q336" s="189"/>
      <c r="R336" s="189"/>
    </row>
    <row r="337" spans="1:18" outlineLevel="1" x14ac:dyDescent="0.2">
      <c r="A337" s="599"/>
      <c r="B337" s="599"/>
      <c r="C337" s="595"/>
      <c r="D337" s="599"/>
      <c r="E337" s="599"/>
      <c r="F337" s="599"/>
      <c r="G337" s="599"/>
      <c r="H337" s="599"/>
      <c r="I337" s="599"/>
      <c r="J337" s="593"/>
      <c r="K337" s="599"/>
      <c r="L337" s="599"/>
      <c r="M337" s="599"/>
      <c r="N337" s="599"/>
      <c r="O337" s="599"/>
      <c r="P337" s="599"/>
      <c r="Q337" s="599"/>
      <c r="R337" s="599"/>
    </row>
    <row r="338" spans="1:18" outlineLevel="1" x14ac:dyDescent="0.2">
      <c r="A338" s="599"/>
      <c r="B338" s="599"/>
      <c r="C338" s="572" t="s">
        <v>913</v>
      </c>
      <c r="D338" s="599"/>
      <c r="E338" s="599"/>
      <c r="F338" s="599"/>
      <c r="G338" s="770" t="str">
        <f>IF(D340=INDEX(EPISource,4),MsgNote &amp; VLOOKUP("PrevInc",WarningMessages,2,FALSE),"")</f>
        <v/>
      </c>
      <c r="H338" s="770"/>
      <c r="I338" s="770"/>
      <c r="J338" s="593"/>
      <c r="K338" s="599"/>
      <c r="L338" s="599"/>
      <c r="M338" s="599"/>
      <c r="N338" s="599"/>
      <c r="O338" s="599"/>
      <c r="P338" s="599"/>
      <c r="Q338" s="599"/>
      <c r="R338" s="670" t="str">
        <f ca="1">IF(ISERROR($M361)=TRUE,MsgError &amp; VLOOKUP("BadPop",ErrorMessages,2,FALSE),"")</f>
        <v/>
      </c>
    </row>
    <row r="339" spans="1:18" outlineLevel="1" x14ac:dyDescent="0.2">
      <c r="A339" s="599"/>
      <c r="B339" s="599"/>
      <c r="C339" s="595"/>
      <c r="D339" s="599"/>
      <c r="E339" s="599"/>
      <c r="F339" s="599"/>
      <c r="G339" s="599"/>
      <c r="H339" s="599"/>
      <c r="I339" s="599"/>
      <c r="J339" s="593"/>
      <c r="K339" s="599"/>
      <c r="L339" s="599"/>
      <c r="M339" s="599"/>
      <c r="N339" s="599"/>
      <c r="O339" s="599"/>
      <c r="P339" s="599"/>
      <c r="Q339" s="599"/>
      <c r="R339" s="577" t="s">
        <v>470</v>
      </c>
    </row>
    <row r="340" spans="1:18" outlineLevel="1" x14ac:dyDescent="0.2">
      <c r="A340" s="599"/>
      <c r="B340" s="599"/>
      <c r="C340" s="578" t="s">
        <v>131</v>
      </c>
      <c r="D340" s="605"/>
      <c r="E340" s="594"/>
      <c r="F340" s="774"/>
      <c r="G340" s="775"/>
      <c r="H340" s="775"/>
      <c r="I340" s="775"/>
      <c r="J340" s="593"/>
      <c r="K340" s="599"/>
      <c r="L340" s="599"/>
      <c r="M340" s="599"/>
      <c r="N340" s="599"/>
      <c r="O340" s="599"/>
      <c r="P340" s="599"/>
      <c r="Q340" s="599"/>
      <c r="R340" s="606"/>
    </row>
    <row r="341" spans="1:18" outlineLevel="1" x14ac:dyDescent="0.2">
      <c r="A341" s="599"/>
      <c r="B341" s="599"/>
      <c r="C341" s="595"/>
      <c r="D341" s="600">
        <v>1</v>
      </c>
      <c r="E341" s="600">
        <v>2</v>
      </c>
      <c r="F341" s="600">
        <v>3</v>
      </c>
      <c r="G341" s="600">
        <v>4</v>
      </c>
      <c r="H341" s="600">
        <v>5</v>
      </c>
      <c r="I341" s="600">
        <v>6</v>
      </c>
      <c r="J341" s="593"/>
      <c r="K341" s="599"/>
      <c r="L341" s="599"/>
      <c r="M341" s="599"/>
      <c r="N341" s="599"/>
      <c r="O341" s="599"/>
      <c r="P341" s="599"/>
      <c r="Q341" s="599"/>
      <c r="R341" s="599"/>
    </row>
    <row r="342" spans="1:18" ht="15" customHeight="1" outlineLevel="1" x14ac:dyDescent="0.2">
      <c r="A342" s="599"/>
      <c r="B342" s="599"/>
      <c r="C342" s="595"/>
      <c r="D342" s="776" t="s">
        <v>11</v>
      </c>
      <c r="E342" s="776"/>
      <c r="F342" s="776"/>
      <c r="G342" s="776"/>
      <c r="H342" s="776"/>
      <c r="I342" s="776"/>
      <c r="J342" s="593"/>
      <c r="K342" s="599"/>
      <c r="L342" s="599"/>
      <c r="M342" s="599"/>
      <c r="N342" s="599"/>
      <c r="O342" s="599"/>
      <c r="P342" s="599"/>
      <c r="Q342" s="599"/>
      <c r="R342" s="599"/>
    </row>
    <row r="343" spans="1:18" outlineLevel="1" x14ac:dyDescent="0.2">
      <c r="A343" s="599"/>
      <c r="B343" s="599"/>
      <c r="C343" s="573"/>
      <c r="D343" s="588">
        <f>FirstYear</f>
        <v>0</v>
      </c>
      <c r="E343" s="588">
        <f>D343+1</f>
        <v>1</v>
      </c>
      <c r="F343" s="588">
        <f>E343+1</f>
        <v>2</v>
      </c>
      <c r="G343" s="588">
        <f>F343+1</f>
        <v>3</v>
      </c>
      <c r="H343" s="588">
        <f>G343+1</f>
        <v>4</v>
      </c>
      <c r="I343" s="588">
        <f>H343+1</f>
        <v>5</v>
      </c>
      <c r="J343" s="593"/>
      <c r="K343" s="599"/>
      <c r="L343" s="599"/>
      <c r="M343" s="599"/>
      <c r="N343" s="599"/>
      <c r="O343" s="599"/>
      <c r="P343" s="599"/>
      <c r="Q343" s="599"/>
      <c r="R343" s="599"/>
    </row>
    <row r="344" spans="1:18" ht="12.75" customHeight="1" outlineLevel="1" x14ac:dyDescent="0.2">
      <c r="A344" s="572"/>
      <c r="B344" s="572"/>
      <c r="C344" s="576" t="s">
        <v>382</v>
      </c>
      <c r="D344" s="596">
        <f t="shared" ref="D344:I344" ca="1" si="73">IF(AND(ISERROR($M361)&lt;&gt;TRUE,$F340&lt;&gt;""),INDEX(PxPopNumbers,$M361,D341),0)</f>
        <v>0</v>
      </c>
      <c r="E344" s="596">
        <f t="shared" ca="1" si="73"/>
        <v>0</v>
      </c>
      <c r="F344" s="596">
        <f t="shared" ca="1" si="73"/>
        <v>0</v>
      </c>
      <c r="G344" s="596">
        <f t="shared" ca="1" si="73"/>
        <v>0</v>
      </c>
      <c r="H344" s="596">
        <f t="shared" ca="1" si="73"/>
        <v>0</v>
      </c>
      <c r="I344" s="596">
        <f t="shared" ca="1" si="73"/>
        <v>0</v>
      </c>
      <c r="J344" s="593"/>
      <c r="K344" s="572"/>
      <c r="L344" s="572"/>
      <c r="M344" s="572"/>
      <c r="N344" s="572"/>
      <c r="O344" s="572"/>
      <c r="P344" s="572"/>
      <c r="Q344" s="595"/>
      <c r="R344" s="572"/>
    </row>
    <row r="345" spans="1:18" ht="12.75" customHeight="1" outlineLevel="1" x14ac:dyDescent="0.2">
      <c r="A345" s="593"/>
      <c r="B345" s="593"/>
      <c r="C345" s="593"/>
      <c r="D345" s="593"/>
      <c r="E345" s="593"/>
      <c r="F345" s="593"/>
      <c r="G345" s="593"/>
      <c r="H345" s="593"/>
      <c r="I345" s="593"/>
      <c r="J345" s="593"/>
      <c r="K345" s="572"/>
      <c r="L345" s="572"/>
      <c r="M345" s="572"/>
      <c r="N345" s="572"/>
      <c r="O345" s="572"/>
      <c r="P345" s="572"/>
      <c r="Q345" s="593"/>
      <c r="R345" s="593"/>
    </row>
    <row r="346" spans="1:18" ht="12.75" customHeight="1" outlineLevel="1" x14ac:dyDescent="0.2">
      <c r="A346" s="593"/>
      <c r="B346" s="593"/>
      <c r="C346" s="579" t="s">
        <v>238</v>
      </c>
      <c r="D346" s="593"/>
      <c r="E346" s="593"/>
      <c r="F346" s="593"/>
      <c r="G346" s="593"/>
      <c r="H346" s="593"/>
      <c r="I346" s="593"/>
      <c r="J346" s="593"/>
      <c r="K346" s="572"/>
      <c r="L346" s="572"/>
      <c r="M346" s="593"/>
      <c r="N346" s="593"/>
      <c r="O346" s="593"/>
      <c r="P346" s="593"/>
      <c r="Q346" s="593"/>
      <c r="R346" s="577" t="s">
        <v>292</v>
      </c>
    </row>
    <row r="347" spans="1:18" outlineLevel="1" x14ac:dyDescent="0.2">
      <c r="A347" s="572"/>
      <c r="B347" s="572"/>
      <c r="C347" s="589"/>
      <c r="D347" s="610"/>
      <c r="E347" s="610"/>
      <c r="F347" s="610"/>
      <c r="G347" s="610"/>
      <c r="H347" s="610"/>
      <c r="I347" s="610"/>
      <c r="J347" s="593"/>
      <c r="K347" s="581">
        <f t="shared" ref="K347:K355" si="74">IF(D347="",1,D347)</f>
        <v>1</v>
      </c>
      <c r="L347" s="581">
        <f t="shared" ref="L347:L356" si="75">IF(E347="",1,E347)</f>
        <v>1</v>
      </c>
      <c r="M347" s="581">
        <f t="shared" ref="M347:M356" si="76">IF(F347="",1,F347)</f>
        <v>1</v>
      </c>
      <c r="N347" s="581">
        <f t="shared" ref="N347:N356" si="77">IF(G347="",1,G347)</f>
        <v>1</v>
      </c>
      <c r="O347" s="581">
        <f t="shared" ref="O347:O356" si="78">IF(H347="",1,H347)</f>
        <v>1</v>
      </c>
      <c r="P347" s="581">
        <f t="shared" ref="P347:P356" si="79">IF(I347="",1,I347)</f>
        <v>1</v>
      </c>
      <c r="Q347" s="572"/>
      <c r="R347" s="589"/>
    </row>
    <row r="348" spans="1:18" outlineLevel="1" x14ac:dyDescent="0.2">
      <c r="A348" s="572"/>
      <c r="B348" s="572"/>
      <c r="C348" s="589"/>
      <c r="D348" s="610"/>
      <c r="E348" s="610"/>
      <c r="F348" s="610"/>
      <c r="G348" s="610"/>
      <c r="H348" s="610"/>
      <c r="I348" s="610"/>
      <c r="J348" s="593"/>
      <c r="K348" s="581">
        <f t="shared" si="74"/>
        <v>1</v>
      </c>
      <c r="L348" s="581">
        <f t="shared" si="75"/>
        <v>1</v>
      </c>
      <c r="M348" s="581">
        <f t="shared" si="76"/>
        <v>1</v>
      </c>
      <c r="N348" s="581">
        <f t="shared" si="77"/>
        <v>1</v>
      </c>
      <c r="O348" s="581">
        <f t="shared" si="78"/>
        <v>1</v>
      </c>
      <c r="P348" s="581">
        <f t="shared" si="79"/>
        <v>1</v>
      </c>
      <c r="Q348" s="572"/>
      <c r="R348" s="589"/>
    </row>
    <row r="349" spans="1:18" outlineLevel="1" x14ac:dyDescent="0.2">
      <c r="A349" s="572"/>
      <c r="B349" s="572"/>
      <c r="C349" s="589"/>
      <c r="D349" s="610"/>
      <c r="E349" s="610"/>
      <c r="F349" s="610"/>
      <c r="G349" s="610"/>
      <c r="H349" s="610"/>
      <c r="I349" s="610"/>
      <c r="J349" s="593"/>
      <c r="K349" s="581">
        <f t="shared" si="74"/>
        <v>1</v>
      </c>
      <c r="L349" s="581">
        <f t="shared" si="75"/>
        <v>1</v>
      </c>
      <c r="M349" s="581">
        <f t="shared" si="76"/>
        <v>1</v>
      </c>
      <c r="N349" s="581">
        <f t="shared" si="77"/>
        <v>1</v>
      </c>
      <c r="O349" s="581">
        <f t="shared" si="78"/>
        <v>1</v>
      </c>
      <c r="P349" s="581">
        <f t="shared" si="79"/>
        <v>1</v>
      </c>
      <c r="Q349" s="572"/>
      <c r="R349" s="589"/>
    </row>
    <row r="350" spans="1:18" outlineLevel="1" x14ac:dyDescent="0.2">
      <c r="A350" s="572"/>
      <c r="B350" s="572"/>
      <c r="C350" s="589"/>
      <c r="D350" s="610"/>
      <c r="E350" s="610"/>
      <c r="F350" s="610"/>
      <c r="G350" s="610"/>
      <c r="H350" s="610"/>
      <c r="I350" s="610"/>
      <c r="J350" s="593"/>
      <c r="K350" s="581">
        <f t="shared" si="74"/>
        <v>1</v>
      </c>
      <c r="L350" s="581">
        <f t="shared" si="75"/>
        <v>1</v>
      </c>
      <c r="M350" s="581">
        <f t="shared" si="76"/>
        <v>1</v>
      </c>
      <c r="N350" s="581">
        <f t="shared" si="77"/>
        <v>1</v>
      </c>
      <c r="O350" s="581">
        <f t="shared" si="78"/>
        <v>1</v>
      </c>
      <c r="P350" s="581">
        <f t="shared" si="79"/>
        <v>1</v>
      </c>
      <c r="Q350" s="572"/>
      <c r="R350" s="589"/>
    </row>
    <row r="351" spans="1:18" outlineLevel="1" x14ac:dyDescent="0.2">
      <c r="A351" s="572"/>
      <c r="B351" s="572"/>
      <c r="C351" s="589"/>
      <c r="D351" s="610"/>
      <c r="E351" s="610"/>
      <c r="F351" s="610"/>
      <c r="G351" s="610"/>
      <c r="H351" s="610"/>
      <c r="I351" s="610"/>
      <c r="J351" s="593"/>
      <c r="K351" s="581">
        <f t="shared" si="74"/>
        <v>1</v>
      </c>
      <c r="L351" s="581">
        <f t="shared" si="75"/>
        <v>1</v>
      </c>
      <c r="M351" s="581">
        <f t="shared" si="76"/>
        <v>1</v>
      </c>
      <c r="N351" s="581">
        <f t="shared" si="77"/>
        <v>1</v>
      </c>
      <c r="O351" s="581">
        <f t="shared" si="78"/>
        <v>1</v>
      </c>
      <c r="P351" s="581">
        <f t="shared" si="79"/>
        <v>1</v>
      </c>
      <c r="Q351" s="572"/>
      <c r="R351" s="589"/>
    </row>
    <row r="352" spans="1:18" outlineLevel="1" x14ac:dyDescent="0.2">
      <c r="A352" s="572"/>
      <c r="B352" s="572"/>
      <c r="C352" s="589"/>
      <c r="D352" s="610"/>
      <c r="E352" s="610"/>
      <c r="F352" s="610"/>
      <c r="G352" s="610"/>
      <c r="H352" s="610"/>
      <c r="I352" s="610"/>
      <c r="J352" s="593"/>
      <c r="K352" s="581">
        <f t="shared" si="74"/>
        <v>1</v>
      </c>
      <c r="L352" s="581">
        <f t="shared" si="75"/>
        <v>1</v>
      </c>
      <c r="M352" s="581">
        <f t="shared" si="76"/>
        <v>1</v>
      </c>
      <c r="N352" s="581">
        <f t="shared" si="77"/>
        <v>1</v>
      </c>
      <c r="O352" s="581">
        <f t="shared" si="78"/>
        <v>1</v>
      </c>
      <c r="P352" s="581">
        <f t="shared" si="79"/>
        <v>1</v>
      </c>
      <c r="Q352" s="572"/>
      <c r="R352" s="589"/>
    </row>
    <row r="353" spans="1:18" outlineLevel="1" x14ac:dyDescent="0.2">
      <c r="A353" s="572"/>
      <c r="B353" s="572"/>
      <c r="C353" s="589"/>
      <c r="D353" s="610"/>
      <c r="E353" s="610"/>
      <c r="F353" s="610"/>
      <c r="G353" s="610"/>
      <c r="H353" s="610"/>
      <c r="I353" s="610"/>
      <c r="J353" s="593"/>
      <c r="K353" s="581">
        <f t="shared" si="74"/>
        <v>1</v>
      </c>
      <c r="L353" s="581">
        <f t="shared" si="75"/>
        <v>1</v>
      </c>
      <c r="M353" s="581">
        <f t="shared" si="76"/>
        <v>1</v>
      </c>
      <c r="N353" s="581">
        <f t="shared" si="77"/>
        <v>1</v>
      </c>
      <c r="O353" s="581">
        <f t="shared" si="78"/>
        <v>1</v>
      </c>
      <c r="P353" s="581">
        <f t="shared" si="79"/>
        <v>1</v>
      </c>
      <c r="Q353" s="572"/>
      <c r="R353" s="589"/>
    </row>
    <row r="354" spans="1:18" outlineLevel="1" x14ac:dyDescent="0.2">
      <c r="A354" s="572"/>
      <c r="B354" s="572"/>
      <c r="C354" s="589"/>
      <c r="D354" s="610"/>
      <c r="E354" s="610"/>
      <c r="F354" s="610"/>
      <c r="G354" s="610"/>
      <c r="H354" s="610"/>
      <c r="I354" s="610"/>
      <c r="J354" s="593"/>
      <c r="K354" s="581">
        <f t="shared" si="74"/>
        <v>1</v>
      </c>
      <c r="L354" s="581">
        <f t="shared" si="75"/>
        <v>1</v>
      </c>
      <c r="M354" s="581">
        <f t="shared" si="76"/>
        <v>1</v>
      </c>
      <c r="N354" s="581">
        <f t="shared" si="77"/>
        <v>1</v>
      </c>
      <c r="O354" s="581">
        <f t="shared" si="78"/>
        <v>1</v>
      </c>
      <c r="P354" s="581">
        <f t="shared" si="79"/>
        <v>1</v>
      </c>
      <c r="Q354" s="572"/>
      <c r="R354" s="589"/>
    </row>
    <row r="355" spans="1:18" outlineLevel="1" x14ac:dyDescent="0.2">
      <c r="A355" s="572"/>
      <c r="B355" s="572"/>
      <c r="C355" s="589"/>
      <c r="D355" s="610"/>
      <c r="E355" s="610"/>
      <c r="F355" s="610"/>
      <c r="G355" s="610"/>
      <c r="H355" s="610"/>
      <c r="I355" s="610"/>
      <c r="J355" s="593"/>
      <c r="K355" s="581">
        <f t="shared" si="74"/>
        <v>1</v>
      </c>
      <c r="L355" s="581">
        <f t="shared" si="75"/>
        <v>1</v>
      </c>
      <c r="M355" s="581">
        <f t="shared" si="76"/>
        <v>1</v>
      </c>
      <c r="N355" s="581">
        <f t="shared" si="77"/>
        <v>1</v>
      </c>
      <c r="O355" s="581">
        <f t="shared" si="78"/>
        <v>1</v>
      </c>
      <c r="P355" s="581">
        <f t="shared" si="79"/>
        <v>1</v>
      </c>
      <c r="Q355" s="572"/>
      <c r="R355" s="589"/>
    </row>
    <row r="356" spans="1:18" outlineLevel="1" x14ac:dyDescent="0.2">
      <c r="A356" s="572"/>
      <c r="B356" s="572"/>
      <c r="C356" s="589"/>
      <c r="D356" s="610"/>
      <c r="E356" s="610"/>
      <c r="F356" s="610"/>
      <c r="G356" s="610"/>
      <c r="H356" s="610"/>
      <c r="I356" s="610"/>
      <c r="J356" s="593"/>
      <c r="K356" s="581">
        <f>IF(D356="",1,D356)</f>
        <v>1</v>
      </c>
      <c r="L356" s="581">
        <f t="shared" si="75"/>
        <v>1</v>
      </c>
      <c r="M356" s="581">
        <f t="shared" si="76"/>
        <v>1</v>
      </c>
      <c r="N356" s="581">
        <f t="shared" si="77"/>
        <v>1</v>
      </c>
      <c r="O356" s="581">
        <f t="shared" si="78"/>
        <v>1</v>
      </c>
      <c r="P356" s="581">
        <f t="shared" si="79"/>
        <v>1</v>
      </c>
      <c r="Q356" s="572"/>
      <c r="R356" s="589"/>
    </row>
    <row r="357" spans="1:18" outlineLevel="1" x14ac:dyDescent="0.2">
      <c r="A357" s="572"/>
      <c r="B357" s="572"/>
      <c r="C357" s="580" t="s">
        <v>246</v>
      </c>
      <c r="D357" s="611">
        <f t="shared" ref="D357:I357" si="80">K347*K348*K349*K350*K356*K351*K352*K353*K354*K355</f>
        <v>1</v>
      </c>
      <c r="E357" s="611">
        <f t="shared" si="80"/>
        <v>1</v>
      </c>
      <c r="F357" s="611">
        <f t="shared" si="80"/>
        <v>1</v>
      </c>
      <c r="G357" s="611">
        <f t="shared" si="80"/>
        <v>1</v>
      </c>
      <c r="H357" s="611">
        <f t="shared" si="80"/>
        <v>1</v>
      </c>
      <c r="I357" s="611">
        <f t="shared" si="80"/>
        <v>1</v>
      </c>
      <c r="J357" s="593"/>
      <c r="K357" s="572"/>
      <c r="L357" s="572"/>
      <c r="M357" s="597"/>
      <c r="N357" s="572"/>
      <c r="O357" s="572"/>
      <c r="P357" s="572"/>
      <c r="Q357" s="572"/>
      <c r="R357" s="572"/>
    </row>
    <row r="358" spans="1:18" outlineLevel="1" x14ac:dyDescent="0.2">
      <c r="A358" s="597"/>
      <c r="B358" s="597"/>
      <c r="C358" s="574" t="s">
        <v>108</v>
      </c>
      <c r="D358" s="607">
        <f t="shared" ref="D358:I358" ca="1" si="81">IF(ISNUMBER(D344),D344*D357,"")</f>
        <v>0</v>
      </c>
      <c r="E358" s="607">
        <f t="shared" ca="1" si="81"/>
        <v>0</v>
      </c>
      <c r="F358" s="607">
        <f t="shared" ca="1" si="81"/>
        <v>0</v>
      </c>
      <c r="G358" s="607">
        <f t="shared" ca="1" si="81"/>
        <v>0</v>
      </c>
      <c r="H358" s="607">
        <f t="shared" ca="1" si="81"/>
        <v>0</v>
      </c>
      <c r="I358" s="607">
        <f t="shared" ca="1" si="81"/>
        <v>0</v>
      </c>
      <c r="J358" s="593"/>
      <c r="K358" s="597"/>
      <c r="L358" s="572"/>
      <c r="M358" s="572"/>
      <c r="N358" s="572"/>
      <c r="O358" s="572"/>
      <c r="P358" s="572"/>
      <c r="Q358" s="572"/>
      <c r="R358" s="572"/>
    </row>
    <row r="359" spans="1:18" outlineLevel="1" x14ac:dyDescent="0.2">
      <c r="A359" s="593"/>
      <c r="B359" s="593"/>
      <c r="C359" s="593"/>
      <c r="D359" s="593"/>
      <c r="E359" s="593"/>
      <c r="F359" s="593"/>
      <c r="G359" s="593"/>
      <c r="H359" s="593"/>
      <c r="I359" s="593"/>
      <c r="J359" s="593"/>
      <c r="K359" s="593"/>
      <c r="L359" s="593"/>
      <c r="M359" s="593"/>
      <c r="N359" s="593"/>
      <c r="O359" s="575"/>
      <c r="P359" s="575"/>
      <c r="Q359" s="593"/>
      <c r="R359" s="593"/>
    </row>
    <row r="360" spans="1:18" outlineLevel="1" x14ac:dyDescent="0.2">
      <c r="A360" s="593"/>
      <c r="B360" s="593"/>
      <c r="C360" s="585" t="str">
        <f>TxPhase1Tx</f>
        <v/>
      </c>
      <c r="D360" s="591"/>
      <c r="E360" s="572"/>
      <c r="F360" s="572"/>
      <c r="G360" s="593"/>
      <c r="H360" s="593"/>
      <c r="I360" s="593"/>
      <c r="J360" s="593"/>
      <c r="K360" s="604" t="s">
        <v>292</v>
      </c>
      <c r="L360" s="604" t="s">
        <v>52</v>
      </c>
      <c r="M360" s="604" t="s">
        <v>381</v>
      </c>
      <c r="N360" s="593"/>
      <c r="O360" s="575"/>
      <c r="P360" s="575"/>
      <c r="Q360" s="593"/>
      <c r="R360" s="577" t="s">
        <v>292</v>
      </c>
    </row>
    <row r="361" spans="1:18" outlineLevel="1" x14ac:dyDescent="0.2">
      <c r="A361" s="593"/>
      <c r="B361" s="593"/>
      <c r="C361" s="585" t="s">
        <v>109</v>
      </c>
      <c r="D361" s="584"/>
      <c r="E361" s="584"/>
      <c r="F361" s="584"/>
      <c r="G361" s="584"/>
      <c r="H361" s="584"/>
      <c r="I361" s="584"/>
      <c r="J361" s="593"/>
      <c r="K361" s="598">
        <f>IF(D340&lt;&gt;"",MATCH(D340,EPISource,0)-1,0)</f>
        <v>0</v>
      </c>
      <c r="L361" s="598">
        <f ca="1">IF(F340&lt;&gt;"",MATCH(F340,OFFSET(References!$AB$7,0,K361,PxPopCount),0),0)</f>
        <v>0</v>
      </c>
      <c r="M361" s="598">
        <f ca="1">(K361*PxPopCount)+L361</f>
        <v>0</v>
      </c>
      <c r="N361" s="593"/>
      <c r="O361" s="575"/>
      <c r="P361" s="575"/>
      <c r="Q361" s="593"/>
      <c r="R361" s="582"/>
    </row>
    <row r="362" spans="1:18" outlineLevel="1" x14ac:dyDescent="0.2">
      <c r="A362" s="593"/>
      <c r="B362" s="593"/>
      <c r="C362" s="593"/>
      <c r="D362" s="593"/>
      <c r="E362" s="612"/>
      <c r="F362" s="593"/>
      <c r="G362" s="593"/>
      <c r="H362" s="593"/>
      <c r="I362" s="593"/>
      <c r="J362" s="593"/>
      <c r="K362" s="571"/>
      <c r="L362" s="571"/>
      <c r="M362" s="593"/>
      <c r="N362" s="593"/>
      <c r="O362" s="575"/>
      <c r="P362" s="575"/>
      <c r="Q362" s="593"/>
      <c r="R362" s="593"/>
    </row>
    <row r="363" spans="1:18" outlineLevel="1" x14ac:dyDescent="0.2">
      <c r="A363" s="593"/>
      <c r="B363" s="593"/>
      <c r="C363" s="590" t="str">
        <f>TXPhase2Tx</f>
        <v/>
      </c>
      <c r="D363" s="600"/>
      <c r="E363" s="600"/>
      <c r="F363" s="593"/>
      <c r="G363" s="593"/>
      <c r="H363" s="593"/>
      <c r="I363" s="593"/>
      <c r="J363" s="593"/>
      <c r="K363" s="571"/>
      <c r="L363" s="571"/>
      <c r="M363" s="593"/>
      <c r="N363" s="593"/>
      <c r="O363" s="575"/>
      <c r="P363" s="575"/>
      <c r="Q363" s="593"/>
      <c r="R363" s="577" t="s">
        <v>292</v>
      </c>
    </row>
    <row r="364" spans="1:18" outlineLevel="1" x14ac:dyDescent="0.2">
      <c r="A364" s="593"/>
      <c r="B364" s="593"/>
      <c r="C364" s="590" t="str">
        <f>IF(C363&lt;&gt;"","Patients electing treatment (%)","")</f>
        <v/>
      </c>
      <c r="D364" s="584"/>
      <c r="E364" s="584"/>
      <c r="F364" s="584"/>
      <c r="G364" s="584"/>
      <c r="H364" s="584"/>
      <c r="I364" s="584"/>
      <c r="J364" s="593"/>
      <c r="K364" s="586"/>
      <c r="L364" s="575"/>
      <c r="M364" s="593"/>
      <c r="N364" s="593"/>
      <c r="O364" s="575"/>
      <c r="P364" s="575"/>
      <c r="Q364" s="593"/>
      <c r="R364" s="582"/>
    </row>
    <row r="365" spans="1:18" outlineLevel="1" x14ac:dyDescent="0.2">
      <c r="A365" s="593"/>
      <c r="B365" s="593"/>
      <c r="C365" s="593"/>
      <c r="D365" s="593"/>
      <c r="E365" s="593"/>
      <c r="F365" s="593"/>
      <c r="G365" s="593"/>
      <c r="H365" s="593"/>
      <c r="I365" s="593"/>
      <c r="J365" s="593"/>
      <c r="K365" s="575"/>
      <c r="L365" s="575"/>
      <c r="M365" s="593"/>
      <c r="N365" s="593"/>
      <c r="O365" s="575"/>
      <c r="P365" s="575"/>
      <c r="Q365" s="593"/>
      <c r="R365" s="593"/>
    </row>
    <row r="366" spans="1:18" outlineLevel="1" x14ac:dyDescent="0.2">
      <c r="A366" s="572"/>
      <c r="B366" s="572"/>
      <c r="C366" s="585" t="str">
        <f>TxPhase1Px</f>
        <v/>
      </c>
      <c r="D366" s="607">
        <f t="shared" ref="D366:I366" si="82">IF(TxPhase1&lt;&gt;"",D358*D361,0)</f>
        <v>0</v>
      </c>
      <c r="E366" s="607">
        <f t="shared" si="82"/>
        <v>0</v>
      </c>
      <c r="F366" s="607">
        <f t="shared" si="82"/>
        <v>0</v>
      </c>
      <c r="G366" s="607">
        <f t="shared" si="82"/>
        <v>0</v>
      </c>
      <c r="H366" s="607">
        <f t="shared" si="82"/>
        <v>0</v>
      </c>
      <c r="I366" s="607">
        <f t="shared" si="82"/>
        <v>0</v>
      </c>
      <c r="J366" s="598" t="str">
        <f>IF(D369&lt;&gt;"",D369,"")</f>
        <v/>
      </c>
      <c r="K366" s="599"/>
      <c r="L366" s="599"/>
      <c r="M366" s="599"/>
      <c r="N366" s="599"/>
      <c r="O366" s="575"/>
      <c r="P366" s="575"/>
      <c r="Q366" s="572"/>
      <c r="R366" s="572"/>
    </row>
    <row r="367" spans="1:18" outlineLevel="1" x14ac:dyDescent="0.2">
      <c r="A367" s="572"/>
      <c r="B367" s="572"/>
      <c r="C367" s="585" t="str">
        <f>TxPhase2Px</f>
        <v/>
      </c>
      <c r="D367" s="607">
        <f t="shared" ref="D367:I367" si="83">IF(TxPhase2&lt;&gt;"",D358*D364,0)</f>
        <v>0</v>
      </c>
      <c r="E367" s="607">
        <f t="shared" si="83"/>
        <v>0</v>
      </c>
      <c r="F367" s="607">
        <f t="shared" si="83"/>
        <v>0</v>
      </c>
      <c r="G367" s="607">
        <f t="shared" si="83"/>
        <v>0</v>
      </c>
      <c r="H367" s="607">
        <f t="shared" si="83"/>
        <v>0</v>
      </c>
      <c r="I367" s="607">
        <f t="shared" si="83"/>
        <v>0</v>
      </c>
      <c r="J367" s="598" t="str">
        <f>IF(D369&lt;&gt;"",D369,"")</f>
        <v/>
      </c>
      <c r="K367" s="572"/>
      <c r="L367" s="572"/>
      <c r="M367" s="597"/>
      <c r="N367" s="572"/>
      <c r="O367" s="575"/>
      <c r="P367" s="575"/>
      <c r="Q367" s="572"/>
      <c r="R367" s="572"/>
    </row>
    <row r="368" spans="1:18" s="570" customFormat="1" outlineLevel="1" x14ac:dyDescent="0.2">
      <c r="A368" s="572"/>
      <c r="B368" s="572"/>
      <c r="C368" s="572"/>
      <c r="D368" s="572"/>
      <c r="E368" s="572"/>
      <c r="F368" s="572"/>
      <c r="G368" s="572"/>
      <c r="H368" s="572"/>
      <c r="I368" s="572"/>
      <c r="J368" s="593"/>
      <c r="K368" s="572"/>
      <c r="L368" s="572"/>
      <c r="M368" s="597"/>
      <c r="N368" s="572"/>
      <c r="O368" s="575"/>
      <c r="P368" s="575"/>
      <c r="Q368" s="572"/>
      <c r="R368" s="572"/>
    </row>
    <row r="369" spans="1:18" s="570" customFormat="1" outlineLevel="1" x14ac:dyDescent="0.2">
      <c r="A369" s="572"/>
      <c r="B369" s="572"/>
      <c r="C369" s="122" t="s">
        <v>817</v>
      </c>
      <c r="D369" s="375"/>
      <c r="E369" s="572"/>
      <c r="F369" s="572"/>
      <c r="G369" s="572"/>
      <c r="H369" s="572"/>
      <c r="I369" s="572"/>
      <c r="J369" s="593"/>
      <c r="K369" s="572"/>
      <c r="L369" s="572"/>
      <c r="M369" s="597"/>
      <c r="N369" s="572"/>
      <c r="O369" s="575"/>
      <c r="P369" s="575"/>
      <c r="Q369" s="572"/>
      <c r="R369" s="572"/>
    </row>
    <row r="370" spans="1:18" outlineLevel="1" x14ac:dyDescent="0.2">
      <c r="A370" s="572"/>
      <c r="B370" s="572"/>
      <c r="C370" s="572"/>
      <c r="D370" s="572"/>
      <c r="E370" s="572"/>
      <c r="F370" s="572"/>
      <c r="G370" s="572"/>
      <c r="H370" s="572"/>
      <c r="I370" s="572"/>
      <c r="J370" s="593"/>
      <c r="K370" s="572"/>
      <c r="L370" s="572"/>
      <c r="M370" s="597"/>
      <c r="N370" s="572"/>
      <c r="O370" s="575"/>
      <c r="P370" s="575"/>
      <c r="Q370" s="572"/>
      <c r="R370" s="572"/>
    </row>
    <row r="371" spans="1:18" x14ac:dyDescent="0.2">
      <c r="A371" s="572"/>
      <c r="B371" s="572"/>
      <c r="C371" s="572"/>
      <c r="D371" s="572"/>
      <c r="E371" s="572"/>
      <c r="F371" s="572"/>
      <c r="G371" s="572"/>
      <c r="H371" s="572"/>
      <c r="I371" s="572"/>
      <c r="J371" s="593"/>
      <c r="K371" s="572"/>
      <c r="L371" s="572"/>
      <c r="M371" s="572"/>
      <c r="N371" s="572"/>
      <c r="O371" s="575"/>
      <c r="P371" s="575"/>
      <c r="Q371" s="572"/>
      <c r="R371" s="572"/>
    </row>
    <row r="372" spans="1:18" ht="15.75" x14ac:dyDescent="0.2">
      <c r="A372" s="104"/>
      <c r="B372" s="190">
        <v>10</v>
      </c>
      <c r="C372" s="110" t="str">
        <f>IF(D376&lt;&gt;"",CONCATENATE("Incident ",B372,": ",F376,I372),MsgNotUsed)</f>
        <v>** NOT USED **</v>
      </c>
      <c r="D372" s="188"/>
      <c r="E372" s="188"/>
      <c r="F372" s="188"/>
      <c r="G372" s="188"/>
      <c r="H372" s="191"/>
      <c r="I372" s="455" t="str">
        <f>IF(R376&lt;&gt;"",CONCATENATE(" (",R376,")"),"")</f>
        <v/>
      </c>
      <c r="J372" s="187"/>
      <c r="K372" s="187"/>
      <c r="L372" s="187"/>
      <c r="M372" s="187"/>
      <c r="N372" s="187"/>
      <c r="O372" s="187"/>
      <c r="P372" s="187"/>
      <c r="Q372" s="189"/>
      <c r="R372" s="189"/>
    </row>
    <row r="373" spans="1:18" outlineLevel="1" x14ac:dyDescent="0.2">
      <c r="A373" s="599"/>
      <c r="B373" s="599"/>
      <c r="C373" s="595"/>
      <c r="D373" s="599"/>
      <c r="E373" s="599"/>
      <c r="F373" s="599"/>
      <c r="G373" s="599"/>
      <c r="H373" s="599"/>
      <c r="I373" s="599"/>
      <c r="J373" s="593"/>
      <c r="K373" s="599"/>
      <c r="L373" s="599"/>
      <c r="M373" s="599"/>
      <c r="N373" s="599"/>
      <c r="O373" s="599"/>
      <c r="P373" s="599"/>
      <c r="Q373" s="599"/>
      <c r="R373" s="599"/>
    </row>
    <row r="374" spans="1:18" outlineLevel="1" x14ac:dyDescent="0.2">
      <c r="A374" s="599"/>
      <c r="B374" s="599"/>
      <c r="C374" s="572" t="s">
        <v>913</v>
      </c>
      <c r="D374" s="599"/>
      <c r="E374" s="599"/>
      <c r="F374" s="599"/>
      <c r="G374" s="770" t="str">
        <f>IF(D376=INDEX(EPISource,4),MsgNote &amp; VLOOKUP("PrevInc",WarningMessages,2,FALSE),"")</f>
        <v/>
      </c>
      <c r="H374" s="770"/>
      <c r="I374" s="770"/>
      <c r="J374" s="593"/>
      <c r="K374" s="599"/>
      <c r="L374" s="599"/>
      <c r="M374" s="599"/>
      <c r="N374" s="599"/>
      <c r="O374" s="599"/>
      <c r="P374" s="599"/>
      <c r="Q374" s="599"/>
      <c r="R374" s="670" t="str">
        <f ca="1">IF(ISERROR($M397)=TRUE,MsgError &amp; VLOOKUP("BadPop",ErrorMessages,2,FALSE),"")</f>
        <v/>
      </c>
    </row>
    <row r="375" spans="1:18" outlineLevel="1" x14ac:dyDescent="0.2">
      <c r="A375" s="599"/>
      <c r="B375" s="599"/>
      <c r="C375" s="595"/>
      <c r="D375" s="599"/>
      <c r="E375" s="599"/>
      <c r="F375" s="599"/>
      <c r="G375" s="599"/>
      <c r="H375" s="599"/>
      <c r="I375" s="599"/>
      <c r="J375" s="593"/>
      <c r="K375" s="599"/>
      <c r="L375" s="599"/>
      <c r="M375" s="599"/>
      <c r="N375" s="599"/>
      <c r="O375" s="599"/>
      <c r="P375" s="599"/>
      <c r="Q375" s="599"/>
      <c r="R375" s="577" t="s">
        <v>470</v>
      </c>
    </row>
    <row r="376" spans="1:18" outlineLevel="1" x14ac:dyDescent="0.2">
      <c r="A376" s="599"/>
      <c r="B376" s="599"/>
      <c r="C376" s="578" t="s">
        <v>131</v>
      </c>
      <c r="D376" s="605"/>
      <c r="E376" s="594"/>
      <c r="F376" s="774"/>
      <c r="G376" s="775"/>
      <c r="H376" s="775"/>
      <c r="I376" s="775"/>
      <c r="J376" s="593"/>
      <c r="K376" s="599"/>
      <c r="L376" s="599"/>
      <c r="M376" s="599"/>
      <c r="N376" s="599"/>
      <c r="O376" s="599"/>
      <c r="P376" s="599"/>
      <c r="Q376" s="599"/>
      <c r="R376" s="606"/>
    </row>
    <row r="377" spans="1:18" outlineLevel="1" x14ac:dyDescent="0.2">
      <c r="A377" s="599"/>
      <c r="B377" s="599"/>
      <c r="C377" s="595"/>
      <c r="D377" s="600">
        <v>1</v>
      </c>
      <c r="E377" s="600">
        <v>2</v>
      </c>
      <c r="F377" s="600">
        <v>3</v>
      </c>
      <c r="G377" s="600">
        <v>4</v>
      </c>
      <c r="H377" s="600">
        <v>5</v>
      </c>
      <c r="I377" s="600">
        <v>6</v>
      </c>
      <c r="J377" s="593"/>
      <c r="K377" s="599"/>
      <c r="L377" s="599"/>
      <c r="M377" s="599"/>
      <c r="N377" s="599"/>
      <c r="O377" s="599"/>
      <c r="P377" s="599"/>
      <c r="Q377" s="599"/>
      <c r="R377" s="599"/>
    </row>
    <row r="378" spans="1:18" ht="15" customHeight="1" outlineLevel="1" x14ac:dyDescent="0.2">
      <c r="A378" s="599"/>
      <c r="B378" s="599"/>
      <c r="C378" s="595"/>
      <c r="D378" s="776" t="s">
        <v>11</v>
      </c>
      <c r="E378" s="776"/>
      <c r="F378" s="776"/>
      <c r="G378" s="776"/>
      <c r="H378" s="776"/>
      <c r="I378" s="776"/>
      <c r="J378" s="593"/>
      <c r="K378" s="599"/>
      <c r="L378" s="599"/>
      <c r="M378" s="599"/>
      <c r="N378" s="599"/>
      <c r="O378" s="599"/>
      <c r="P378" s="599"/>
      <c r="Q378" s="599"/>
      <c r="R378" s="599"/>
    </row>
    <row r="379" spans="1:18" outlineLevel="1" x14ac:dyDescent="0.2">
      <c r="A379" s="599"/>
      <c r="B379" s="599"/>
      <c r="C379" s="573"/>
      <c r="D379" s="588">
        <f>FirstYear</f>
        <v>0</v>
      </c>
      <c r="E379" s="588">
        <f>D379+1</f>
        <v>1</v>
      </c>
      <c r="F379" s="588">
        <f>E379+1</f>
        <v>2</v>
      </c>
      <c r="G379" s="588">
        <f>F379+1</f>
        <v>3</v>
      </c>
      <c r="H379" s="588">
        <f>G379+1</f>
        <v>4</v>
      </c>
      <c r="I379" s="588">
        <f>H379+1</f>
        <v>5</v>
      </c>
      <c r="J379" s="593"/>
      <c r="K379" s="599"/>
      <c r="L379" s="599"/>
      <c r="M379" s="599"/>
      <c r="N379" s="599"/>
      <c r="O379" s="599"/>
      <c r="P379" s="599"/>
      <c r="Q379" s="599"/>
      <c r="R379" s="599"/>
    </row>
    <row r="380" spans="1:18" ht="12.75" customHeight="1" outlineLevel="1" x14ac:dyDescent="0.2">
      <c r="A380" s="572"/>
      <c r="B380" s="572"/>
      <c r="C380" s="576" t="s">
        <v>382</v>
      </c>
      <c r="D380" s="596">
        <f t="shared" ref="D380:I380" ca="1" si="84">IF(AND(ISERROR($M397)&lt;&gt;TRUE,$F376&lt;&gt;""),INDEX(PxPopNumbers,$M397,D377),0)</f>
        <v>0</v>
      </c>
      <c r="E380" s="596">
        <f t="shared" ca="1" si="84"/>
        <v>0</v>
      </c>
      <c r="F380" s="596">
        <f t="shared" ca="1" si="84"/>
        <v>0</v>
      </c>
      <c r="G380" s="596">
        <f t="shared" ca="1" si="84"/>
        <v>0</v>
      </c>
      <c r="H380" s="596">
        <f t="shared" ca="1" si="84"/>
        <v>0</v>
      </c>
      <c r="I380" s="596">
        <f t="shared" ca="1" si="84"/>
        <v>0</v>
      </c>
      <c r="J380" s="593"/>
      <c r="K380" s="572"/>
      <c r="L380" s="572"/>
      <c r="M380" s="572"/>
      <c r="N380" s="572"/>
      <c r="O380" s="572"/>
      <c r="P380" s="572"/>
      <c r="Q380" s="595"/>
      <c r="R380" s="572"/>
    </row>
    <row r="381" spans="1:18" ht="12.75" customHeight="1" outlineLevel="1" x14ac:dyDescent="0.2">
      <c r="A381" s="593"/>
      <c r="B381" s="593"/>
      <c r="C381" s="593"/>
      <c r="D381" s="593"/>
      <c r="E381" s="593"/>
      <c r="F381" s="593"/>
      <c r="G381" s="593"/>
      <c r="H381" s="593"/>
      <c r="I381" s="593"/>
      <c r="J381" s="593"/>
      <c r="K381" s="572"/>
      <c r="L381" s="572"/>
      <c r="M381" s="572"/>
      <c r="N381" s="572"/>
      <c r="O381" s="572"/>
      <c r="P381" s="572"/>
      <c r="Q381" s="593"/>
      <c r="R381" s="593"/>
    </row>
    <row r="382" spans="1:18" ht="12.75" customHeight="1" outlineLevel="1" x14ac:dyDescent="0.2">
      <c r="A382" s="593"/>
      <c r="B382" s="593"/>
      <c r="C382" s="579" t="s">
        <v>238</v>
      </c>
      <c r="D382" s="593"/>
      <c r="E382" s="593"/>
      <c r="F382" s="593"/>
      <c r="G382" s="593"/>
      <c r="H382" s="593"/>
      <c r="I382" s="593"/>
      <c r="J382" s="593"/>
      <c r="K382" s="572"/>
      <c r="L382" s="572"/>
      <c r="M382" s="593"/>
      <c r="N382" s="593"/>
      <c r="O382" s="593"/>
      <c r="P382" s="593"/>
      <c r="Q382" s="593"/>
      <c r="R382" s="577" t="s">
        <v>292</v>
      </c>
    </row>
    <row r="383" spans="1:18" outlineLevel="1" x14ac:dyDescent="0.2">
      <c r="A383" s="572"/>
      <c r="B383" s="572"/>
      <c r="C383" s="589"/>
      <c r="D383" s="610"/>
      <c r="E383" s="610"/>
      <c r="F383" s="610"/>
      <c r="G383" s="610"/>
      <c r="H383" s="610"/>
      <c r="I383" s="610"/>
      <c r="J383" s="593"/>
      <c r="K383" s="581">
        <f t="shared" ref="K383:K391" si="85">IF(D383="",1,D383)</f>
        <v>1</v>
      </c>
      <c r="L383" s="581">
        <f t="shared" ref="L383:L392" si="86">IF(E383="",1,E383)</f>
        <v>1</v>
      </c>
      <c r="M383" s="581">
        <f t="shared" ref="M383:M392" si="87">IF(F383="",1,F383)</f>
        <v>1</v>
      </c>
      <c r="N383" s="581">
        <f t="shared" ref="N383:N392" si="88">IF(G383="",1,G383)</f>
        <v>1</v>
      </c>
      <c r="O383" s="581">
        <f t="shared" ref="O383:O392" si="89">IF(H383="",1,H383)</f>
        <v>1</v>
      </c>
      <c r="P383" s="581">
        <f t="shared" ref="P383:P392" si="90">IF(I383="",1,I383)</f>
        <v>1</v>
      </c>
      <c r="Q383" s="572"/>
      <c r="R383" s="589"/>
    </row>
    <row r="384" spans="1:18" outlineLevel="1" x14ac:dyDescent="0.2">
      <c r="A384" s="572"/>
      <c r="B384" s="572"/>
      <c r="C384" s="589"/>
      <c r="D384" s="610"/>
      <c r="E384" s="610"/>
      <c r="F384" s="610"/>
      <c r="G384" s="610"/>
      <c r="H384" s="610"/>
      <c r="I384" s="610"/>
      <c r="J384" s="593"/>
      <c r="K384" s="581">
        <f t="shared" si="85"/>
        <v>1</v>
      </c>
      <c r="L384" s="581">
        <f t="shared" si="86"/>
        <v>1</v>
      </c>
      <c r="M384" s="581">
        <f t="shared" si="87"/>
        <v>1</v>
      </c>
      <c r="N384" s="581">
        <f t="shared" si="88"/>
        <v>1</v>
      </c>
      <c r="O384" s="581">
        <f t="shared" si="89"/>
        <v>1</v>
      </c>
      <c r="P384" s="581">
        <f t="shared" si="90"/>
        <v>1</v>
      </c>
      <c r="Q384" s="572"/>
      <c r="R384" s="589"/>
    </row>
    <row r="385" spans="1:18" outlineLevel="1" x14ac:dyDescent="0.2">
      <c r="A385" s="572"/>
      <c r="B385" s="572"/>
      <c r="C385" s="589"/>
      <c r="D385" s="610"/>
      <c r="E385" s="610"/>
      <c r="F385" s="610"/>
      <c r="G385" s="610"/>
      <c r="H385" s="610"/>
      <c r="I385" s="610"/>
      <c r="J385" s="593"/>
      <c r="K385" s="581">
        <f t="shared" si="85"/>
        <v>1</v>
      </c>
      <c r="L385" s="581">
        <f t="shared" si="86"/>
        <v>1</v>
      </c>
      <c r="M385" s="581">
        <f t="shared" si="87"/>
        <v>1</v>
      </c>
      <c r="N385" s="581">
        <f t="shared" si="88"/>
        <v>1</v>
      </c>
      <c r="O385" s="581">
        <f t="shared" si="89"/>
        <v>1</v>
      </c>
      <c r="P385" s="581">
        <f t="shared" si="90"/>
        <v>1</v>
      </c>
      <c r="Q385" s="572"/>
      <c r="R385" s="589"/>
    </row>
    <row r="386" spans="1:18" outlineLevel="1" x14ac:dyDescent="0.2">
      <c r="A386" s="572"/>
      <c r="B386" s="572"/>
      <c r="C386" s="589"/>
      <c r="D386" s="610"/>
      <c r="E386" s="610"/>
      <c r="F386" s="610"/>
      <c r="G386" s="610"/>
      <c r="H386" s="610"/>
      <c r="I386" s="610"/>
      <c r="J386" s="593"/>
      <c r="K386" s="581">
        <f t="shared" si="85"/>
        <v>1</v>
      </c>
      <c r="L386" s="581">
        <f t="shared" si="86"/>
        <v>1</v>
      </c>
      <c r="M386" s="581">
        <f t="shared" si="87"/>
        <v>1</v>
      </c>
      <c r="N386" s="581">
        <f t="shared" si="88"/>
        <v>1</v>
      </c>
      <c r="O386" s="581">
        <f t="shared" si="89"/>
        <v>1</v>
      </c>
      <c r="P386" s="581">
        <f t="shared" si="90"/>
        <v>1</v>
      </c>
      <c r="Q386" s="572"/>
      <c r="R386" s="589"/>
    </row>
    <row r="387" spans="1:18" outlineLevel="1" x14ac:dyDescent="0.2">
      <c r="A387" s="572"/>
      <c r="B387" s="572"/>
      <c r="C387" s="589"/>
      <c r="D387" s="610"/>
      <c r="E387" s="610"/>
      <c r="F387" s="610"/>
      <c r="G387" s="610"/>
      <c r="H387" s="610"/>
      <c r="I387" s="610"/>
      <c r="J387" s="593"/>
      <c r="K387" s="581">
        <f t="shared" si="85"/>
        <v>1</v>
      </c>
      <c r="L387" s="581">
        <f t="shared" si="86"/>
        <v>1</v>
      </c>
      <c r="M387" s="581">
        <f t="shared" si="87"/>
        <v>1</v>
      </c>
      <c r="N387" s="581">
        <f t="shared" si="88"/>
        <v>1</v>
      </c>
      <c r="O387" s="581">
        <f t="shared" si="89"/>
        <v>1</v>
      </c>
      <c r="P387" s="581">
        <f t="shared" si="90"/>
        <v>1</v>
      </c>
      <c r="Q387" s="572"/>
      <c r="R387" s="589"/>
    </row>
    <row r="388" spans="1:18" outlineLevel="1" x14ac:dyDescent="0.2">
      <c r="A388" s="572"/>
      <c r="B388" s="572"/>
      <c r="C388" s="589"/>
      <c r="D388" s="610"/>
      <c r="E388" s="610"/>
      <c r="F388" s="610"/>
      <c r="G388" s="610"/>
      <c r="H388" s="610"/>
      <c r="I388" s="610"/>
      <c r="J388" s="593"/>
      <c r="K388" s="581">
        <f t="shared" si="85"/>
        <v>1</v>
      </c>
      <c r="L388" s="581">
        <f t="shared" si="86"/>
        <v>1</v>
      </c>
      <c r="M388" s="581">
        <f t="shared" si="87"/>
        <v>1</v>
      </c>
      <c r="N388" s="581">
        <f t="shared" si="88"/>
        <v>1</v>
      </c>
      <c r="O388" s="581">
        <f t="shared" si="89"/>
        <v>1</v>
      </c>
      <c r="P388" s="581">
        <f t="shared" si="90"/>
        <v>1</v>
      </c>
      <c r="Q388" s="572"/>
      <c r="R388" s="589"/>
    </row>
    <row r="389" spans="1:18" outlineLevel="1" x14ac:dyDescent="0.2">
      <c r="A389" s="572"/>
      <c r="B389" s="572"/>
      <c r="C389" s="589"/>
      <c r="D389" s="610"/>
      <c r="E389" s="610"/>
      <c r="F389" s="610"/>
      <c r="G389" s="610"/>
      <c r="H389" s="610"/>
      <c r="I389" s="610"/>
      <c r="J389" s="593"/>
      <c r="K389" s="581">
        <f t="shared" si="85"/>
        <v>1</v>
      </c>
      <c r="L389" s="581">
        <f t="shared" si="86"/>
        <v>1</v>
      </c>
      <c r="M389" s="581">
        <f t="shared" si="87"/>
        <v>1</v>
      </c>
      <c r="N389" s="581">
        <f t="shared" si="88"/>
        <v>1</v>
      </c>
      <c r="O389" s="581">
        <f t="shared" si="89"/>
        <v>1</v>
      </c>
      <c r="P389" s="581">
        <f t="shared" si="90"/>
        <v>1</v>
      </c>
      <c r="Q389" s="572"/>
      <c r="R389" s="589"/>
    </row>
    <row r="390" spans="1:18" outlineLevel="1" x14ac:dyDescent="0.2">
      <c r="A390" s="572"/>
      <c r="B390" s="572"/>
      <c r="C390" s="589"/>
      <c r="D390" s="610"/>
      <c r="E390" s="610"/>
      <c r="F390" s="610"/>
      <c r="G390" s="610"/>
      <c r="H390" s="610"/>
      <c r="I390" s="610"/>
      <c r="J390" s="593"/>
      <c r="K390" s="581">
        <f t="shared" si="85"/>
        <v>1</v>
      </c>
      <c r="L390" s="581">
        <f t="shared" si="86"/>
        <v>1</v>
      </c>
      <c r="M390" s="581">
        <f t="shared" si="87"/>
        <v>1</v>
      </c>
      <c r="N390" s="581">
        <f t="shared" si="88"/>
        <v>1</v>
      </c>
      <c r="O390" s="581">
        <f t="shared" si="89"/>
        <v>1</v>
      </c>
      <c r="P390" s="581">
        <f t="shared" si="90"/>
        <v>1</v>
      </c>
      <c r="Q390" s="572"/>
      <c r="R390" s="589"/>
    </row>
    <row r="391" spans="1:18" outlineLevel="1" x14ac:dyDescent="0.2">
      <c r="A391" s="572"/>
      <c r="B391" s="572"/>
      <c r="C391" s="589"/>
      <c r="D391" s="610"/>
      <c r="E391" s="610"/>
      <c r="F391" s="610"/>
      <c r="G391" s="610"/>
      <c r="H391" s="610"/>
      <c r="I391" s="610"/>
      <c r="J391" s="593"/>
      <c r="K391" s="581">
        <f t="shared" si="85"/>
        <v>1</v>
      </c>
      <c r="L391" s="581">
        <f t="shared" si="86"/>
        <v>1</v>
      </c>
      <c r="M391" s="581">
        <f t="shared" si="87"/>
        <v>1</v>
      </c>
      <c r="N391" s="581">
        <f t="shared" si="88"/>
        <v>1</v>
      </c>
      <c r="O391" s="581">
        <f t="shared" si="89"/>
        <v>1</v>
      </c>
      <c r="P391" s="581">
        <f t="shared" si="90"/>
        <v>1</v>
      </c>
      <c r="Q391" s="572"/>
      <c r="R391" s="589"/>
    </row>
    <row r="392" spans="1:18" outlineLevel="1" x14ac:dyDescent="0.2">
      <c r="A392" s="572"/>
      <c r="B392" s="572"/>
      <c r="C392" s="589"/>
      <c r="D392" s="610"/>
      <c r="E392" s="610"/>
      <c r="F392" s="610"/>
      <c r="G392" s="610"/>
      <c r="H392" s="610"/>
      <c r="I392" s="610"/>
      <c r="J392" s="593"/>
      <c r="K392" s="581">
        <f>IF(D392="",1,D392)</f>
        <v>1</v>
      </c>
      <c r="L392" s="581">
        <f t="shared" si="86"/>
        <v>1</v>
      </c>
      <c r="M392" s="581">
        <f t="shared" si="87"/>
        <v>1</v>
      </c>
      <c r="N392" s="581">
        <f t="shared" si="88"/>
        <v>1</v>
      </c>
      <c r="O392" s="581">
        <f t="shared" si="89"/>
        <v>1</v>
      </c>
      <c r="P392" s="581">
        <f t="shared" si="90"/>
        <v>1</v>
      </c>
      <c r="Q392" s="572"/>
      <c r="R392" s="589"/>
    </row>
    <row r="393" spans="1:18" outlineLevel="1" x14ac:dyDescent="0.2">
      <c r="A393" s="572"/>
      <c r="B393" s="572"/>
      <c r="C393" s="580" t="s">
        <v>246</v>
      </c>
      <c r="D393" s="611">
        <f t="shared" ref="D393:I393" si="91">K383*K384*K385*K386*K392*K387*K388*K389*K390*K391</f>
        <v>1</v>
      </c>
      <c r="E393" s="611">
        <f t="shared" si="91"/>
        <v>1</v>
      </c>
      <c r="F393" s="611">
        <f t="shared" si="91"/>
        <v>1</v>
      </c>
      <c r="G393" s="611">
        <f t="shared" si="91"/>
        <v>1</v>
      </c>
      <c r="H393" s="611">
        <f t="shared" si="91"/>
        <v>1</v>
      </c>
      <c r="I393" s="611">
        <f t="shared" si="91"/>
        <v>1</v>
      </c>
      <c r="J393" s="593"/>
      <c r="K393" s="572"/>
      <c r="L393" s="572"/>
      <c r="M393" s="597"/>
      <c r="N393" s="572"/>
      <c r="O393" s="572"/>
      <c r="P393" s="572"/>
      <c r="Q393" s="572"/>
      <c r="R393" s="572"/>
    </row>
    <row r="394" spans="1:18" outlineLevel="1" x14ac:dyDescent="0.2">
      <c r="A394" s="597"/>
      <c r="B394" s="597"/>
      <c r="C394" s="574" t="s">
        <v>108</v>
      </c>
      <c r="D394" s="607">
        <f t="shared" ref="D394:I394" ca="1" si="92">IF(ISNUMBER(D380),D380*D393,"")</f>
        <v>0</v>
      </c>
      <c r="E394" s="607">
        <f t="shared" ca="1" si="92"/>
        <v>0</v>
      </c>
      <c r="F394" s="607">
        <f t="shared" ca="1" si="92"/>
        <v>0</v>
      </c>
      <c r="G394" s="607">
        <f t="shared" ca="1" si="92"/>
        <v>0</v>
      </c>
      <c r="H394" s="607">
        <f t="shared" ca="1" si="92"/>
        <v>0</v>
      </c>
      <c r="I394" s="607">
        <f t="shared" ca="1" si="92"/>
        <v>0</v>
      </c>
      <c r="J394" s="593"/>
      <c r="K394" s="597"/>
      <c r="L394" s="572"/>
      <c r="M394" s="572"/>
      <c r="N394" s="572"/>
      <c r="O394" s="572"/>
      <c r="P394" s="572"/>
      <c r="Q394" s="572"/>
      <c r="R394" s="572"/>
    </row>
    <row r="395" spans="1:18" outlineLevel="1" x14ac:dyDescent="0.2">
      <c r="A395" s="593"/>
      <c r="B395" s="593"/>
      <c r="C395" s="593"/>
      <c r="D395" s="593"/>
      <c r="E395" s="593"/>
      <c r="F395" s="593"/>
      <c r="G395" s="593"/>
      <c r="H395" s="593"/>
      <c r="I395" s="593"/>
      <c r="J395" s="593"/>
      <c r="K395" s="593"/>
      <c r="L395" s="593"/>
      <c r="M395" s="593"/>
      <c r="N395" s="593"/>
      <c r="O395" s="575"/>
      <c r="P395" s="575"/>
      <c r="Q395" s="593"/>
      <c r="R395" s="593"/>
    </row>
    <row r="396" spans="1:18" outlineLevel="1" x14ac:dyDescent="0.2">
      <c r="A396" s="593"/>
      <c r="B396" s="593"/>
      <c r="C396" s="585" t="str">
        <f>TxPhase1Tx</f>
        <v/>
      </c>
      <c r="D396" s="591"/>
      <c r="E396" s="572"/>
      <c r="F396" s="572"/>
      <c r="G396" s="593"/>
      <c r="H396" s="593"/>
      <c r="I396" s="593"/>
      <c r="J396" s="593"/>
      <c r="K396" s="604" t="s">
        <v>292</v>
      </c>
      <c r="L396" s="604" t="s">
        <v>52</v>
      </c>
      <c r="M396" s="604" t="s">
        <v>381</v>
      </c>
      <c r="N396" s="593"/>
      <c r="O396" s="571"/>
      <c r="P396" s="575"/>
      <c r="Q396" s="593"/>
      <c r="R396" s="577" t="s">
        <v>292</v>
      </c>
    </row>
    <row r="397" spans="1:18" outlineLevel="1" x14ac:dyDescent="0.2">
      <c r="A397" s="593"/>
      <c r="B397" s="593"/>
      <c r="C397" s="585" t="s">
        <v>109</v>
      </c>
      <c r="D397" s="584"/>
      <c r="E397" s="584"/>
      <c r="F397" s="584"/>
      <c r="G397" s="584"/>
      <c r="H397" s="584"/>
      <c r="I397" s="584"/>
      <c r="J397" s="593"/>
      <c r="K397" s="598">
        <f>IF(D376&lt;&gt;"",MATCH(D376,EPISource,0)-1,0)</f>
        <v>0</v>
      </c>
      <c r="L397" s="598">
        <f ca="1">IF(F376&lt;&gt;"",MATCH(F376,OFFSET(References!$AB$7,0,K397,PxPopCount),0),0)</f>
        <v>0</v>
      </c>
      <c r="M397" s="598">
        <f ca="1">(K397*PxPopCount)+L397</f>
        <v>0</v>
      </c>
      <c r="N397" s="593"/>
      <c r="O397" s="571"/>
      <c r="P397" s="575"/>
      <c r="Q397" s="593"/>
      <c r="R397" s="582"/>
    </row>
    <row r="398" spans="1:18" outlineLevel="1" x14ac:dyDescent="0.2">
      <c r="A398" s="593"/>
      <c r="B398" s="593"/>
      <c r="C398" s="593"/>
      <c r="D398" s="593"/>
      <c r="E398" s="612"/>
      <c r="F398" s="593"/>
      <c r="G398" s="593"/>
      <c r="H398" s="593"/>
      <c r="I398" s="593"/>
      <c r="J398" s="593"/>
      <c r="K398" s="571"/>
      <c r="L398" s="593"/>
      <c r="M398" s="593"/>
      <c r="N398" s="593"/>
      <c r="O398" s="575"/>
      <c r="P398" s="575"/>
      <c r="Q398" s="593"/>
      <c r="R398" s="593"/>
    </row>
    <row r="399" spans="1:18" outlineLevel="1" x14ac:dyDescent="0.2">
      <c r="A399" s="593"/>
      <c r="B399" s="593"/>
      <c r="C399" s="590" t="str">
        <f>TXPhase2Tx</f>
        <v/>
      </c>
      <c r="D399" s="600"/>
      <c r="E399" s="600"/>
      <c r="F399" s="593"/>
      <c r="G399" s="593"/>
      <c r="H399" s="593"/>
      <c r="I399" s="593"/>
      <c r="J399" s="593"/>
      <c r="K399" s="571"/>
      <c r="L399" s="571"/>
      <c r="M399" s="593"/>
      <c r="N399" s="593"/>
      <c r="O399" s="575"/>
      <c r="P399" s="575"/>
      <c r="Q399" s="593"/>
      <c r="R399" s="577" t="s">
        <v>292</v>
      </c>
    </row>
    <row r="400" spans="1:18" outlineLevel="1" x14ac:dyDescent="0.2">
      <c r="A400" s="593"/>
      <c r="B400" s="593"/>
      <c r="C400" s="590" t="str">
        <f>IF(C399&lt;&gt;"","Patients electing treatment (%)","")</f>
        <v/>
      </c>
      <c r="D400" s="584"/>
      <c r="E400" s="584"/>
      <c r="F400" s="584"/>
      <c r="G400" s="584"/>
      <c r="H400" s="584"/>
      <c r="I400" s="584"/>
      <c r="J400" s="593"/>
      <c r="K400" s="572"/>
      <c r="L400" s="575"/>
      <c r="M400" s="593"/>
      <c r="N400" s="593"/>
      <c r="O400" s="575"/>
      <c r="P400" s="575"/>
      <c r="Q400" s="593"/>
      <c r="R400" s="582"/>
    </row>
    <row r="401" spans="1:18" outlineLevel="1" x14ac:dyDescent="0.2">
      <c r="A401" s="593"/>
      <c r="B401" s="593"/>
      <c r="C401" s="593"/>
      <c r="D401" s="593"/>
      <c r="E401" s="593"/>
      <c r="F401" s="593"/>
      <c r="G401" s="593"/>
      <c r="H401" s="593"/>
      <c r="I401" s="593"/>
      <c r="J401" s="593"/>
      <c r="K401" s="593"/>
      <c r="L401" s="593"/>
      <c r="M401" s="593"/>
      <c r="N401" s="593"/>
      <c r="O401" s="575"/>
      <c r="P401" s="575"/>
      <c r="Q401" s="593"/>
      <c r="R401" s="593"/>
    </row>
    <row r="402" spans="1:18" outlineLevel="1" x14ac:dyDescent="0.2">
      <c r="A402" s="572"/>
      <c r="B402" s="572"/>
      <c r="C402" s="585" t="str">
        <f>TxPhase1Px</f>
        <v/>
      </c>
      <c r="D402" s="607">
        <f t="shared" ref="D402:I402" si="93">IF(TxPhase1&lt;&gt;"",D394*D397,0)</f>
        <v>0</v>
      </c>
      <c r="E402" s="607">
        <f t="shared" si="93"/>
        <v>0</v>
      </c>
      <c r="F402" s="607">
        <f t="shared" si="93"/>
        <v>0</v>
      </c>
      <c r="G402" s="607">
        <f t="shared" si="93"/>
        <v>0</v>
      </c>
      <c r="H402" s="607">
        <f t="shared" si="93"/>
        <v>0</v>
      </c>
      <c r="I402" s="607">
        <f t="shared" si="93"/>
        <v>0</v>
      </c>
      <c r="J402" s="598" t="str">
        <f>IF(D405&lt;&gt;"",D405,"")</f>
        <v/>
      </c>
      <c r="K402" s="599"/>
      <c r="L402" s="599"/>
      <c r="M402" s="599"/>
      <c r="N402" s="599"/>
      <c r="O402" s="575"/>
      <c r="P402" s="575"/>
      <c r="Q402" s="572"/>
      <c r="R402" s="572"/>
    </row>
    <row r="403" spans="1:18" outlineLevel="1" x14ac:dyDescent="0.2">
      <c r="A403" s="572"/>
      <c r="B403" s="572"/>
      <c r="C403" s="585" t="str">
        <f>TxPhase2Px</f>
        <v/>
      </c>
      <c r="D403" s="607">
        <f t="shared" ref="D403:I403" si="94">IF(TxPhase2&lt;&gt;"",D394*D400,0)</f>
        <v>0</v>
      </c>
      <c r="E403" s="607">
        <f t="shared" si="94"/>
        <v>0</v>
      </c>
      <c r="F403" s="607">
        <f t="shared" si="94"/>
        <v>0</v>
      </c>
      <c r="G403" s="607">
        <f t="shared" si="94"/>
        <v>0</v>
      </c>
      <c r="H403" s="607">
        <f t="shared" si="94"/>
        <v>0</v>
      </c>
      <c r="I403" s="607">
        <f t="shared" si="94"/>
        <v>0</v>
      </c>
      <c r="J403" s="598" t="str">
        <f>IF(D405&lt;&gt;"",D405,"")</f>
        <v/>
      </c>
      <c r="K403" s="572"/>
      <c r="L403" s="572"/>
      <c r="M403" s="597"/>
      <c r="N403" s="572"/>
      <c r="O403" s="575"/>
      <c r="P403" s="575"/>
      <c r="Q403" s="572"/>
      <c r="R403" s="572"/>
    </row>
    <row r="404" spans="1:18" s="570" customFormat="1" outlineLevel="1" x14ac:dyDescent="0.2">
      <c r="A404" s="572"/>
      <c r="B404" s="572"/>
      <c r="C404" s="572"/>
      <c r="D404" s="572"/>
      <c r="E404" s="572"/>
      <c r="F404" s="572"/>
      <c r="G404" s="572"/>
      <c r="H404" s="572"/>
      <c r="I404" s="572"/>
      <c r="J404" s="593"/>
      <c r="K404" s="572"/>
      <c r="L404" s="572"/>
      <c r="M404" s="572"/>
      <c r="N404" s="572"/>
      <c r="O404" s="602"/>
      <c r="P404" s="601"/>
      <c r="Q404" s="572"/>
      <c r="R404" s="572"/>
    </row>
    <row r="405" spans="1:18" s="570" customFormat="1" outlineLevel="1" x14ac:dyDescent="0.2">
      <c r="A405" s="572"/>
      <c r="B405" s="572"/>
      <c r="C405" s="122" t="s">
        <v>817</v>
      </c>
      <c r="D405" s="375"/>
      <c r="E405" s="572"/>
      <c r="F405" s="572"/>
      <c r="G405" s="572"/>
      <c r="H405" s="572"/>
      <c r="I405" s="572"/>
      <c r="J405" s="593"/>
      <c r="K405" s="572"/>
      <c r="L405" s="572"/>
      <c r="M405" s="572"/>
      <c r="N405" s="572"/>
      <c r="O405" s="602"/>
      <c r="P405" s="601"/>
      <c r="Q405" s="572"/>
      <c r="R405" s="572"/>
    </row>
    <row r="406" spans="1:18" outlineLevel="1" x14ac:dyDescent="0.2">
      <c r="A406" s="572"/>
      <c r="B406" s="572"/>
      <c r="C406" s="572"/>
      <c r="D406" s="572"/>
      <c r="E406" s="572"/>
      <c r="F406" s="572"/>
      <c r="G406" s="572"/>
      <c r="H406" s="572"/>
      <c r="I406" s="572"/>
      <c r="J406" s="593"/>
      <c r="K406" s="572"/>
      <c r="L406" s="572"/>
      <c r="M406" s="572"/>
      <c r="N406" s="572"/>
      <c r="O406" s="602"/>
      <c r="P406" s="601"/>
      <c r="Q406" s="572"/>
      <c r="R406" s="572"/>
    </row>
    <row r="407" spans="1:18" x14ac:dyDescent="0.2">
      <c r="A407" s="572"/>
      <c r="B407" s="572"/>
      <c r="C407" s="572"/>
      <c r="D407" s="572"/>
      <c r="E407" s="572"/>
      <c r="F407" s="572"/>
      <c r="G407" s="572"/>
      <c r="H407" s="572"/>
      <c r="I407" s="572"/>
      <c r="J407" s="593"/>
      <c r="K407" s="572"/>
      <c r="L407" s="572"/>
      <c r="M407" s="572"/>
      <c r="N407" s="572"/>
      <c r="O407" s="602"/>
      <c r="P407" s="601"/>
      <c r="Q407" s="572"/>
      <c r="R407" s="572"/>
    </row>
    <row r="408" spans="1:18" ht="15.75" x14ac:dyDescent="0.2">
      <c r="A408" s="104"/>
      <c r="B408" s="104"/>
      <c r="C408" s="174" t="s">
        <v>28</v>
      </c>
      <c r="D408" s="177"/>
      <c r="E408" s="177"/>
      <c r="F408" s="177"/>
      <c r="G408" s="177"/>
      <c r="H408" s="177"/>
      <c r="I408" s="177"/>
      <c r="J408" s="172"/>
      <c r="K408" s="104"/>
      <c r="L408" s="104"/>
      <c r="M408" s="104"/>
      <c r="N408" s="104"/>
      <c r="O408" s="104"/>
      <c r="P408" s="104"/>
      <c r="Q408" s="175"/>
      <c r="R408" s="175"/>
    </row>
    <row r="409" spans="1:18" x14ac:dyDescent="0.2">
      <c r="A409" s="6"/>
      <c r="B409" s="6"/>
      <c r="C409" s="6"/>
      <c r="D409" s="6"/>
      <c r="E409" s="6"/>
      <c r="F409" s="6"/>
      <c r="G409" s="6"/>
      <c r="H409" s="6"/>
      <c r="I409" s="6"/>
      <c r="J409" s="172"/>
      <c r="K409" s="6"/>
      <c r="L409" s="6"/>
      <c r="M409" s="6"/>
      <c r="N409" s="6"/>
      <c r="O409" s="6"/>
      <c r="P409" s="6"/>
      <c r="Q409" s="6"/>
      <c r="R409" s="6"/>
    </row>
    <row r="410" spans="1:18" x14ac:dyDescent="0.2">
      <c r="A410" s="6"/>
      <c r="B410" s="6"/>
      <c r="C410" s="6" t="s">
        <v>912</v>
      </c>
      <c r="D410" s="6"/>
      <c r="E410" s="6"/>
      <c r="F410" s="6"/>
      <c r="G410" s="6"/>
      <c r="H410" s="6"/>
      <c r="I410" s="6"/>
      <c r="J410" s="172"/>
      <c r="K410" s="6"/>
      <c r="L410" s="6"/>
      <c r="M410" s="6"/>
      <c r="N410" s="6"/>
      <c r="O410" s="6"/>
      <c r="P410" s="6"/>
      <c r="Q410" s="6"/>
      <c r="R410" s="6"/>
    </row>
    <row r="411" spans="1:18" x14ac:dyDescent="0.2">
      <c r="A411" s="6"/>
      <c r="B411" s="6"/>
      <c r="C411" s="6" t="s">
        <v>252</v>
      </c>
      <c r="D411" s="6"/>
      <c r="E411" s="6"/>
      <c r="F411" s="6"/>
      <c r="G411" s="6"/>
      <c r="H411" s="6"/>
      <c r="I411" s="6"/>
      <c r="J411" s="172"/>
      <c r="K411" s="6"/>
      <c r="L411" s="6"/>
      <c r="M411" s="6"/>
      <c r="N411" s="6"/>
      <c r="O411" s="6"/>
      <c r="P411" s="6"/>
      <c r="Q411" s="6"/>
      <c r="R411" s="6"/>
    </row>
    <row r="412" spans="1:18" x14ac:dyDescent="0.2">
      <c r="A412" s="6"/>
      <c r="B412" s="6"/>
      <c r="C412" s="6"/>
      <c r="D412" s="6"/>
      <c r="E412" s="6"/>
      <c r="F412" s="6"/>
      <c r="G412" s="6"/>
      <c r="H412" s="6"/>
      <c r="I412" s="6"/>
      <c r="J412" s="172"/>
      <c r="K412" s="6"/>
      <c r="L412" s="6"/>
      <c r="M412" s="6"/>
      <c r="N412" s="6"/>
      <c r="O412" s="6"/>
      <c r="P412" s="6"/>
      <c r="Q412" s="6"/>
      <c r="R412" s="6"/>
    </row>
    <row r="413" spans="1:18" x14ac:dyDescent="0.2">
      <c r="A413" s="104"/>
      <c r="B413" s="104"/>
      <c r="C413" s="204" t="s">
        <v>933</v>
      </c>
      <c r="D413" s="177"/>
      <c r="E413" s="177"/>
      <c r="F413" s="177"/>
      <c r="G413" s="177"/>
      <c r="H413" s="177"/>
      <c r="I413" s="177"/>
      <c r="J413" s="172"/>
      <c r="K413" s="104"/>
      <c r="L413" s="104"/>
      <c r="M413" s="104"/>
      <c r="N413" s="104"/>
      <c r="O413" s="104"/>
      <c r="P413" s="104"/>
      <c r="Q413" s="177"/>
      <c r="R413" s="177"/>
    </row>
    <row r="414" spans="1:18" x14ac:dyDescent="0.2">
      <c r="A414" s="220"/>
      <c r="B414" s="220"/>
      <c r="C414" s="497"/>
      <c r="D414" s="220"/>
      <c r="E414" s="220"/>
      <c r="F414" s="220"/>
      <c r="G414" s="220"/>
      <c r="H414" s="220"/>
      <c r="I414" s="220"/>
      <c r="J414" s="172"/>
      <c r="K414" s="220"/>
      <c r="L414" s="220"/>
      <c r="M414" s="220"/>
      <c r="N414" s="220"/>
      <c r="O414" s="220"/>
      <c r="P414" s="220"/>
      <c r="Q414" s="220"/>
      <c r="R414" s="220"/>
    </row>
    <row r="415" spans="1:18" x14ac:dyDescent="0.2">
      <c r="A415" s="220"/>
      <c r="B415" s="220"/>
      <c r="C415" s="497"/>
      <c r="D415" s="220"/>
      <c r="E415" s="220"/>
      <c r="F415" s="220"/>
      <c r="G415" s="220"/>
      <c r="H415" s="220"/>
      <c r="I415" s="220"/>
      <c r="J415" s="172"/>
      <c r="K415" s="220"/>
      <c r="L415" s="220"/>
      <c r="M415" s="220"/>
      <c r="N415" s="220"/>
      <c r="O415" s="220"/>
      <c r="P415" s="220"/>
      <c r="Q415" s="220"/>
      <c r="R415" s="220"/>
    </row>
    <row r="416" spans="1:18" x14ac:dyDescent="0.2">
      <c r="A416" s="104"/>
      <c r="B416" s="104"/>
      <c r="C416" s="204" t="s">
        <v>934</v>
      </c>
      <c r="D416" s="177"/>
      <c r="E416" s="177"/>
      <c r="F416" s="177"/>
      <c r="G416" s="177"/>
      <c r="H416" s="177"/>
      <c r="I416" s="177"/>
      <c r="J416" s="172"/>
      <c r="K416" s="104"/>
      <c r="L416" s="104"/>
      <c r="M416" s="104"/>
      <c r="N416" s="104"/>
      <c r="O416" s="104"/>
      <c r="P416" s="104"/>
      <c r="Q416" s="177"/>
      <c r="R416" s="177"/>
    </row>
    <row r="417" spans="1:18" x14ac:dyDescent="0.2">
      <c r="A417" s="497"/>
      <c r="B417" s="497"/>
      <c r="C417" s="499"/>
      <c r="D417" s="497"/>
      <c r="E417" s="497"/>
      <c r="F417" s="497"/>
      <c r="G417" s="497"/>
      <c r="H417" s="497"/>
      <c r="I417" s="497"/>
      <c r="J417" s="498"/>
      <c r="K417" s="497"/>
      <c r="L417" s="497"/>
      <c r="M417" s="497"/>
      <c r="N417" s="497"/>
      <c r="O417" s="497"/>
      <c r="P417" s="497"/>
      <c r="Q417" s="497"/>
      <c r="R417" s="497"/>
    </row>
    <row r="418" spans="1:18" x14ac:dyDescent="0.2">
      <c r="A418" s="6"/>
      <c r="B418" s="6"/>
      <c r="C418" s="195"/>
      <c r="D418" s="6"/>
      <c r="E418" s="6"/>
      <c r="F418" s="6"/>
      <c r="G418" s="6"/>
      <c r="H418" s="6"/>
      <c r="I418" s="6"/>
      <c r="J418" s="172"/>
      <c r="K418" s="6"/>
      <c r="L418" s="6"/>
      <c r="M418" s="6"/>
      <c r="N418" s="6"/>
      <c r="O418" s="6"/>
      <c r="P418" s="6"/>
      <c r="Q418" s="6"/>
      <c r="R418" s="6"/>
    </row>
    <row r="419" spans="1:18" x14ac:dyDescent="0.2">
      <c r="A419" s="104"/>
      <c r="B419" s="104"/>
      <c r="C419" s="204" t="s">
        <v>935</v>
      </c>
      <c r="D419" s="177"/>
      <c r="E419" s="177"/>
      <c r="F419" s="177"/>
      <c r="G419" s="177"/>
      <c r="H419" s="177"/>
      <c r="I419" s="177"/>
      <c r="J419" s="172"/>
      <c r="K419" s="104"/>
      <c r="L419" s="104"/>
      <c r="M419" s="104"/>
      <c r="N419" s="104"/>
      <c r="O419" s="104"/>
      <c r="P419" s="104"/>
      <c r="Q419" s="177"/>
      <c r="R419" s="177"/>
    </row>
  </sheetData>
  <mergeCells count="32">
    <mergeCell ref="F376:I376"/>
    <mergeCell ref="D378:I378"/>
    <mergeCell ref="H1:I1"/>
    <mergeCell ref="F52:I52"/>
    <mergeCell ref="D198:I198"/>
    <mergeCell ref="F88:I88"/>
    <mergeCell ref="D90:I90"/>
    <mergeCell ref="F124:I124"/>
    <mergeCell ref="D126:I126"/>
    <mergeCell ref="F160:I160"/>
    <mergeCell ref="F196:I196"/>
    <mergeCell ref="G50:I50"/>
    <mergeCell ref="G86:I86"/>
    <mergeCell ref="G122:I122"/>
    <mergeCell ref="G158:I158"/>
    <mergeCell ref="G194:I194"/>
    <mergeCell ref="F7:I7"/>
    <mergeCell ref="G338:I338"/>
    <mergeCell ref="G374:I374"/>
    <mergeCell ref="F304:I304"/>
    <mergeCell ref="F232:I232"/>
    <mergeCell ref="D234:I234"/>
    <mergeCell ref="F268:I268"/>
    <mergeCell ref="D270:I270"/>
    <mergeCell ref="D306:I306"/>
    <mergeCell ref="F340:I340"/>
    <mergeCell ref="D342:I342"/>
    <mergeCell ref="D162:I162"/>
    <mergeCell ref="D54:I54"/>
    <mergeCell ref="G230:I230"/>
    <mergeCell ref="G266:I266"/>
    <mergeCell ref="G302:I302"/>
  </mergeCells>
  <conditionalFormatting sqref="R59:R68 D52 F52 D76:I76 R73 R76 R52 D73:I73 C59:I68 D81 D56:I56">
    <cfRule type="expression" dxfId="1171" priority="239">
      <formula>PxIncident&lt;&gt;1</formula>
    </cfRule>
  </conditionalFormatting>
  <conditionalFormatting sqref="R59 D59:I59">
    <cfRule type="expression" dxfId="1170" priority="253">
      <formula>$C$59=""</formula>
    </cfRule>
  </conditionalFormatting>
  <conditionalFormatting sqref="R60 D60:I60">
    <cfRule type="expression" dxfId="1169" priority="251">
      <formula>$C60=""</formula>
    </cfRule>
  </conditionalFormatting>
  <conditionalFormatting sqref="C15:I15 C43:I43">
    <cfRule type="expression" dxfId="1168" priority="247">
      <formula>$C$43=""</formula>
    </cfRule>
  </conditionalFormatting>
  <conditionalFormatting sqref="R61 D61:I61">
    <cfRule type="expression" dxfId="1167" priority="249">
      <formula>$C61=""</formula>
    </cfRule>
  </conditionalFormatting>
  <conditionalFormatting sqref="R62 D62:I62">
    <cfRule type="expression" dxfId="1166" priority="246">
      <formula>$C62=""</formula>
    </cfRule>
  </conditionalFormatting>
  <conditionalFormatting sqref="R63 D63:I63">
    <cfRule type="expression" dxfId="1165" priority="245">
      <formula>$C63=""</formula>
    </cfRule>
  </conditionalFormatting>
  <conditionalFormatting sqref="R64 D64:I64">
    <cfRule type="expression" dxfId="1164" priority="244">
      <formula>$C64=""</formula>
    </cfRule>
  </conditionalFormatting>
  <conditionalFormatting sqref="D65:I65 R65">
    <cfRule type="expression" dxfId="1163" priority="243">
      <formula>$C65=""</formula>
    </cfRule>
  </conditionalFormatting>
  <conditionalFormatting sqref="D66:I66 R66">
    <cfRule type="expression" dxfId="1162" priority="242">
      <formula>$C66=""</formula>
    </cfRule>
  </conditionalFormatting>
  <conditionalFormatting sqref="D67:I67 R67">
    <cfRule type="expression" dxfId="1161" priority="241">
      <formula>$C67=""</formula>
    </cfRule>
  </conditionalFormatting>
  <conditionalFormatting sqref="D68:I68 R68">
    <cfRule type="expression" dxfId="1160" priority="240">
      <formula>$C68=""</formula>
    </cfRule>
  </conditionalFormatting>
  <conditionalFormatting sqref="D88 F88 R88 C95:I104 R95:R104 D109:I109 R109 D112:I112 R112 D117">
    <cfRule type="expression" dxfId="1159" priority="228">
      <formula>PxIncident&lt;&gt;1</formula>
    </cfRule>
  </conditionalFormatting>
  <conditionalFormatting sqref="R95 D95:I95">
    <cfRule type="expression" dxfId="1158" priority="238">
      <formula>$C95=""</formula>
    </cfRule>
  </conditionalFormatting>
  <conditionalFormatting sqref="R96 D96:I96">
    <cfRule type="expression" dxfId="1157" priority="237">
      <formula>$C96=""</formula>
    </cfRule>
  </conditionalFormatting>
  <conditionalFormatting sqref="R97 D97:I97">
    <cfRule type="expression" dxfId="1156" priority="236">
      <formula>$C97=""</formula>
    </cfRule>
  </conditionalFormatting>
  <conditionalFormatting sqref="R98 D98:I98">
    <cfRule type="expression" dxfId="1155" priority="235">
      <formula>$C98=""</formula>
    </cfRule>
  </conditionalFormatting>
  <conditionalFormatting sqref="R99 D99:I99">
    <cfRule type="expression" dxfId="1154" priority="234">
      <formula>$C99=""</formula>
    </cfRule>
  </conditionalFormatting>
  <conditionalFormatting sqref="R100 D100:I100">
    <cfRule type="expression" dxfId="1153" priority="233">
      <formula>$C100=""</formula>
    </cfRule>
  </conditionalFormatting>
  <conditionalFormatting sqref="D101:I101 R101">
    <cfRule type="expression" dxfId="1152" priority="232">
      <formula>$C101=""</formula>
    </cfRule>
  </conditionalFormatting>
  <conditionalFormatting sqref="D102:I102 R102">
    <cfRule type="expression" dxfId="1151" priority="231">
      <formula>$C102=""</formula>
    </cfRule>
  </conditionalFormatting>
  <conditionalFormatting sqref="D103:I103 R103">
    <cfRule type="expression" dxfId="1150" priority="230">
      <formula>$C103=""</formula>
    </cfRule>
  </conditionalFormatting>
  <conditionalFormatting sqref="D104:I104 R104">
    <cfRule type="expression" dxfId="1149" priority="229">
      <formula>$C104=""</formula>
    </cfRule>
  </conditionalFormatting>
  <conditionalFormatting sqref="R131:R140 D124 F124 R145 D148:I148 R148 R124 C131:I140 D145:I145 D153">
    <cfRule type="expression" dxfId="1148" priority="217">
      <formula>PxIncident&lt;&gt;1</formula>
    </cfRule>
  </conditionalFormatting>
  <conditionalFormatting sqref="R131 D131:I131">
    <cfRule type="expression" dxfId="1147" priority="227">
      <formula>$C131=""</formula>
    </cfRule>
  </conditionalFormatting>
  <conditionalFormatting sqref="R132 D132:I132">
    <cfRule type="expression" dxfId="1146" priority="226">
      <formula>$C132=""</formula>
    </cfRule>
  </conditionalFormatting>
  <conditionalFormatting sqref="R133 D133:I133">
    <cfRule type="expression" dxfId="1145" priority="225">
      <formula>$C133=""</formula>
    </cfRule>
  </conditionalFormatting>
  <conditionalFormatting sqref="R134 D134:I134">
    <cfRule type="expression" dxfId="1144" priority="224">
      <formula>$C134=""</formula>
    </cfRule>
  </conditionalFormatting>
  <conditionalFormatting sqref="R135 D135:I135">
    <cfRule type="expression" dxfId="1143" priority="223">
      <formula>$C135=""</formula>
    </cfRule>
  </conditionalFormatting>
  <conditionalFormatting sqref="R136 D136:I136">
    <cfRule type="expression" dxfId="1142" priority="221">
      <formula>$C136=""</formula>
    </cfRule>
  </conditionalFormatting>
  <conditionalFormatting sqref="D137:I137 R137">
    <cfRule type="expression" dxfId="1141" priority="222">
      <formula>$C137=""</formula>
    </cfRule>
  </conditionalFormatting>
  <conditionalFormatting sqref="D138:I138 R138">
    <cfRule type="expression" dxfId="1140" priority="220">
      <formula>$C138=""</formula>
    </cfRule>
  </conditionalFormatting>
  <conditionalFormatting sqref="D139:I139 R139">
    <cfRule type="expression" dxfId="1139" priority="219">
      <formula>$C139=""</formula>
    </cfRule>
  </conditionalFormatting>
  <conditionalFormatting sqref="D140:I140 R140">
    <cfRule type="expression" dxfId="1138" priority="218">
      <formula>$C140=""</formula>
    </cfRule>
  </conditionalFormatting>
  <conditionalFormatting sqref="R167:R176 D160 F160 R181 D184:I184 R184 R160 C167:I176 D181:I181 D189">
    <cfRule type="expression" dxfId="1137" priority="206">
      <formula>PxIncident&lt;&gt;1</formula>
    </cfRule>
  </conditionalFormatting>
  <conditionalFormatting sqref="R167 D167:I167">
    <cfRule type="expression" dxfId="1136" priority="216">
      <formula>$C167=""</formula>
    </cfRule>
  </conditionalFormatting>
  <conditionalFormatting sqref="R168 D168:I168">
    <cfRule type="expression" dxfId="1135" priority="215">
      <formula>$C168=""</formula>
    </cfRule>
  </conditionalFormatting>
  <conditionalFormatting sqref="R169 D169:I169">
    <cfRule type="expression" dxfId="1134" priority="214">
      <formula>$C169=""</formula>
    </cfRule>
  </conditionalFormatting>
  <conditionalFormatting sqref="R170 D170:I170">
    <cfRule type="expression" dxfId="1133" priority="213">
      <formula>$C170=""</formula>
    </cfRule>
  </conditionalFormatting>
  <conditionalFormatting sqref="R171 D171:I171">
    <cfRule type="expression" dxfId="1132" priority="212">
      <formula>$C171=""</formula>
    </cfRule>
  </conditionalFormatting>
  <conditionalFormatting sqref="R172 D172:I172">
    <cfRule type="expression" dxfId="1131" priority="211">
      <formula>$C172=""</formula>
    </cfRule>
  </conditionalFormatting>
  <conditionalFormatting sqref="D173:I173 R173">
    <cfRule type="expression" dxfId="1130" priority="210">
      <formula>$C173=""</formula>
    </cfRule>
  </conditionalFormatting>
  <conditionalFormatting sqref="D174:I174 R174">
    <cfRule type="expression" dxfId="1129" priority="209">
      <formula>$C174=""</formula>
    </cfRule>
  </conditionalFormatting>
  <conditionalFormatting sqref="D175:I175 R175">
    <cfRule type="expression" dxfId="1128" priority="208">
      <formula>$C175=""</formula>
    </cfRule>
  </conditionalFormatting>
  <conditionalFormatting sqref="D176:I176 R176">
    <cfRule type="expression" dxfId="1127" priority="207">
      <formula>$C176=""</formula>
    </cfRule>
  </conditionalFormatting>
  <conditionalFormatting sqref="R203:R212 C203:I212 D196 F196 D217:I217 R217 D220:I220 R220 R196 D225">
    <cfRule type="expression" dxfId="1126" priority="195">
      <formula>PxIncident&lt;&gt;1</formula>
    </cfRule>
  </conditionalFormatting>
  <conditionalFormatting sqref="D203:I203 R203">
    <cfRule type="expression" dxfId="1125" priority="205">
      <formula>$C203=""</formula>
    </cfRule>
  </conditionalFormatting>
  <conditionalFormatting sqref="D204:I204 R204">
    <cfRule type="expression" dxfId="1124" priority="204">
      <formula>$C204=""</formula>
    </cfRule>
  </conditionalFormatting>
  <conditionalFormatting sqref="D205:I205 R205">
    <cfRule type="expression" dxfId="1123" priority="203">
      <formula>$C205=""</formula>
    </cfRule>
  </conditionalFormatting>
  <conditionalFormatting sqref="D206:I206 R206">
    <cfRule type="expression" dxfId="1122" priority="202">
      <formula>$C206=""</formula>
    </cfRule>
  </conditionalFormatting>
  <conditionalFormatting sqref="D207:I207 R207">
    <cfRule type="expression" dxfId="1121" priority="201">
      <formula>$C207=""</formula>
    </cfRule>
  </conditionalFormatting>
  <conditionalFormatting sqref="D208:I208 R208">
    <cfRule type="expression" dxfId="1120" priority="200">
      <formula>$C208=""</formula>
    </cfRule>
  </conditionalFormatting>
  <conditionalFormatting sqref="D209:I209 R209">
    <cfRule type="expression" dxfId="1119" priority="199">
      <formula>$C209=""</formula>
    </cfRule>
  </conditionalFormatting>
  <conditionalFormatting sqref="D210:I210 R210">
    <cfRule type="expression" dxfId="1118" priority="198">
      <formula>$C210=""</formula>
    </cfRule>
  </conditionalFormatting>
  <conditionalFormatting sqref="D211:I211 R211">
    <cfRule type="expression" dxfId="1117" priority="197">
      <formula>$C211=""</formula>
    </cfRule>
  </conditionalFormatting>
  <conditionalFormatting sqref="D212:I212 R212">
    <cfRule type="expression" dxfId="1116" priority="196">
      <formula>$C212=""</formula>
    </cfRule>
  </conditionalFormatting>
  <conditionalFormatting sqref="C75 C76:I76 R76">
    <cfRule type="expression" dxfId="1115" priority="194">
      <formula>TxPhase2=""</formula>
    </cfRule>
  </conditionalFormatting>
  <conditionalFormatting sqref="C79:I79">
    <cfRule type="expression" dxfId="1114" priority="193">
      <formula>$C$79=""</formula>
    </cfRule>
  </conditionalFormatting>
  <conditionalFormatting sqref="C111:C112 D112:I112 R112">
    <cfRule type="expression" dxfId="1113" priority="192">
      <formula>TxPhase2=""</formula>
    </cfRule>
  </conditionalFormatting>
  <conditionalFormatting sqref="D148:I148 R148 C147:C148">
    <cfRule type="expression" dxfId="1112" priority="190">
      <formula>TxPhase2=""</formula>
    </cfRule>
  </conditionalFormatting>
  <conditionalFormatting sqref="D184:I184 R184 C183:C184">
    <cfRule type="expression" dxfId="1111" priority="188">
      <formula>TxPhase2=""</formula>
    </cfRule>
  </conditionalFormatting>
  <conditionalFormatting sqref="D220:I220 R220 C219:C220">
    <cfRule type="expression" dxfId="1110" priority="186">
      <formula>TxPhase2=""</formula>
    </cfRule>
  </conditionalFormatting>
  <conditionalFormatting sqref="C239:I248 D232 F232 D253:I253 R253 D256:I256 R256 R232 R239:R248 D261">
    <cfRule type="expression" dxfId="1109" priority="183">
      <formula>PxIncident&lt;&gt;1</formula>
    </cfRule>
  </conditionalFormatting>
  <conditionalFormatting sqref="D239:I239 R239">
    <cfRule type="expression" dxfId="1108" priority="182">
      <formula>$C239=""</formula>
    </cfRule>
  </conditionalFormatting>
  <conditionalFormatting sqref="D240:I240 R240">
    <cfRule type="expression" dxfId="1107" priority="181">
      <formula>$C240=""</formula>
    </cfRule>
  </conditionalFormatting>
  <conditionalFormatting sqref="D241:I241 R241">
    <cfRule type="expression" dxfId="1106" priority="180">
      <formula>$C241=""</formula>
    </cfRule>
  </conditionalFormatting>
  <conditionalFormatting sqref="D242:I242 R242">
    <cfRule type="expression" dxfId="1105" priority="179">
      <formula>$C242=""</formula>
    </cfRule>
  </conditionalFormatting>
  <conditionalFormatting sqref="D243:I243 R243">
    <cfRule type="expression" dxfId="1104" priority="178">
      <formula>$C243=""</formula>
    </cfRule>
  </conditionalFormatting>
  <conditionalFormatting sqref="D244:I244 R244">
    <cfRule type="expression" dxfId="1103" priority="177">
      <formula>$C244=""</formula>
    </cfRule>
  </conditionalFormatting>
  <conditionalFormatting sqref="D245:I245 R245">
    <cfRule type="expression" dxfId="1102" priority="176">
      <formula>$C245=""</formula>
    </cfRule>
  </conditionalFormatting>
  <conditionalFormatting sqref="D246:I246 R246">
    <cfRule type="expression" dxfId="1101" priority="175">
      <formula>$C246=""</formula>
    </cfRule>
  </conditionalFormatting>
  <conditionalFormatting sqref="D247:I247 R247">
    <cfRule type="expression" dxfId="1100" priority="174">
      <formula>$C247=""</formula>
    </cfRule>
  </conditionalFormatting>
  <conditionalFormatting sqref="D248:I248 R248">
    <cfRule type="expression" dxfId="1099" priority="173">
      <formula>$C248=""</formula>
    </cfRule>
  </conditionalFormatting>
  <conditionalFormatting sqref="D256:I256 R256 C255:C256">
    <cfRule type="expression" dxfId="1098" priority="172">
      <formula>TxPhase2=""</formula>
    </cfRule>
  </conditionalFormatting>
  <conditionalFormatting sqref="C275:I284 D268 F268 D289:I289 R289 D292:I292 R292 R268 R275:R284 D297">
    <cfRule type="expression" dxfId="1097" priority="169">
      <formula>PxIncident&lt;&gt;1</formula>
    </cfRule>
  </conditionalFormatting>
  <conditionalFormatting sqref="D275:I275 R275">
    <cfRule type="expression" dxfId="1096" priority="168">
      <formula>$C275=""</formula>
    </cfRule>
  </conditionalFormatting>
  <conditionalFormatting sqref="D276:I276 R276">
    <cfRule type="expression" dxfId="1095" priority="167">
      <formula>$C276=""</formula>
    </cfRule>
  </conditionalFormatting>
  <conditionalFormatting sqref="D277:I277 R277">
    <cfRule type="expression" dxfId="1094" priority="166">
      <formula>$C277=""</formula>
    </cfRule>
  </conditionalFormatting>
  <conditionalFormatting sqref="D278:I278 R278">
    <cfRule type="expression" dxfId="1093" priority="165">
      <formula>$C278=""</formula>
    </cfRule>
  </conditionalFormatting>
  <conditionalFormatting sqref="D279:I279 R279">
    <cfRule type="expression" dxfId="1092" priority="164">
      <formula>$C279=""</formula>
    </cfRule>
  </conditionalFormatting>
  <conditionalFormatting sqref="D280:I280 R280">
    <cfRule type="expression" dxfId="1091" priority="163">
      <formula>$C280=""</formula>
    </cfRule>
  </conditionalFormatting>
  <conditionalFormatting sqref="D281:I281 R281">
    <cfRule type="expression" dxfId="1090" priority="162">
      <formula>$C281=""</formula>
    </cfRule>
  </conditionalFormatting>
  <conditionalFormatting sqref="D282:I282 R282">
    <cfRule type="expression" dxfId="1089" priority="161">
      <formula>$C282=""</formula>
    </cfRule>
  </conditionalFormatting>
  <conditionalFormatting sqref="D283:I283 R283">
    <cfRule type="expression" dxfId="1088" priority="160">
      <formula>$C283=""</formula>
    </cfRule>
  </conditionalFormatting>
  <conditionalFormatting sqref="D284:I284 R284">
    <cfRule type="expression" dxfId="1087" priority="159">
      <formula>$C284=""</formula>
    </cfRule>
  </conditionalFormatting>
  <conditionalFormatting sqref="D292:I292 R292 C291:C292">
    <cfRule type="expression" dxfId="1086" priority="158">
      <formula>TxPhase2=""</formula>
    </cfRule>
  </conditionalFormatting>
  <conditionalFormatting sqref="C311:I320 D304 F304 D325:I325 R325 D328:I328 R328 R304 R311:R320 D333">
    <cfRule type="expression" dxfId="1085" priority="155">
      <formula>PxIncident&lt;&gt;1</formula>
    </cfRule>
  </conditionalFormatting>
  <conditionalFormatting sqref="D311:I311 R311">
    <cfRule type="expression" dxfId="1084" priority="154">
      <formula>$C311=""</formula>
    </cfRule>
  </conditionalFormatting>
  <conditionalFormatting sqref="D312:I312 R312">
    <cfRule type="expression" dxfId="1083" priority="153">
      <formula>$C312=""</formula>
    </cfRule>
  </conditionalFormatting>
  <conditionalFormatting sqref="D313:I313 R313">
    <cfRule type="expression" dxfId="1082" priority="152">
      <formula>$C313=""</formula>
    </cfRule>
  </conditionalFormatting>
  <conditionalFormatting sqref="D314:I314 R314">
    <cfRule type="expression" dxfId="1081" priority="151">
      <formula>$C314=""</formula>
    </cfRule>
  </conditionalFormatting>
  <conditionalFormatting sqref="D315:I315 R315">
    <cfRule type="expression" dxfId="1080" priority="150">
      <formula>$C315=""</formula>
    </cfRule>
  </conditionalFormatting>
  <conditionalFormatting sqref="D316:I316 R316">
    <cfRule type="expression" dxfId="1079" priority="149">
      <formula>$C316=""</formula>
    </cfRule>
  </conditionalFormatting>
  <conditionalFormatting sqref="D317:I317 R317">
    <cfRule type="expression" dxfId="1078" priority="148">
      <formula>$C317=""</formula>
    </cfRule>
  </conditionalFormatting>
  <conditionalFormatting sqref="D318:I318 R318">
    <cfRule type="expression" dxfId="1077" priority="147">
      <formula>$C318=""</formula>
    </cfRule>
  </conditionalFormatting>
  <conditionalFormatting sqref="D319:I319 R319">
    <cfRule type="expression" dxfId="1076" priority="146">
      <formula>$C319=""</formula>
    </cfRule>
  </conditionalFormatting>
  <conditionalFormatting sqref="D320:I320 R320">
    <cfRule type="expression" dxfId="1075" priority="145">
      <formula>$C320=""</formula>
    </cfRule>
  </conditionalFormatting>
  <conditionalFormatting sqref="D328:I328 R328 C327:C328">
    <cfRule type="expression" dxfId="1074" priority="144">
      <formula>TxPhase2=""</formula>
    </cfRule>
  </conditionalFormatting>
  <conditionalFormatting sqref="C347:I356 D340 F340 D361:I361 R361 D364:I364 R364 R340 R347:R356 D369">
    <cfRule type="expression" dxfId="1073" priority="141">
      <formula>PxIncident&lt;&gt;1</formula>
    </cfRule>
  </conditionalFormatting>
  <conditionalFormatting sqref="D347:I347 R347">
    <cfRule type="expression" dxfId="1072" priority="140">
      <formula>$C347=""</formula>
    </cfRule>
  </conditionalFormatting>
  <conditionalFormatting sqref="D348:I348 R348">
    <cfRule type="expression" dxfId="1071" priority="139">
      <formula>$C348=""</formula>
    </cfRule>
  </conditionalFormatting>
  <conditionalFormatting sqref="D349:I349 R349">
    <cfRule type="expression" dxfId="1070" priority="138">
      <formula>$C349=""</formula>
    </cfRule>
  </conditionalFormatting>
  <conditionalFormatting sqref="D350:I350 R350">
    <cfRule type="expression" dxfId="1069" priority="137">
      <formula>$C350=""</formula>
    </cfRule>
  </conditionalFormatting>
  <conditionalFormatting sqref="D351:I351 R351">
    <cfRule type="expression" dxfId="1068" priority="136">
      <formula>$C351=""</formula>
    </cfRule>
  </conditionalFormatting>
  <conditionalFormatting sqref="D352:I352 R352">
    <cfRule type="expression" dxfId="1067" priority="135">
      <formula>$C352=""</formula>
    </cfRule>
  </conditionalFormatting>
  <conditionalFormatting sqref="D353:I353 R353">
    <cfRule type="expression" dxfId="1066" priority="134">
      <formula>$C353=""</formula>
    </cfRule>
  </conditionalFormatting>
  <conditionalFormatting sqref="D354:I354 R354">
    <cfRule type="expression" dxfId="1065" priority="133">
      <formula>$C354=""</formula>
    </cfRule>
  </conditionalFormatting>
  <conditionalFormatting sqref="D355:I355 R355">
    <cfRule type="expression" dxfId="1064" priority="132">
      <formula>$C355=""</formula>
    </cfRule>
  </conditionalFormatting>
  <conditionalFormatting sqref="D356:I356 R356">
    <cfRule type="expression" dxfId="1063" priority="131">
      <formula>$C356=""</formula>
    </cfRule>
  </conditionalFormatting>
  <conditionalFormatting sqref="D364:I364 R364 C363:C364">
    <cfRule type="expression" dxfId="1062" priority="130">
      <formula>TxPhase2=""</formula>
    </cfRule>
  </conditionalFormatting>
  <conditionalFormatting sqref="C383:I392 D376 F376 D397:I397 R397 D400:I400 R400 R376 R383:R392 D405">
    <cfRule type="expression" dxfId="1061" priority="127">
      <formula>PxIncident&lt;&gt;1</formula>
    </cfRule>
  </conditionalFormatting>
  <conditionalFormatting sqref="D383:I383 R383">
    <cfRule type="expression" dxfId="1060" priority="126">
      <formula>$C383=""</formula>
    </cfRule>
  </conditionalFormatting>
  <conditionalFormatting sqref="D384:I384 R384">
    <cfRule type="expression" dxfId="1059" priority="125">
      <formula>$C384=""</formula>
    </cfRule>
  </conditionalFormatting>
  <conditionalFormatting sqref="D385:I385 R385">
    <cfRule type="expression" dxfId="1058" priority="124">
      <formula>$C385=""</formula>
    </cfRule>
  </conditionalFormatting>
  <conditionalFormatting sqref="D386:I386 R386">
    <cfRule type="expression" dxfId="1057" priority="123">
      <formula>$C386=""</formula>
    </cfRule>
  </conditionalFormatting>
  <conditionalFormatting sqref="D387:I387 R387">
    <cfRule type="expression" dxfId="1056" priority="122">
      <formula>$C387=""</formula>
    </cfRule>
  </conditionalFormatting>
  <conditionalFormatting sqref="D388:I388 R388">
    <cfRule type="expression" dxfId="1055" priority="121">
      <formula>$C388=""</formula>
    </cfRule>
  </conditionalFormatting>
  <conditionalFormatting sqref="D389:I389 R389">
    <cfRule type="expression" dxfId="1054" priority="120">
      <formula>$C389=""</formula>
    </cfRule>
  </conditionalFormatting>
  <conditionalFormatting sqref="D390:I390 R390">
    <cfRule type="expression" dxfId="1053" priority="119">
      <formula>$C390=""</formula>
    </cfRule>
  </conditionalFormatting>
  <conditionalFormatting sqref="D391:I391 R391">
    <cfRule type="expression" dxfId="1052" priority="118">
      <formula>$C391=""</formula>
    </cfRule>
  </conditionalFormatting>
  <conditionalFormatting sqref="D392:I392 R392">
    <cfRule type="expression" dxfId="1051" priority="117">
      <formula>$C392=""</formula>
    </cfRule>
  </conditionalFormatting>
  <conditionalFormatting sqref="D400:I400 R400 C399:C400">
    <cfRule type="expression" dxfId="1050" priority="116">
      <formula>TxPhase2=""</formula>
    </cfRule>
  </conditionalFormatting>
  <conditionalFormatting sqref="R52">
    <cfRule type="expression" dxfId="1049" priority="114">
      <formula>F52=""</formula>
    </cfRule>
  </conditionalFormatting>
  <conditionalFormatting sqref="R88">
    <cfRule type="expression" dxfId="1048" priority="112">
      <formula>F88=""</formula>
    </cfRule>
  </conditionalFormatting>
  <conditionalFormatting sqref="R124">
    <cfRule type="expression" dxfId="1047" priority="109">
      <formula>PxIncident&lt;&gt;1</formula>
    </cfRule>
  </conditionalFormatting>
  <conditionalFormatting sqref="R124">
    <cfRule type="expression" dxfId="1046" priority="110">
      <formula>F124=""</formula>
    </cfRule>
  </conditionalFormatting>
  <conditionalFormatting sqref="R160">
    <cfRule type="expression" dxfId="1045" priority="107">
      <formula>PxIncident&lt;&gt;1</formula>
    </cfRule>
  </conditionalFormatting>
  <conditionalFormatting sqref="R160">
    <cfRule type="expression" dxfId="1044" priority="108">
      <formula>F160=""</formula>
    </cfRule>
  </conditionalFormatting>
  <conditionalFormatting sqref="R196">
    <cfRule type="expression" dxfId="1043" priority="105">
      <formula>PxIncident&lt;&gt;1</formula>
    </cfRule>
  </conditionalFormatting>
  <conditionalFormatting sqref="R196">
    <cfRule type="expression" dxfId="1042" priority="106">
      <formula>F196=""</formula>
    </cfRule>
  </conditionalFormatting>
  <conditionalFormatting sqref="R232">
    <cfRule type="expression" dxfId="1041" priority="103">
      <formula>PxIncident&lt;&gt;1</formula>
    </cfRule>
  </conditionalFormatting>
  <conditionalFormatting sqref="R232">
    <cfRule type="expression" dxfId="1040" priority="104">
      <formula>F232=""</formula>
    </cfRule>
  </conditionalFormatting>
  <conditionalFormatting sqref="R268">
    <cfRule type="expression" dxfId="1039" priority="101">
      <formula>PxIncident&lt;&gt;1</formula>
    </cfRule>
  </conditionalFormatting>
  <conditionalFormatting sqref="R268">
    <cfRule type="expression" dxfId="1038" priority="102">
      <formula>F268=""</formula>
    </cfRule>
  </conditionalFormatting>
  <conditionalFormatting sqref="R304">
    <cfRule type="expression" dxfId="1037" priority="99">
      <formula>PxIncident&lt;&gt;1</formula>
    </cfRule>
  </conditionalFormatting>
  <conditionalFormatting sqref="R304">
    <cfRule type="expression" dxfId="1036" priority="100">
      <formula>F304=""</formula>
    </cfRule>
  </conditionalFormatting>
  <conditionalFormatting sqref="R340">
    <cfRule type="expression" dxfId="1035" priority="97">
      <formula>PxIncident&lt;&gt;1</formula>
    </cfRule>
  </conditionalFormatting>
  <conditionalFormatting sqref="R340">
    <cfRule type="expression" dxfId="1034" priority="98">
      <formula>F340=""</formula>
    </cfRule>
  </conditionalFormatting>
  <conditionalFormatting sqref="R376">
    <cfRule type="expression" dxfId="1033" priority="96">
      <formula>F376=""</formula>
    </cfRule>
  </conditionalFormatting>
  <conditionalFormatting sqref="G50:I50">
    <cfRule type="notContainsBlanks" dxfId="1032" priority="255">
      <formula>LEN(TRIM(G50))&gt;0</formula>
    </cfRule>
  </conditionalFormatting>
  <conditionalFormatting sqref="C111:C112">
    <cfRule type="expression" dxfId="1031" priority="84">
      <formula>TPCont=0</formula>
    </cfRule>
  </conditionalFormatting>
  <conditionalFormatting sqref="C147:C148">
    <cfRule type="expression" dxfId="1030" priority="82">
      <formula>TPCont=0</formula>
    </cfRule>
  </conditionalFormatting>
  <conditionalFormatting sqref="C183:C184">
    <cfRule type="expression" dxfId="1029" priority="80">
      <formula>TPCont=0</formula>
    </cfRule>
  </conditionalFormatting>
  <conditionalFormatting sqref="C219:C220">
    <cfRule type="expression" dxfId="1028" priority="78">
      <formula>TPCont=0</formula>
    </cfRule>
  </conditionalFormatting>
  <conditionalFormatting sqref="C223">
    <cfRule type="expression" dxfId="1027" priority="77">
      <formula>$C$79=""</formula>
    </cfRule>
  </conditionalFormatting>
  <conditionalFormatting sqref="C255:C256">
    <cfRule type="expression" dxfId="1026" priority="76">
      <formula>TPCont=0</formula>
    </cfRule>
  </conditionalFormatting>
  <conditionalFormatting sqref="C291:C292">
    <cfRule type="expression" dxfId="1025" priority="74">
      <formula>TPCont=0</formula>
    </cfRule>
  </conditionalFormatting>
  <conditionalFormatting sqref="C295">
    <cfRule type="expression" dxfId="1024" priority="73">
      <formula>$C$79=""</formula>
    </cfRule>
  </conditionalFormatting>
  <conditionalFormatting sqref="C327:C328">
    <cfRule type="expression" dxfId="1023" priority="72">
      <formula>TPCont=0</formula>
    </cfRule>
  </conditionalFormatting>
  <conditionalFormatting sqref="C363:C364">
    <cfRule type="expression" dxfId="1022" priority="70">
      <formula>TPCont=0</formula>
    </cfRule>
  </conditionalFormatting>
  <conditionalFormatting sqref="C399:C400">
    <cfRule type="expression" dxfId="1021" priority="68">
      <formula>TPCont=0</formula>
    </cfRule>
  </conditionalFormatting>
  <conditionalFormatting sqref="D115:I115">
    <cfRule type="expression" dxfId="1020" priority="66">
      <formula>$C$79=""</formula>
    </cfRule>
  </conditionalFormatting>
  <conditionalFormatting sqref="D151:I151">
    <cfRule type="expression" dxfId="1019" priority="65">
      <formula>$C$79=""</formula>
    </cfRule>
  </conditionalFormatting>
  <conditionalFormatting sqref="D187:I187">
    <cfRule type="expression" dxfId="1018" priority="64">
      <formula>$C$79=""</formula>
    </cfRule>
  </conditionalFormatting>
  <conditionalFormatting sqref="D223:I223">
    <cfRule type="expression" dxfId="1017" priority="63">
      <formula>$C$79=""</formula>
    </cfRule>
  </conditionalFormatting>
  <conditionalFormatting sqref="D259:I259">
    <cfRule type="expression" dxfId="1016" priority="62">
      <formula>$C$79=""</formula>
    </cfRule>
  </conditionalFormatting>
  <conditionalFormatting sqref="D295:I295">
    <cfRule type="expression" dxfId="1015" priority="61">
      <formula>$C$79=""</formula>
    </cfRule>
  </conditionalFormatting>
  <conditionalFormatting sqref="D331:I331">
    <cfRule type="expression" dxfId="1014" priority="60">
      <formula>$C$79=""</formula>
    </cfRule>
  </conditionalFormatting>
  <conditionalFormatting sqref="D367:I367">
    <cfRule type="expression" dxfId="1013" priority="59">
      <formula>$C$79=""</formula>
    </cfRule>
  </conditionalFormatting>
  <conditionalFormatting sqref="D403:I403">
    <cfRule type="expression" dxfId="1012" priority="58">
      <formula>$C$79=""</formula>
    </cfRule>
  </conditionalFormatting>
  <conditionalFormatting sqref="C115">
    <cfRule type="expression" dxfId="1011" priority="57">
      <formula>$C$79=""</formula>
    </cfRule>
  </conditionalFormatting>
  <conditionalFormatting sqref="C403">
    <cfRule type="expression" dxfId="1010" priority="51">
      <formula>$C$79=""</formula>
    </cfRule>
  </conditionalFormatting>
  <conditionalFormatting sqref="C151">
    <cfRule type="expression" dxfId="1009" priority="56">
      <formula>$C$79=""</formula>
    </cfRule>
  </conditionalFormatting>
  <conditionalFormatting sqref="C187">
    <cfRule type="expression" dxfId="1008" priority="55">
      <formula>$C$79=""</formula>
    </cfRule>
  </conditionalFormatting>
  <conditionalFormatting sqref="C259">
    <cfRule type="expression" dxfId="1007" priority="54">
      <formula>$C$79=""</formula>
    </cfRule>
  </conditionalFormatting>
  <conditionalFormatting sqref="C331">
    <cfRule type="expression" dxfId="1006" priority="53">
      <formula>$C$79=""</formula>
    </cfRule>
  </conditionalFormatting>
  <conditionalFormatting sqref="C367">
    <cfRule type="expression" dxfId="1005" priority="52">
      <formula>$C$79=""</formula>
    </cfRule>
  </conditionalFormatting>
  <conditionalFormatting sqref="D31:I37">
    <cfRule type="expression" dxfId="1004" priority="50">
      <formula>$C$43=""</formula>
    </cfRule>
  </conditionalFormatting>
  <conditionalFormatting sqref="F7:I7">
    <cfRule type="notContainsBlanks" dxfId="1003" priority="254">
      <formula>LEN(TRIM(F7))&gt;0</formula>
    </cfRule>
  </conditionalFormatting>
  <conditionalFormatting sqref="G86:I86">
    <cfRule type="notContainsBlanks" dxfId="1002" priority="47">
      <formula>LEN(TRIM(G86))&gt;0</formula>
    </cfRule>
  </conditionalFormatting>
  <conditionalFormatting sqref="G122:I122">
    <cfRule type="notContainsBlanks" dxfId="1001" priority="46">
      <formula>LEN(TRIM(G122))&gt;0</formula>
    </cfRule>
  </conditionalFormatting>
  <conditionalFormatting sqref="G158:I158">
    <cfRule type="notContainsBlanks" dxfId="1000" priority="45">
      <formula>LEN(TRIM(G158))&gt;0</formula>
    </cfRule>
  </conditionalFormatting>
  <conditionalFormatting sqref="G194:I194">
    <cfRule type="notContainsBlanks" dxfId="999" priority="44">
      <formula>LEN(TRIM(G194))&gt;0</formula>
    </cfRule>
  </conditionalFormatting>
  <conditionalFormatting sqref="G230:I230">
    <cfRule type="notContainsBlanks" dxfId="998" priority="43">
      <formula>LEN(TRIM(G230))&gt;0</formula>
    </cfRule>
  </conditionalFormatting>
  <conditionalFormatting sqref="G266:I266">
    <cfRule type="notContainsBlanks" dxfId="997" priority="42">
      <formula>LEN(TRIM(G266))&gt;0</formula>
    </cfRule>
  </conditionalFormatting>
  <conditionalFormatting sqref="G302:I302">
    <cfRule type="notContainsBlanks" dxfId="996" priority="41">
      <formula>LEN(TRIM(G302))&gt;0</formula>
    </cfRule>
  </conditionalFormatting>
  <conditionalFormatting sqref="G338:I338">
    <cfRule type="notContainsBlanks" dxfId="995" priority="40">
      <formula>LEN(TRIM(G338))&gt;0</formula>
    </cfRule>
  </conditionalFormatting>
  <conditionalFormatting sqref="G374:I374">
    <cfRule type="notContainsBlanks" dxfId="994" priority="39">
      <formula>LEN(TRIM(G374))&gt;0</formula>
    </cfRule>
  </conditionalFormatting>
  <conditionalFormatting sqref="R50">
    <cfRule type="notContainsBlanks" dxfId="993" priority="28">
      <formula>LEN(TRIM(R50))&gt;0</formula>
    </cfRule>
  </conditionalFormatting>
  <conditionalFormatting sqref="R86">
    <cfRule type="notContainsBlanks" dxfId="992" priority="27">
      <formula>LEN(TRIM(R86))&gt;0</formula>
    </cfRule>
  </conditionalFormatting>
  <conditionalFormatting sqref="R122">
    <cfRule type="notContainsBlanks" dxfId="991" priority="26">
      <formula>LEN(TRIM(R122))&gt;0</formula>
    </cfRule>
  </conditionalFormatting>
  <conditionalFormatting sqref="R158">
    <cfRule type="notContainsBlanks" dxfId="990" priority="25">
      <formula>LEN(TRIM(R158))&gt;0</formula>
    </cfRule>
  </conditionalFormatting>
  <conditionalFormatting sqref="R194">
    <cfRule type="notContainsBlanks" dxfId="989" priority="24">
      <formula>LEN(TRIM(R194))&gt;0</formula>
    </cfRule>
  </conditionalFormatting>
  <conditionalFormatting sqref="R230">
    <cfRule type="notContainsBlanks" dxfId="988" priority="23">
      <formula>LEN(TRIM(R230))&gt;0</formula>
    </cfRule>
  </conditionalFormatting>
  <conditionalFormatting sqref="R266">
    <cfRule type="notContainsBlanks" dxfId="987" priority="22">
      <formula>LEN(TRIM(R266))&gt;0</formula>
    </cfRule>
  </conditionalFormatting>
  <conditionalFormatting sqref="R302">
    <cfRule type="notContainsBlanks" dxfId="986" priority="21">
      <formula>LEN(TRIM(R302))&gt;0</formula>
    </cfRule>
  </conditionalFormatting>
  <conditionalFormatting sqref="R338">
    <cfRule type="notContainsBlanks" dxfId="985" priority="20">
      <formula>LEN(TRIM(R338))&gt;0</formula>
    </cfRule>
  </conditionalFormatting>
  <conditionalFormatting sqref="R374">
    <cfRule type="notContainsBlanks" dxfId="984" priority="19">
      <formula>LEN(TRIM(R374))&gt;0</formula>
    </cfRule>
  </conditionalFormatting>
  <conditionalFormatting sqref="D92:I92">
    <cfRule type="expression" dxfId="983" priority="9">
      <formula>PxIncident&lt;&gt;1</formula>
    </cfRule>
  </conditionalFormatting>
  <conditionalFormatting sqref="D128:I128">
    <cfRule type="expression" dxfId="982" priority="8">
      <formula>PxIncident&lt;&gt;1</formula>
    </cfRule>
  </conditionalFormatting>
  <conditionalFormatting sqref="D164:I164">
    <cfRule type="expression" dxfId="981" priority="7">
      <formula>PxIncident&lt;&gt;1</formula>
    </cfRule>
  </conditionalFormatting>
  <conditionalFormatting sqref="D200:I200">
    <cfRule type="expression" dxfId="980" priority="6">
      <formula>PxIncident&lt;&gt;1</formula>
    </cfRule>
  </conditionalFormatting>
  <conditionalFormatting sqref="D236:I236">
    <cfRule type="expression" dxfId="979" priority="5">
      <formula>PxIncident&lt;&gt;1</formula>
    </cfRule>
  </conditionalFormatting>
  <conditionalFormatting sqref="D272:I272">
    <cfRule type="expression" dxfId="978" priority="4">
      <formula>PxIncident&lt;&gt;1</formula>
    </cfRule>
  </conditionalFormatting>
  <conditionalFormatting sqref="D308:I308">
    <cfRule type="expression" dxfId="977" priority="3">
      <formula>PxIncident&lt;&gt;1</formula>
    </cfRule>
  </conditionalFormatting>
  <conditionalFormatting sqref="D344:I344">
    <cfRule type="expression" dxfId="976" priority="2">
      <formula>PxIncident&lt;&gt;1</formula>
    </cfRule>
  </conditionalFormatting>
  <conditionalFormatting sqref="D380:I380">
    <cfRule type="expression" dxfId="975" priority="1">
      <formula>PxIncident&lt;&gt;1</formula>
    </cfRule>
  </conditionalFormatting>
  <dataValidations count="12">
    <dataValidation type="list" allowBlank="1" showInputMessage="1" showErrorMessage="1" sqref="F160:I160">
      <formula1>IPops04</formula1>
    </dataValidation>
    <dataValidation type="list" allowBlank="1" showInputMessage="1" showErrorMessage="1" sqref="F124:I124">
      <formula1>IPops03</formula1>
    </dataValidation>
    <dataValidation type="list" allowBlank="1" showInputMessage="1" showErrorMessage="1" sqref="F88:I88">
      <formula1>IPops02</formula1>
    </dataValidation>
    <dataValidation type="list" allowBlank="1" showInputMessage="1" showErrorMessage="1" sqref="D52 D88 D124 D160 D196 D232 D268 D304 D340 D376">
      <formula1>EPISource</formula1>
    </dataValidation>
    <dataValidation type="list" allowBlank="1" showInputMessage="1" showErrorMessage="1" sqref="F196:I196">
      <formula1>IPops05</formula1>
    </dataValidation>
    <dataValidation type="list" allowBlank="1" showInputMessage="1" showErrorMessage="1" sqref="F376:I376">
      <formula1>IPops10</formula1>
    </dataValidation>
    <dataValidation type="list" allowBlank="1" showInputMessage="1" showErrorMessage="1" sqref="F340:I340">
      <formula1>IPops09</formula1>
    </dataValidation>
    <dataValidation type="list" allowBlank="1" showInputMessage="1" showErrorMessage="1" sqref="F304:I304">
      <formula1>IPops08</formula1>
    </dataValidation>
    <dataValidation type="list" allowBlank="1" showInputMessage="1" showErrorMessage="1" sqref="F232:I232">
      <formula1>IPops06</formula1>
    </dataValidation>
    <dataValidation type="list" allowBlank="1" showInputMessage="1" showErrorMessage="1" sqref="F268:I268">
      <formula1>IPops07</formula1>
    </dataValidation>
    <dataValidation type="list" allowBlank="1" showInputMessage="1" showErrorMessage="1" sqref="F52:I52">
      <formula1>IPops01</formula1>
    </dataValidation>
    <dataValidation type="list" allowBlank="1" showInputMessage="1" showErrorMessage="1" sqref="D81:D82 D117 D153 D189 D225 D261 D297 D333 D369 D405">
      <formula1>CoPayBands</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pageSetUpPr fitToPage="1"/>
  </sheetPr>
  <dimension ref="A1:R41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35.7109375" customWidth="1"/>
    <col min="4" max="9" width="15.7109375" customWidth="1"/>
    <col min="10" max="10" width="3.7109375" hidden="1" customWidth="1"/>
    <col min="11" max="16" width="12.7109375" hidden="1" customWidth="1"/>
    <col min="17" max="17" width="3.7109375" customWidth="1"/>
    <col min="18" max="18" width="50.7109375" customWidth="1"/>
    <col min="19" max="22" width="9.140625" customWidth="1"/>
  </cols>
  <sheetData>
    <row r="1" spans="1:18" ht="23.25" x14ac:dyDescent="0.2">
      <c r="A1" s="144">
        <f>IF((SUM(D42:I42)+SUM(D43:I43)&lt;&gt;0),2,0)</f>
        <v>0</v>
      </c>
      <c r="B1" s="144"/>
      <c r="C1" s="167" t="s">
        <v>365</v>
      </c>
      <c r="D1" s="168"/>
      <c r="E1" s="168"/>
      <c r="F1" s="168"/>
      <c r="G1" s="168"/>
      <c r="H1" s="777"/>
      <c r="I1" s="777"/>
      <c r="J1" s="168"/>
      <c r="K1" s="168"/>
      <c r="L1" s="168"/>
      <c r="M1" s="168"/>
      <c r="N1" s="168"/>
      <c r="O1" s="168"/>
      <c r="P1" s="168"/>
      <c r="Q1" s="169"/>
      <c r="R1" s="170" t="str">
        <f>IF(PxPrevalent&lt;&gt;1,MsgNotRequired,"")</f>
        <v>** NOT REQUIRED **</v>
      </c>
    </row>
    <row r="2" spans="1:18" ht="15.75" x14ac:dyDescent="0.2">
      <c r="A2" s="168"/>
      <c r="B2" s="168"/>
      <c r="C2" s="147" t="str">
        <f>CONCATENATE("Name of medicine: ",MedicineBrand)</f>
        <v>Name of medicine:  (®)</v>
      </c>
      <c r="D2" s="168"/>
      <c r="E2" s="168"/>
      <c r="F2" s="168"/>
      <c r="G2" s="168"/>
      <c r="H2" s="168"/>
      <c r="I2" s="168"/>
      <c r="J2" s="168"/>
      <c r="K2" s="168"/>
      <c r="L2" s="168"/>
      <c r="M2" s="168"/>
      <c r="N2" s="168"/>
      <c r="O2" s="168"/>
      <c r="P2" s="168"/>
      <c r="Q2" s="169"/>
      <c r="R2" s="169"/>
    </row>
    <row r="3" spans="1:18" ht="15.75" x14ac:dyDescent="0.2">
      <c r="A3" s="168"/>
      <c r="B3" s="168"/>
      <c r="C3" s="147" t="str">
        <f>CONCATENATE("Indication: ", Indication)</f>
        <v xml:space="preserve">Indication: </v>
      </c>
      <c r="D3" s="168"/>
      <c r="E3" s="168"/>
      <c r="F3" s="168"/>
      <c r="G3" s="168"/>
      <c r="H3" s="168"/>
      <c r="I3" s="168"/>
      <c r="J3" s="168"/>
      <c r="K3" s="168"/>
      <c r="L3" s="168"/>
      <c r="M3" s="168"/>
      <c r="N3" s="168"/>
      <c r="O3" s="168"/>
      <c r="P3" s="168"/>
      <c r="Q3" s="169"/>
      <c r="R3" s="169"/>
    </row>
    <row r="4" spans="1:18" x14ac:dyDescent="0.2">
      <c r="A4" s="171"/>
      <c r="B4" s="171"/>
      <c r="C4" s="171"/>
      <c r="D4" s="6"/>
      <c r="E4" s="6"/>
      <c r="F4" s="6"/>
      <c r="G4" s="6"/>
      <c r="H4" s="6"/>
      <c r="I4" s="6"/>
      <c r="J4" s="172"/>
      <c r="K4" s="171"/>
      <c r="L4" s="171"/>
      <c r="M4" s="171"/>
      <c r="N4" s="171"/>
      <c r="O4" s="171"/>
      <c r="P4" s="171"/>
      <c r="Q4" s="171"/>
      <c r="R4" s="171"/>
    </row>
    <row r="5" spans="1:18" ht="15.75" x14ac:dyDescent="0.2">
      <c r="A5" s="173"/>
      <c r="B5" s="173"/>
      <c r="C5" s="174" t="s">
        <v>2</v>
      </c>
      <c r="D5" s="175"/>
      <c r="E5" s="175"/>
      <c r="F5" s="175"/>
      <c r="G5" s="175"/>
      <c r="H5" s="175"/>
      <c r="I5" s="175"/>
      <c r="J5" s="172"/>
      <c r="K5" s="173"/>
      <c r="L5" s="173"/>
      <c r="M5" s="173"/>
      <c r="N5" s="173"/>
      <c r="O5" s="173"/>
      <c r="P5" s="173"/>
      <c r="Q5" s="175"/>
      <c r="R5" s="175"/>
    </row>
    <row r="6" spans="1:18" x14ac:dyDescent="0.2">
      <c r="A6" s="171"/>
      <c r="B6" s="171"/>
      <c r="C6" s="171"/>
      <c r="D6" s="6"/>
      <c r="E6" s="6"/>
      <c r="F6" s="6"/>
      <c r="G6" s="6"/>
      <c r="H6" s="6"/>
      <c r="I6" s="6"/>
      <c r="J6" s="172"/>
      <c r="K6" s="171"/>
      <c r="L6" s="171"/>
      <c r="M6" s="171"/>
      <c r="N6" s="171"/>
      <c r="O6" s="171"/>
      <c r="P6" s="171"/>
      <c r="Q6" s="171"/>
      <c r="R6" s="171"/>
    </row>
    <row r="7" spans="1:18" x14ac:dyDescent="0.2">
      <c r="A7" s="171"/>
      <c r="B7" s="171"/>
      <c r="C7" s="6" t="s">
        <v>915</v>
      </c>
      <c r="D7" s="6"/>
      <c r="E7" s="6"/>
      <c r="F7" s="770" t="str">
        <f>IF(OR(K17&lt;&gt;0,K28&lt;&gt;0),MsgNote &amp; VLOOKUP("PerRate",WarningMessages,2,FALSE),"")</f>
        <v/>
      </c>
      <c r="G7" s="770"/>
      <c r="H7" s="770"/>
      <c r="I7" s="770"/>
      <c r="J7" s="172"/>
      <c r="K7" s="6"/>
      <c r="L7" s="6"/>
      <c r="M7" s="6"/>
      <c r="N7" s="6"/>
      <c r="O7" s="6"/>
      <c r="P7" s="171"/>
      <c r="Q7" s="171"/>
      <c r="R7" s="171"/>
    </row>
    <row r="8" spans="1:18" x14ac:dyDescent="0.2">
      <c r="A8" s="171"/>
      <c r="B8" s="171"/>
      <c r="C8" s="6"/>
      <c r="D8" s="6"/>
      <c r="E8" s="6"/>
      <c r="F8" s="6"/>
      <c r="G8" s="6"/>
      <c r="H8" s="6"/>
      <c r="I8" s="171"/>
      <c r="J8" s="172"/>
      <c r="K8" s="171"/>
      <c r="L8" s="171"/>
      <c r="M8" s="171"/>
      <c r="N8" s="171"/>
      <c r="O8" s="171"/>
      <c r="P8" s="171"/>
      <c r="Q8" s="171"/>
      <c r="R8" s="171"/>
    </row>
    <row r="9" spans="1:18" ht="15.75" x14ac:dyDescent="0.2">
      <c r="A9" s="176"/>
      <c r="B9" s="176"/>
      <c r="C9" s="174" t="s">
        <v>936</v>
      </c>
      <c r="D9" s="177"/>
      <c r="E9" s="177"/>
      <c r="F9" s="177"/>
      <c r="G9" s="177"/>
      <c r="H9" s="177"/>
      <c r="I9" s="178"/>
      <c r="J9" s="172"/>
      <c r="K9" s="176"/>
      <c r="L9" s="176"/>
      <c r="M9" s="176"/>
      <c r="N9" s="176"/>
      <c r="O9" s="176"/>
      <c r="P9" s="176"/>
      <c r="Q9" s="175"/>
      <c r="R9" s="175"/>
    </row>
    <row r="10" spans="1:18" x14ac:dyDescent="0.2">
      <c r="A10" s="6"/>
      <c r="B10" s="6"/>
      <c r="C10" s="6"/>
      <c r="D10" s="6"/>
      <c r="E10" s="6"/>
      <c r="F10" s="6"/>
      <c r="G10" s="6"/>
      <c r="H10" s="6"/>
      <c r="I10" s="6"/>
      <c r="J10" s="179"/>
      <c r="K10" s="6"/>
      <c r="L10" s="6"/>
      <c r="M10" s="6"/>
      <c r="N10" s="6"/>
      <c r="O10" s="6"/>
      <c r="P10" s="6"/>
      <c r="Q10" s="6"/>
      <c r="R10" s="6"/>
    </row>
    <row r="11" spans="1:18" x14ac:dyDescent="0.2">
      <c r="A11" s="6"/>
      <c r="B11" s="6"/>
      <c r="C11" s="6" t="s">
        <v>360</v>
      </c>
      <c r="D11" s="6"/>
      <c r="E11" s="6"/>
      <c r="F11" s="6"/>
      <c r="G11" s="6"/>
      <c r="H11" s="6"/>
      <c r="I11" s="6"/>
      <c r="J11" s="179"/>
      <c r="K11" s="6"/>
      <c r="L11" s="6"/>
      <c r="M11" s="6"/>
      <c r="N11" s="6"/>
      <c r="O11" s="6"/>
      <c r="P11" s="6"/>
      <c r="Q11" s="6"/>
      <c r="R11" s="6"/>
    </row>
    <row r="12" spans="1:18" x14ac:dyDescent="0.2">
      <c r="A12" s="6"/>
      <c r="B12" s="6"/>
      <c r="C12" s="155"/>
      <c r="D12" s="6"/>
      <c r="E12" s="6"/>
      <c r="F12" s="6"/>
      <c r="G12" s="6"/>
      <c r="H12" s="6"/>
      <c r="I12" s="6"/>
      <c r="J12" s="179"/>
      <c r="K12" s="6"/>
      <c r="L12" s="6"/>
      <c r="M12" s="6"/>
      <c r="N12" s="6"/>
      <c r="O12" s="6"/>
      <c r="P12" s="6"/>
      <c r="Q12" s="6"/>
      <c r="R12" s="6"/>
    </row>
    <row r="13" spans="1:18" x14ac:dyDescent="0.2">
      <c r="A13" s="6"/>
      <c r="B13" s="6"/>
      <c r="C13" s="155"/>
      <c r="D13" s="112">
        <f>FirstYear</f>
        <v>0</v>
      </c>
      <c r="E13" s="112">
        <f>D13+1</f>
        <v>1</v>
      </c>
      <c r="F13" s="112">
        <f>E13+1</f>
        <v>2</v>
      </c>
      <c r="G13" s="112">
        <f>F13+1</f>
        <v>3</v>
      </c>
      <c r="H13" s="112">
        <f>G13+1</f>
        <v>4</v>
      </c>
      <c r="I13" s="112">
        <f>H13+1</f>
        <v>5</v>
      </c>
      <c r="J13" s="179"/>
      <c r="K13" s="6"/>
      <c r="L13" s="6"/>
      <c r="M13" s="180"/>
      <c r="N13" s="6"/>
      <c r="O13" s="6"/>
      <c r="P13" s="6"/>
      <c r="Q13" s="6"/>
      <c r="R13" s="6"/>
    </row>
    <row r="14" spans="1:18" x14ac:dyDescent="0.2">
      <c r="A14" s="6"/>
      <c r="B14" s="6"/>
      <c r="C14" s="80" t="str">
        <f>TxPhase1PxTotal</f>
        <v/>
      </c>
      <c r="D14" s="47">
        <f t="shared" ref="D14:I14" si="0">IF(OR(ScriptSourceCode=1,ScriptSourceCode=3),D78+D114+D150+D186+D222+D258+D294+D330+D366+D402,0)</f>
        <v>0</v>
      </c>
      <c r="E14" s="47">
        <f t="shared" si="0"/>
        <v>0</v>
      </c>
      <c r="F14" s="47">
        <f t="shared" si="0"/>
        <v>0</v>
      </c>
      <c r="G14" s="47">
        <f t="shared" si="0"/>
        <v>0</v>
      </c>
      <c r="H14" s="47">
        <f t="shared" si="0"/>
        <v>0</v>
      </c>
      <c r="I14" s="47">
        <f t="shared" si="0"/>
        <v>0</v>
      </c>
      <c r="J14" s="179"/>
      <c r="K14" s="6"/>
      <c r="L14" s="6"/>
      <c r="M14" s="180"/>
      <c r="N14" s="6"/>
      <c r="O14" s="6"/>
      <c r="P14" s="6"/>
      <c r="Q14" s="6"/>
      <c r="R14" s="6"/>
    </row>
    <row r="15" spans="1:18" x14ac:dyDescent="0.2">
      <c r="A15" s="6"/>
      <c r="B15" s="6"/>
      <c r="C15" s="80" t="str">
        <f>TxPhase2PxTotal</f>
        <v/>
      </c>
      <c r="D15" s="47">
        <f t="shared" ref="D15:I15" si="1">IF(OR(ScriptSourceCode=1,ScriptSourceCode=3),IF(TPAll=0,D79+D115+D151+D187+D223+D259+D295+D331+D367+D403,0),0)</f>
        <v>0</v>
      </c>
      <c r="E15" s="47">
        <f t="shared" si="1"/>
        <v>0</v>
      </c>
      <c r="F15" s="47">
        <f t="shared" si="1"/>
        <v>0</v>
      </c>
      <c r="G15" s="47">
        <f t="shared" si="1"/>
        <v>0</v>
      </c>
      <c r="H15" s="47">
        <f t="shared" si="1"/>
        <v>0</v>
      </c>
      <c r="I15" s="47">
        <f t="shared" si="1"/>
        <v>0</v>
      </c>
      <c r="J15" s="179"/>
      <c r="K15" s="181"/>
      <c r="L15" s="181"/>
      <c r="M15" s="181"/>
      <c r="N15" s="181"/>
      <c r="O15" s="181"/>
      <c r="P15" s="181"/>
      <c r="Q15" s="6"/>
      <c r="R15" s="6"/>
    </row>
    <row r="16" spans="1:18" x14ac:dyDescent="0.2">
      <c r="A16" s="6"/>
      <c r="B16" s="6"/>
      <c r="C16" s="6"/>
      <c r="D16" s="182"/>
      <c r="E16" s="182"/>
      <c r="F16" s="182"/>
      <c r="G16" s="182"/>
      <c r="H16" s="182"/>
      <c r="I16" s="182"/>
      <c r="J16" s="179"/>
      <c r="K16" s="6"/>
      <c r="L16" s="6"/>
      <c r="M16" s="6"/>
      <c r="N16" s="6"/>
      <c r="O16" s="6"/>
      <c r="P16" s="6"/>
      <c r="Q16" s="6"/>
      <c r="R16" s="6"/>
    </row>
    <row r="17" spans="1:18" s="570" customFormat="1" outlineLevel="1" x14ac:dyDescent="0.2">
      <c r="A17" s="572"/>
      <c r="B17" s="572"/>
      <c r="C17" s="590" t="s">
        <v>864</v>
      </c>
      <c r="D17" s="184"/>
      <c r="E17" s="182"/>
      <c r="F17" s="182"/>
      <c r="G17" s="182"/>
      <c r="H17" s="182"/>
      <c r="I17" s="182"/>
      <c r="J17" s="247"/>
      <c r="K17" s="666">
        <f>IF(D17&lt;&gt;"",D17,0)</f>
        <v>0</v>
      </c>
      <c r="L17" s="572"/>
      <c r="M17" s="572"/>
      <c r="N17" s="572"/>
      <c r="O17" s="572"/>
      <c r="P17" s="572"/>
      <c r="Q17" s="572"/>
      <c r="R17" s="572"/>
    </row>
    <row r="18" spans="1:18" s="570" customFormat="1" outlineLevel="1" x14ac:dyDescent="0.2">
      <c r="A18" s="572"/>
      <c r="B18" s="572"/>
      <c r="C18" s="572"/>
      <c r="D18" s="182"/>
      <c r="E18" s="182"/>
      <c r="F18" s="182"/>
      <c r="G18" s="182"/>
      <c r="H18" s="182"/>
      <c r="I18" s="182"/>
      <c r="J18" s="593"/>
      <c r="K18" s="572"/>
      <c r="L18" s="572"/>
      <c r="M18" s="572"/>
      <c r="N18" s="572"/>
      <c r="O18" s="572"/>
      <c r="P18" s="572"/>
      <c r="Q18" s="572"/>
      <c r="R18" s="572"/>
    </row>
    <row r="19" spans="1:18" outlineLevel="1" x14ac:dyDescent="0.2">
      <c r="A19" s="6"/>
      <c r="B19" s="6"/>
      <c r="C19" s="183" t="str">
        <f>C14</f>
        <v/>
      </c>
      <c r="D19" s="182"/>
      <c r="E19" s="182"/>
      <c r="F19" s="182"/>
      <c r="G19" s="182"/>
      <c r="H19" s="182"/>
      <c r="I19" s="182"/>
      <c r="J19" s="179"/>
      <c r="K19" s="6"/>
      <c r="L19" s="6"/>
      <c r="M19" s="6"/>
      <c r="N19" s="6"/>
      <c r="O19" s="6"/>
      <c r="P19" s="6"/>
      <c r="Q19" s="6"/>
      <c r="R19" s="6"/>
    </row>
    <row r="20" spans="1:18" outlineLevel="1" x14ac:dyDescent="0.2">
      <c r="A20" s="6"/>
      <c r="B20" s="6"/>
      <c r="C20" s="122" t="s">
        <v>317</v>
      </c>
      <c r="D20" s="86">
        <f>D14</f>
        <v>0</v>
      </c>
      <c r="E20" s="86">
        <f>D20*$K$17</f>
        <v>0</v>
      </c>
      <c r="F20" s="86">
        <f t="shared" ref="F20:I24" si="2">E20*$K$17</f>
        <v>0</v>
      </c>
      <c r="G20" s="86">
        <f t="shared" si="2"/>
        <v>0</v>
      </c>
      <c r="H20" s="86">
        <f t="shared" si="2"/>
        <v>0</v>
      </c>
      <c r="I20" s="86">
        <f t="shared" si="2"/>
        <v>0</v>
      </c>
      <c r="J20" s="179"/>
      <c r="K20" s="6"/>
      <c r="L20" s="6"/>
      <c r="M20" s="6"/>
      <c r="N20" s="6"/>
      <c r="O20" s="6"/>
      <c r="P20" s="6"/>
      <c r="Q20" s="6"/>
      <c r="R20" s="6"/>
    </row>
    <row r="21" spans="1:18" outlineLevel="1" x14ac:dyDescent="0.2">
      <c r="A21" s="6"/>
      <c r="B21" s="6"/>
      <c r="C21" s="122" t="s">
        <v>318</v>
      </c>
      <c r="D21" s="185"/>
      <c r="E21" s="86">
        <f>E14</f>
        <v>0</v>
      </c>
      <c r="F21" s="86">
        <f t="shared" si="2"/>
        <v>0</v>
      </c>
      <c r="G21" s="86">
        <f t="shared" si="2"/>
        <v>0</v>
      </c>
      <c r="H21" s="86">
        <f t="shared" si="2"/>
        <v>0</v>
      </c>
      <c r="I21" s="86">
        <f t="shared" si="2"/>
        <v>0</v>
      </c>
      <c r="J21" s="179"/>
      <c r="K21" s="6"/>
      <c r="L21" s="6"/>
      <c r="M21" s="6"/>
      <c r="N21" s="6"/>
      <c r="O21" s="6"/>
      <c r="P21" s="6"/>
      <c r="Q21" s="6"/>
      <c r="R21" s="6"/>
    </row>
    <row r="22" spans="1:18" outlineLevel="1" x14ac:dyDescent="0.2">
      <c r="A22" s="6"/>
      <c r="B22" s="6"/>
      <c r="C22" s="122" t="s">
        <v>319</v>
      </c>
      <c r="D22" s="185"/>
      <c r="E22" s="185"/>
      <c r="F22" s="86">
        <f>F14</f>
        <v>0</v>
      </c>
      <c r="G22" s="86">
        <f t="shared" si="2"/>
        <v>0</v>
      </c>
      <c r="H22" s="86">
        <f t="shared" si="2"/>
        <v>0</v>
      </c>
      <c r="I22" s="86">
        <f t="shared" si="2"/>
        <v>0</v>
      </c>
      <c r="J22" s="179"/>
      <c r="K22" s="6"/>
      <c r="L22" s="6"/>
      <c r="M22" s="6"/>
      <c r="N22" s="6"/>
      <c r="O22" s="6"/>
      <c r="P22" s="6"/>
      <c r="Q22" s="6"/>
      <c r="R22" s="6"/>
    </row>
    <row r="23" spans="1:18" outlineLevel="1" x14ac:dyDescent="0.2">
      <c r="A23" s="6"/>
      <c r="B23" s="6"/>
      <c r="C23" s="122" t="s">
        <v>320</v>
      </c>
      <c r="D23" s="185"/>
      <c r="E23" s="185"/>
      <c r="F23" s="185"/>
      <c r="G23" s="86">
        <f>G14</f>
        <v>0</v>
      </c>
      <c r="H23" s="86">
        <f t="shared" si="2"/>
        <v>0</v>
      </c>
      <c r="I23" s="86">
        <f t="shared" si="2"/>
        <v>0</v>
      </c>
      <c r="J23" s="179"/>
      <c r="K23" s="6"/>
      <c r="L23" s="6"/>
      <c r="M23" s="6"/>
      <c r="N23" s="6"/>
      <c r="O23" s="6"/>
      <c r="P23" s="6"/>
      <c r="Q23" s="6"/>
      <c r="R23" s="6"/>
    </row>
    <row r="24" spans="1:18" outlineLevel="1" x14ac:dyDescent="0.2">
      <c r="A24" s="6"/>
      <c r="B24" s="6"/>
      <c r="C24" s="122" t="s">
        <v>321</v>
      </c>
      <c r="D24" s="185"/>
      <c r="E24" s="185"/>
      <c r="F24" s="185"/>
      <c r="G24" s="185"/>
      <c r="H24" s="86">
        <f>H14</f>
        <v>0</v>
      </c>
      <c r="I24" s="86">
        <f t="shared" si="2"/>
        <v>0</v>
      </c>
      <c r="J24" s="179"/>
      <c r="K24" s="6"/>
      <c r="L24" s="6"/>
      <c r="M24" s="6"/>
      <c r="N24" s="6"/>
      <c r="O24" s="6"/>
      <c r="P24" s="6"/>
      <c r="Q24" s="6"/>
      <c r="R24" s="6"/>
    </row>
    <row r="25" spans="1:18" outlineLevel="1" x14ac:dyDescent="0.2">
      <c r="A25" s="6"/>
      <c r="B25" s="6"/>
      <c r="C25" s="122" t="s">
        <v>322</v>
      </c>
      <c r="D25" s="185"/>
      <c r="E25" s="185"/>
      <c r="F25" s="185"/>
      <c r="G25" s="185"/>
      <c r="H25" s="185"/>
      <c r="I25" s="86">
        <f>I14</f>
        <v>0</v>
      </c>
      <c r="J25" s="179"/>
      <c r="K25" s="6"/>
      <c r="L25" s="6"/>
      <c r="M25" s="6"/>
      <c r="N25" s="6"/>
      <c r="O25" s="6"/>
      <c r="P25" s="6"/>
      <c r="Q25" s="6"/>
      <c r="R25" s="6"/>
    </row>
    <row r="26" spans="1:18" outlineLevel="1" x14ac:dyDescent="0.2">
      <c r="A26" s="6"/>
      <c r="B26" s="6"/>
      <c r="C26" s="122" t="s">
        <v>76</v>
      </c>
      <c r="D26" s="186">
        <f t="shared" ref="D26:I26" si="3">SUM(D20:D25)</f>
        <v>0</v>
      </c>
      <c r="E26" s="186">
        <f t="shared" si="3"/>
        <v>0</v>
      </c>
      <c r="F26" s="186">
        <f t="shared" si="3"/>
        <v>0</v>
      </c>
      <c r="G26" s="186">
        <f t="shared" si="3"/>
        <v>0</v>
      </c>
      <c r="H26" s="186">
        <f t="shared" si="3"/>
        <v>0</v>
      </c>
      <c r="I26" s="186">
        <f t="shared" si="3"/>
        <v>0</v>
      </c>
      <c r="J26" s="179"/>
      <c r="K26" s="6"/>
      <c r="L26" s="6"/>
      <c r="M26" s="6"/>
      <c r="N26" s="6"/>
      <c r="O26" s="6"/>
      <c r="P26" s="6"/>
      <c r="Q26" s="6"/>
      <c r="R26" s="6"/>
    </row>
    <row r="27" spans="1:18" x14ac:dyDescent="0.2">
      <c r="A27" s="6"/>
      <c r="B27" s="6"/>
      <c r="C27" s="6"/>
      <c r="D27" s="182"/>
      <c r="E27" s="182"/>
      <c r="F27" s="182"/>
      <c r="G27" s="182"/>
      <c r="H27" s="182"/>
      <c r="I27" s="182"/>
      <c r="J27" s="179"/>
      <c r="K27" s="6"/>
      <c r="L27" s="6"/>
      <c r="M27" s="6"/>
      <c r="N27" s="6"/>
      <c r="O27" s="6"/>
      <c r="P27" s="6"/>
      <c r="Q27" s="6"/>
      <c r="R27" s="6"/>
    </row>
    <row r="28" spans="1:18" s="570" customFormat="1" outlineLevel="1" x14ac:dyDescent="0.2">
      <c r="A28" s="572"/>
      <c r="B28" s="572"/>
      <c r="C28" s="590" t="s">
        <v>864</v>
      </c>
      <c r="D28" s="184"/>
      <c r="E28" s="182"/>
      <c r="F28" s="182"/>
      <c r="G28" s="182"/>
      <c r="H28" s="182"/>
      <c r="I28" s="182"/>
      <c r="J28" s="593"/>
      <c r="K28" s="666">
        <f>IF(D28&lt;&gt;"",D28,0)</f>
        <v>0</v>
      </c>
      <c r="L28" s="572"/>
      <c r="M28" s="572"/>
      <c r="N28" s="572"/>
      <c r="O28" s="572"/>
      <c r="P28" s="572"/>
      <c r="Q28" s="572"/>
      <c r="R28" s="572"/>
    </row>
    <row r="29" spans="1:18" s="570" customFormat="1" outlineLevel="1" x14ac:dyDescent="0.2">
      <c r="A29" s="572"/>
      <c r="B29" s="572"/>
      <c r="C29" s="572"/>
      <c r="D29" s="182"/>
      <c r="E29" s="182"/>
      <c r="F29" s="182"/>
      <c r="G29" s="182"/>
      <c r="H29" s="182"/>
      <c r="I29" s="182"/>
      <c r="J29" s="593"/>
      <c r="K29" s="572"/>
      <c r="L29" s="572"/>
      <c r="M29" s="572"/>
      <c r="N29" s="572"/>
      <c r="O29" s="572"/>
      <c r="P29" s="572"/>
      <c r="Q29" s="572"/>
      <c r="R29" s="572"/>
    </row>
    <row r="30" spans="1:18" outlineLevel="1" x14ac:dyDescent="0.2">
      <c r="A30" s="6"/>
      <c r="B30" s="6"/>
      <c r="C30" s="183" t="str">
        <f>C15</f>
        <v/>
      </c>
      <c r="D30" s="182"/>
      <c r="E30" s="182"/>
      <c r="F30" s="182"/>
      <c r="G30" s="182"/>
      <c r="H30" s="182"/>
      <c r="I30" s="182"/>
      <c r="J30" s="179"/>
      <c r="K30" s="6"/>
      <c r="L30" s="6"/>
      <c r="M30" s="6"/>
      <c r="N30" s="6"/>
      <c r="O30" s="6"/>
      <c r="P30" s="6"/>
      <c r="Q30" s="6"/>
      <c r="R30" s="6"/>
    </row>
    <row r="31" spans="1:18" outlineLevel="1" x14ac:dyDescent="0.2">
      <c r="A31" s="6"/>
      <c r="B31" s="6"/>
      <c r="C31" s="122" t="s">
        <v>317</v>
      </c>
      <c r="D31" s="86">
        <f>D15</f>
        <v>0</v>
      </c>
      <c r="E31" s="86">
        <f>D31*$K$28</f>
        <v>0</v>
      </c>
      <c r="F31" s="86">
        <f t="shared" ref="F31:I33" si="4">E31*$K$28</f>
        <v>0</v>
      </c>
      <c r="G31" s="86">
        <f t="shared" si="4"/>
        <v>0</v>
      </c>
      <c r="H31" s="86">
        <f t="shared" si="4"/>
        <v>0</v>
      </c>
      <c r="I31" s="86">
        <f t="shared" si="4"/>
        <v>0</v>
      </c>
      <c r="J31" s="179"/>
      <c r="K31" s="6"/>
      <c r="L31" s="6"/>
      <c r="M31" s="6"/>
      <c r="N31" s="6"/>
      <c r="O31" s="6"/>
      <c r="P31" s="6"/>
      <c r="Q31" s="6"/>
      <c r="R31" s="6"/>
    </row>
    <row r="32" spans="1:18" outlineLevel="1" x14ac:dyDescent="0.2">
      <c r="A32" s="6"/>
      <c r="B32" s="6"/>
      <c r="C32" s="122" t="s">
        <v>318</v>
      </c>
      <c r="D32" s="185"/>
      <c r="E32" s="86">
        <f>E15</f>
        <v>0</v>
      </c>
      <c r="F32" s="86">
        <f>E32*$K$28</f>
        <v>0</v>
      </c>
      <c r="G32" s="86">
        <f t="shared" si="4"/>
        <v>0</v>
      </c>
      <c r="H32" s="86">
        <f t="shared" si="4"/>
        <v>0</v>
      </c>
      <c r="I32" s="86">
        <f t="shared" si="4"/>
        <v>0</v>
      </c>
      <c r="J32" s="179"/>
      <c r="K32" s="6"/>
      <c r="L32" s="6"/>
      <c r="M32" s="6"/>
      <c r="N32" s="6"/>
      <c r="O32" s="6"/>
      <c r="P32" s="6"/>
      <c r="Q32" s="6"/>
      <c r="R32" s="6"/>
    </row>
    <row r="33" spans="1:18" outlineLevel="1" x14ac:dyDescent="0.2">
      <c r="A33" s="6"/>
      <c r="B33" s="6"/>
      <c r="C33" s="122" t="s">
        <v>319</v>
      </c>
      <c r="D33" s="185"/>
      <c r="E33" s="185"/>
      <c r="F33" s="86">
        <f>F15</f>
        <v>0</v>
      </c>
      <c r="G33" s="86">
        <f>F33*$K$28</f>
        <v>0</v>
      </c>
      <c r="H33" s="86">
        <f t="shared" si="4"/>
        <v>0</v>
      </c>
      <c r="I33" s="86">
        <f t="shared" si="4"/>
        <v>0</v>
      </c>
      <c r="J33" s="179"/>
      <c r="K33" s="6"/>
      <c r="L33" s="6"/>
      <c r="M33" s="6"/>
      <c r="N33" s="6"/>
      <c r="O33" s="6"/>
      <c r="P33" s="6"/>
      <c r="Q33" s="6"/>
      <c r="R33" s="6"/>
    </row>
    <row r="34" spans="1:18" outlineLevel="1" x14ac:dyDescent="0.2">
      <c r="A34" s="6"/>
      <c r="B34" s="6"/>
      <c r="C34" s="122" t="s">
        <v>320</v>
      </c>
      <c r="D34" s="185"/>
      <c r="E34" s="185"/>
      <c r="F34" s="185"/>
      <c r="G34" s="86">
        <f>G15</f>
        <v>0</v>
      </c>
      <c r="H34" s="86">
        <f>G34*$K$28</f>
        <v>0</v>
      </c>
      <c r="I34" s="86">
        <f>H34*$K$28</f>
        <v>0</v>
      </c>
      <c r="J34" s="179"/>
      <c r="K34" s="6"/>
      <c r="L34" s="6"/>
      <c r="M34" s="6"/>
      <c r="N34" s="6"/>
      <c r="O34" s="6"/>
      <c r="P34" s="6"/>
      <c r="Q34" s="6"/>
      <c r="R34" s="6"/>
    </row>
    <row r="35" spans="1:18" outlineLevel="1" x14ac:dyDescent="0.2">
      <c r="A35" s="6"/>
      <c r="B35" s="6"/>
      <c r="C35" s="122" t="s">
        <v>321</v>
      </c>
      <c r="D35" s="185"/>
      <c r="E35" s="185"/>
      <c r="F35" s="185"/>
      <c r="G35" s="185"/>
      <c r="H35" s="86">
        <f>H15</f>
        <v>0</v>
      </c>
      <c r="I35" s="86">
        <f>H35*$K$28</f>
        <v>0</v>
      </c>
      <c r="J35" s="179"/>
      <c r="K35" s="6"/>
      <c r="L35" s="6"/>
      <c r="M35" s="6"/>
      <c r="N35" s="6"/>
      <c r="O35" s="6"/>
      <c r="P35" s="6"/>
      <c r="Q35" s="6"/>
      <c r="R35" s="6"/>
    </row>
    <row r="36" spans="1:18" outlineLevel="1" x14ac:dyDescent="0.2">
      <c r="A36" s="6"/>
      <c r="B36" s="6"/>
      <c r="C36" s="122" t="s">
        <v>322</v>
      </c>
      <c r="D36" s="185"/>
      <c r="E36" s="185"/>
      <c r="F36" s="185"/>
      <c r="G36" s="185"/>
      <c r="H36" s="185"/>
      <c r="I36" s="86">
        <f>I15</f>
        <v>0</v>
      </c>
      <c r="J36" s="179"/>
      <c r="K36" s="6"/>
      <c r="L36" s="6"/>
      <c r="M36" s="6"/>
      <c r="N36" s="6"/>
      <c r="O36" s="6"/>
      <c r="P36" s="6"/>
      <c r="Q36" s="6"/>
      <c r="R36" s="6"/>
    </row>
    <row r="37" spans="1:18" outlineLevel="1" x14ac:dyDescent="0.2">
      <c r="A37" s="6"/>
      <c r="B37" s="6"/>
      <c r="C37" s="122" t="s">
        <v>76</v>
      </c>
      <c r="D37" s="186">
        <f t="shared" ref="D37:I37" si="5">SUM(D31:D36)</f>
        <v>0</v>
      </c>
      <c r="E37" s="186">
        <f t="shared" si="5"/>
        <v>0</v>
      </c>
      <c r="F37" s="186">
        <f t="shared" si="5"/>
        <v>0</v>
      </c>
      <c r="G37" s="186">
        <f t="shared" si="5"/>
        <v>0</v>
      </c>
      <c r="H37" s="186">
        <f t="shared" si="5"/>
        <v>0</v>
      </c>
      <c r="I37" s="186">
        <f t="shared" si="5"/>
        <v>0</v>
      </c>
      <c r="J37" s="179"/>
      <c r="K37" s="6"/>
      <c r="L37" s="6"/>
      <c r="M37" s="6"/>
      <c r="N37" s="6"/>
      <c r="O37" s="6"/>
      <c r="P37" s="6"/>
      <c r="Q37" s="6"/>
      <c r="R37" s="6"/>
    </row>
    <row r="38" spans="1:18" outlineLevel="1" x14ac:dyDescent="0.2">
      <c r="A38" s="6"/>
      <c r="B38" s="6"/>
      <c r="C38" s="6"/>
      <c r="D38" s="182"/>
      <c r="E38" s="182"/>
      <c r="F38" s="182"/>
      <c r="G38" s="182"/>
      <c r="H38" s="182"/>
      <c r="I38" s="182"/>
      <c r="J38" s="179"/>
      <c r="K38" s="6"/>
      <c r="L38" s="6"/>
      <c r="M38" s="6"/>
      <c r="N38" s="6"/>
      <c r="O38" s="6"/>
      <c r="P38" s="6"/>
      <c r="Q38" s="6"/>
      <c r="R38" s="6"/>
    </row>
    <row r="39" spans="1:18" x14ac:dyDescent="0.2">
      <c r="A39" s="6"/>
      <c r="B39" s="6"/>
      <c r="C39" s="6" t="s">
        <v>297</v>
      </c>
      <c r="D39" s="6"/>
      <c r="E39" s="6"/>
      <c r="F39" s="6"/>
      <c r="G39" s="6"/>
      <c r="H39" s="6"/>
      <c r="I39" s="6"/>
      <c r="J39" s="179"/>
      <c r="K39" s="6"/>
      <c r="L39" s="6"/>
      <c r="M39" s="6"/>
      <c r="N39" s="6"/>
      <c r="O39" s="6"/>
      <c r="P39" s="6"/>
      <c r="Q39" s="6"/>
      <c r="R39" s="6"/>
    </row>
    <row r="40" spans="1:18" x14ac:dyDescent="0.2">
      <c r="A40" s="6"/>
      <c r="B40" s="6"/>
      <c r="C40" s="6"/>
      <c r="D40" s="6"/>
      <c r="E40" s="6"/>
      <c r="F40" s="6"/>
      <c r="G40" s="6"/>
      <c r="H40" s="6"/>
      <c r="I40" s="6"/>
      <c r="J40" s="179"/>
      <c r="K40" s="6"/>
      <c r="L40" s="6"/>
      <c r="M40" s="6"/>
      <c r="N40" s="6"/>
      <c r="O40" s="6"/>
      <c r="P40" s="6"/>
      <c r="Q40" s="6"/>
      <c r="R40" s="6"/>
    </row>
    <row r="41" spans="1:18" x14ac:dyDescent="0.2">
      <c r="A41" s="6"/>
      <c r="B41" s="6"/>
      <c r="C41" s="155"/>
      <c r="D41" s="112">
        <f>FirstYear</f>
        <v>0</v>
      </c>
      <c r="E41" s="112">
        <f>D41+1</f>
        <v>1</v>
      </c>
      <c r="F41" s="112">
        <f>E41+1</f>
        <v>2</v>
      </c>
      <c r="G41" s="112">
        <f>F41+1</f>
        <v>3</v>
      </c>
      <c r="H41" s="112">
        <f>G41+1</f>
        <v>4</v>
      </c>
      <c r="I41" s="112">
        <f>H41+1</f>
        <v>5</v>
      </c>
      <c r="J41" s="179"/>
      <c r="K41" s="6"/>
      <c r="L41" s="6"/>
      <c r="M41" s="6"/>
      <c r="N41" s="6"/>
      <c r="O41" s="6"/>
      <c r="P41" s="6"/>
      <c r="Q41" s="6"/>
      <c r="R41" s="6"/>
    </row>
    <row r="42" spans="1:18" x14ac:dyDescent="0.2">
      <c r="A42" s="6"/>
      <c r="B42" s="6"/>
      <c r="C42" s="80" t="str">
        <f>C14</f>
        <v/>
      </c>
      <c r="D42" s="47">
        <f t="shared" ref="D42:I42" si="6">IF(OR(ScriptSourceCode=1,ScriptSourceCode=3),D26,0)</f>
        <v>0</v>
      </c>
      <c r="E42" s="47">
        <f t="shared" si="6"/>
        <v>0</v>
      </c>
      <c r="F42" s="47">
        <f t="shared" si="6"/>
        <v>0</v>
      </c>
      <c r="G42" s="47">
        <f t="shared" si="6"/>
        <v>0</v>
      </c>
      <c r="H42" s="47">
        <f t="shared" si="6"/>
        <v>0</v>
      </c>
      <c r="I42" s="47">
        <f t="shared" si="6"/>
        <v>0</v>
      </c>
      <c r="J42" s="179"/>
      <c r="K42" s="6"/>
      <c r="L42" s="6"/>
      <c r="M42" s="6"/>
      <c r="N42" s="6"/>
      <c r="O42" s="6"/>
      <c r="P42" s="6"/>
      <c r="Q42" s="6"/>
      <c r="R42" s="6"/>
    </row>
    <row r="43" spans="1:18" x14ac:dyDescent="0.2">
      <c r="A43" s="6"/>
      <c r="B43" s="6"/>
      <c r="C43" s="80" t="str">
        <f>C15</f>
        <v/>
      </c>
      <c r="D43" s="47">
        <f t="shared" ref="D43:I43" si="7">IF(OR(ScriptSourceCode=1,ScriptSourceCode=3),IF(TPAll=0,D37,0),0)</f>
        <v>0</v>
      </c>
      <c r="E43" s="47">
        <f t="shared" si="7"/>
        <v>0</v>
      </c>
      <c r="F43" s="47">
        <f t="shared" si="7"/>
        <v>0</v>
      </c>
      <c r="G43" s="47">
        <f t="shared" si="7"/>
        <v>0</v>
      </c>
      <c r="H43" s="47">
        <f t="shared" si="7"/>
        <v>0</v>
      </c>
      <c r="I43" s="47">
        <f t="shared" si="7"/>
        <v>0</v>
      </c>
      <c r="J43" s="179"/>
      <c r="K43" s="6"/>
      <c r="L43" s="6"/>
      <c r="M43" s="6"/>
      <c r="N43" s="6"/>
      <c r="O43" s="6"/>
      <c r="P43" s="6"/>
      <c r="Q43" s="6"/>
      <c r="R43" s="6"/>
    </row>
    <row r="44" spans="1:18" x14ac:dyDescent="0.2">
      <c r="A44" s="6"/>
      <c r="B44" s="6"/>
      <c r="C44" s="6"/>
      <c r="D44" s="182"/>
      <c r="E44" s="182"/>
      <c r="F44" s="182"/>
      <c r="G44" s="182"/>
      <c r="H44" s="182"/>
      <c r="I44" s="182"/>
      <c r="J44" s="179"/>
      <c r="K44" s="6"/>
      <c r="L44" s="6"/>
      <c r="M44" s="6"/>
      <c r="N44" s="6"/>
      <c r="O44" s="6"/>
      <c r="P44" s="6"/>
      <c r="Q44" s="6"/>
      <c r="R44" s="6"/>
    </row>
    <row r="45" spans="1:18" x14ac:dyDescent="0.2">
      <c r="A45" s="6"/>
      <c r="B45" s="6"/>
      <c r="C45" s="6"/>
      <c r="D45" s="6"/>
      <c r="E45" s="6"/>
      <c r="F45" s="6"/>
      <c r="G45" s="6"/>
      <c r="H45" s="6"/>
      <c r="I45" s="6"/>
      <c r="J45" s="179"/>
      <c r="K45" s="6"/>
      <c r="L45" s="6"/>
      <c r="M45" s="6"/>
      <c r="N45" s="6"/>
      <c r="O45" s="6"/>
      <c r="P45" s="6"/>
      <c r="Q45" s="6"/>
      <c r="R45" s="6"/>
    </row>
    <row r="46" spans="1:18" ht="15.75" x14ac:dyDescent="0.2">
      <c r="A46" s="187"/>
      <c r="B46" s="187"/>
      <c r="C46" s="174" t="s">
        <v>999</v>
      </c>
      <c r="D46" s="188"/>
      <c r="E46" s="188"/>
      <c r="F46" s="188"/>
      <c r="G46" s="188"/>
      <c r="H46" s="189"/>
      <c r="I46" s="189"/>
      <c r="J46" s="189"/>
      <c r="K46" s="189"/>
      <c r="L46" s="189"/>
      <c r="M46" s="189"/>
      <c r="N46" s="189"/>
      <c r="O46" s="189"/>
      <c r="P46" s="189"/>
      <c r="Q46" s="189"/>
      <c r="R46" s="189"/>
    </row>
    <row r="47" spans="1:18" x14ac:dyDescent="0.2">
      <c r="A47" s="179"/>
      <c r="B47" s="179"/>
      <c r="C47" s="179"/>
      <c r="D47" s="179"/>
      <c r="E47" s="179"/>
      <c r="F47" s="179"/>
      <c r="G47" s="179"/>
      <c r="H47" s="179"/>
      <c r="I47" s="179"/>
      <c r="J47" s="179"/>
      <c r="K47" s="179"/>
      <c r="L47" s="179"/>
      <c r="M47" s="179"/>
      <c r="N47" s="179"/>
      <c r="O47" s="179"/>
      <c r="P47" s="179"/>
      <c r="Q47" s="179"/>
      <c r="R47" s="179"/>
    </row>
    <row r="48" spans="1:18" ht="15.75" x14ac:dyDescent="0.2">
      <c r="A48" s="104"/>
      <c r="B48" s="190">
        <v>1</v>
      </c>
      <c r="C48" s="110" t="str">
        <f>IF(D52&lt;&gt;"",CONCATENATE("Prevalent ",B48,": ",F52,I48),MsgNotUsed)</f>
        <v>** NOT USED **</v>
      </c>
      <c r="D48" s="188"/>
      <c r="E48" s="188"/>
      <c r="F48" s="188"/>
      <c r="G48" s="188"/>
      <c r="H48" s="191"/>
      <c r="I48" s="455" t="str">
        <f>IF(R52&lt;&gt;"",CONCATENATE(" (",R52,")"),"")</f>
        <v/>
      </c>
      <c r="J48" s="187"/>
      <c r="K48" s="187"/>
      <c r="L48" s="187"/>
      <c r="M48" s="187"/>
      <c r="N48" s="187"/>
      <c r="O48" s="187"/>
      <c r="P48" s="187"/>
      <c r="Q48" s="189"/>
      <c r="R48" s="189"/>
    </row>
    <row r="49" spans="1:18" outlineLevel="1" x14ac:dyDescent="0.2">
      <c r="A49" s="199"/>
      <c r="B49" s="199"/>
      <c r="C49" s="195"/>
      <c r="D49" s="199"/>
      <c r="E49" s="199"/>
      <c r="F49" s="199"/>
      <c r="G49" s="199"/>
      <c r="H49" s="199"/>
      <c r="I49" s="199"/>
      <c r="J49" s="382"/>
      <c r="K49" s="199"/>
      <c r="L49" s="199"/>
      <c r="M49" s="199"/>
      <c r="N49" s="199"/>
      <c r="O49" s="199"/>
      <c r="P49" s="199"/>
      <c r="Q49" s="199"/>
      <c r="R49" s="199"/>
    </row>
    <row r="50" spans="1:18" outlineLevel="1" x14ac:dyDescent="0.2">
      <c r="A50" s="199"/>
      <c r="B50" s="199"/>
      <c r="C50" s="572" t="s">
        <v>914</v>
      </c>
      <c r="D50" s="199"/>
      <c r="E50" s="199"/>
      <c r="F50" s="199"/>
      <c r="G50" s="199"/>
      <c r="H50" s="199"/>
      <c r="I50" s="199"/>
      <c r="J50" s="382"/>
      <c r="K50" s="199"/>
      <c r="L50" s="199"/>
      <c r="M50" s="199"/>
      <c r="N50" s="199"/>
      <c r="O50" s="199"/>
      <c r="P50" s="199"/>
      <c r="Q50" s="199"/>
      <c r="R50" s="670" t="str">
        <f ca="1">IF(ISERROR($M73)=TRUE,MsgError &amp; VLOOKUP("BadPop",ErrorMessages,2,FALSE),"")</f>
        <v/>
      </c>
    </row>
    <row r="51" spans="1:18" outlineLevel="1" x14ac:dyDescent="0.2">
      <c r="A51" s="199"/>
      <c r="B51" s="199"/>
      <c r="C51" s="195"/>
      <c r="D51" s="199"/>
      <c r="E51" s="199"/>
      <c r="F51" s="199"/>
      <c r="G51" s="199"/>
      <c r="H51" s="199"/>
      <c r="I51" s="199"/>
      <c r="J51" s="382"/>
      <c r="K51" s="199"/>
      <c r="L51" s="199"/>
      <c r="M51" s="199"/>
      <c r="N51" s="199"/>
      <c r="O51" s="199"/>
      <c r="P51" s="199"/>
      <c r="Q51" s="199"/>
      <c r="R51" s="19" t="s">
        <v>470</v>
      </c>
    </row>
    <row r="52" spans="1:18" outlineLevel="1" x14ac:dyDescent="0.2">
      <c r="A52" s="199"/>
      <c r="B52" s="199"/>
      <c r="C52" s="22" t="s">
        <v>131</v>
      </c>
      <c r="D52" s="549"/>
      <c r="E52" s="194"/>
      <c r="F52" s="774"/>
      <c r="G52" s="775"/>
      <c r="H52" s="775"/>
      <c r="I52" s="775"/>
      <c r="J52" s="382"/>
      <c r="K52" s="199"/>
      <c r="L52" s="199"/>
      <c r="M52" s="199"/>
      <c r="N52" s="199"/>
      <c r="O52" s="199"/>
      <c r="P52" s="199"/>
      <c r="Q52" s="199"/>
      <c r="R52" s="388"/>
    </row>
    <row r="53" spans="1:18" outlineLevel="1" x14ac:dyDescent="0.2">
      <c r="A53" s="199"/>
      <c r="B53" s="199"/>
      <c r="C53" s="195"/>
      <c r="D53" s="600">
        <v>1</v>
      </c>
      <c r="E53" s="600">
        <v>2</v>
      </c>
      <c r="F53" s="600">
        <v>3</v>
      </c>
      <c r="G53" s="600">
        <v>4</v>
      </c>
      <c r="H53" s="600">
        <v>5</v>
      </c>
      <c r="I53" s="600">
        <v>6</v>
      </c>
      <c r="J53" s="382"/>
      <c r="K53" s="199"/>
      <c r="L53" s="199"/>
      <c r="M53" s="199"/>
      <c r="N53" s="199"/>
      <c r="O53" s="199"/>
      <c r="P53" s="199"/>
      <c r="Q53" s="199"/>
      <c r="R53" s="199"/>
    </row>
    <row r="54" spans="1:18" outlineLevel="1" x14ac:dyDescent="0.2">
      <c r="A54" s="199"/>
      <c r="B54" s="199"/>
      <c r="C54" s="195"/>
      <c r="D54" s="776" t="s">
        <v>11</v>
      </c>
      <c r="E54" s="776"/>
      <c r="F54" s="776"/>
      <c r="G54" s="776"/>
      <c r="H54" s="776"/>
      <c r="I54" s="776"/>
      <c r="J54" s="382"/>
      <c r="K54" s="199"/>
      <c r="L54" s="199"/>
      <c r="M54" s="199"/>
      <c r="N54" s="199"/>
      <c r="O54" s="199"/>
      <c r="P54" s="199"/>
      <c r="Q54" s="199"/>
      <c r="R54" s="199"/>
    </row>
    <row r="55" spans="1:18" outlineLevel="1" x14ac:dyDescent="0.2">
      <c r="A55" s="199"/>
      <c r="B55" s="199"/>
      <c r="C55" s="7"/>
      <c r="D55" s="550">
        <f>FirstYear</f>
        <v>0</v>
      </c>
      <c r="E55" s="550">
        <f>D55+1</f>
        <v>1</v>
      </c>
      <c r="F55" s="550">
        <f>E55+1</f>
        <v>2</v>
      </c>
      <c r="G55" s="550">
        <f>F55+1</f>
        <v>3</v>
      </c>
      <c r="H55" s="550">
        <f>G55+1</f>
        <v>4</v>
      </c>
      <c r="I55" s="550">
        <f>H55+1</f>
        <v>5</v>
      </c>
      <c r="J55" s="382"/>
      <c r="K55" s="199"/>
      <c r="L55" s="199"/>
      <c r="M55" s="199"/>
      <c r="N55" s="199"/>
      <c r="O55" s="199"/>
      <c r="P55" s="199"/>
      <c r="Q55" s="199"/>
      <c r="R55" s="199"/>
    </row>
    <row r="56" spans="1:18" outlineLevel="1" x14ac:dyDescent="0.2">
      <c r="A56" s="502"/>
      <c r="B56" s="502"/>
      <c r="C56" s="552" t="s">
        <v>110</v>
      </c>
      <c r="D56" s="596">
        <f t="shared" ref="D56:I56" ca="1" si="8">IF(AND(ISERROR($M73)&lt;&gt;TRUE,$F52&lt;&gt;""),INDEX(PxPopNumbers,$M73,D53),0)</f>
        <v>0</v>
      </c>
      <c r="E56" s="596">
        <f t="shared" ca="1" si="8"/>
        <v>0</v>
      </c>
      <c r="F56" s="596">
        <f t="shared" ca="1" si="8"/>
        <v>0</v>
      </c>
      <c r="G56" s="596">
        <f t="shared" ca="1" si="8"/>
        <v>0</v>
      </c>
      <c r="H56" s="596">
        <f t="shared" ca="1" si="8"/>
        <v>0</v>
      </c>
      <c r="I56" s="596">
        <f t="shared" ca="1" si="8"/>
        <v>0</v>
      </c>
      <c r="J56" s="382"/>
      <c r="K56" s="502"/>
      <c r="L56" s="502"/>
      <c r="M56" s="502"/>
      <c r="N56" s="502"/>
      <c r="O56" s="502"/>
      <c r="P56" s="502"/>
      <c r="Q56" s="195"/>
      <c r="R56" s="502"/>
    </row>
    <row r="57" spans="1:18" outlineLevel="1" x14ac:dyDescent="0.2">
      <c r="A57" s="382"/>
      <c r="B57" s="382"/>
      <c r="C57" s="382"/>
      <c r="D57" s="382"/>
      <c r="E57" s="382"/>
      <c r="F57" s="382"/>
      <c r="G57" s="382"/>
      <c r="H57" s="382"/>
      <c r="I57" s="382"/>
      <c r="J57" s="382"/>
      <c r="K57" s="502"/>
      <c r="L57" s="502"/>
      <c r="M57" s="502"/>
      <c r="N57" s="502"/>
      <c r="O57" s="502"/>
      <c r="P57" s="502"/>
      <c r="Q57" s="382"/>
      <c r="R57" s="382"/>
    </row>
    <row r="58" spans="1:18" outlineLevel="1" x14ac:dyDescent="0.2">
      <c r="A58" s="382"/>
      <c r="B58" s="382"/>
      <c r="C58" s="34" t="s">
        <v>238</v>
      </c>
      <c r="D58" s="382"/>
      <c r="E58" s="382"/>
      <c r="F58" s="382"/>
      <c r="G58" s="382"/>
      <c r="H58" s="382"/>
      <c r="I58" s="382"/>
      <c r="J58" s="382"/>
      <c r="K58" s="502"/>
      <c r="L58" s="502"/>
      <c r="M58" s="382"/>
      <c r="N58" s="382"/>
      <c r="O58" s="382"/>
      <c r="P58" s="382"/>
      <c r="Q58" s="382"/>
      <c r="R58" s="19" t="s">
        <v>292</v>
      </c>
    </row>
    <row r="59" spans="1:18" outlineLevel="1" x14ac:dyDescent="0.2">
      <c r="A59" s="502"/>
      <c r="B59" s="502"/>
      <c r="C59" s="589"/>
      <c r="D59" s="564"/>
      <c r="E59" s="564"/>
      <c r="F59" s="564"/>
      <c r="G59" s="564"/>
      <c r="H59" s="564"/>
      <c r="I59" s="564"/>
      <c r="J59" s="382"/>
      <c r="K59" s="581">
        <f t="shared" ref="K59" si="9">IF(D59="",1,D59)</f>
        <v>1</v>
      </c>
      <c r="L59" s="581">
        <f t="shared" ref="L59" si="10">IF(E59="",1,E59)</f>
        <v>1</v>
      </c>
      <c r="M59" s="581">
        <f t="shared" ref="M59" si="11">IF(F59="",1,F59)</f>
        <v>1</v>
      </c>
      <c r="N59" s="581">
        <f t="shared" ref="N59" si="12">IF(G59="",1,G59)</f>
        <v>1</v>
      </c>
      <c r="O59" s="581">
        <f t="shared" ref="O59" si="13">IF(H59="",1,H59)</f>
        <v>1</v>
      </c>
      <c r="P59" s="581">
        <f t="shared" ref="P59" si="14">IF(I59="",1,I59)</f>
        <v>1</v>
      </c>
      <c r="Q59" s="502"/>
      <c r="R59" s="589"/>
    </row>
    <row r="60" spans="1:18" outlineLevel="1" x14ac:dyDescent="0.2">
      <c r="A60" s="502"/>
      <c r="B60" s="502"/>
      <c r="C60" s="589"/>
      <c r="D60" s="564"/>
      <c r="E60" s="564"/>
      <c r="F60" s="564"/>
      <c r="G60" s="564"/>
      <c r="H60" s="564"/>
      <c r="I60" s="564"/>
      <c r="J60" s="382"/>
      <c r="K60" s="61">
        <f t="shared" ref="K60:K67" si="15">IF(D60="",1,D60)</f>
        <v>1</v>
      </c>
      <c r="L60" s="61">
        <f t="shared" ref="L60:L68" si="16">IF(E60="",1,E60)</f>
        <v>1</v>
      </c>
      <c r="M60" s="61">
        <f t="shared" ref="M60:M68" si="17">IF(F60="",1,F60)</f>
        <v>1</v>
      </c>
      <c r="N60" s="61">
        <f t="shared" ref="N60:N68" si="18">IF(G60="",1,G60)</f>
        <v>1</v>
      </c>
      <c r="O60" s="61">
        <f t="shared" ref="O60:O68" si="19">IF(H60="",1,H60)</f>
        <v>1</v>
      </c>
      <c r="P60" s="61">
        <f t="shared" ref="P60:P68" si="20">IF(I60="",1,I60)</f>
        <v>1</v>
      </c>
      <c r="Q60" s="502"/>
      <c r="R60" s="589"/>
    </row>
    <row r="61" spans="1:18" outlineLevel="1" x14ac:dyDescent="0.2">
      <c r="A61" s="502"/>
      <c r="B61" s="502"/>
      <c r="C61" s="589"/>
      <c r="D61" s="564"/>
      <c r="E61" s="564"/>
      <c r="F61" s="564"/>
      <c r="G61" s="564"/>
      <c r="H61" s="564"/>
      <c r="I61" s="564"/>
      <c r="J61" s="382"/>
      <c r="K61" s="61">
        <f t="shared" si="15"/>
        <v>1</v>
      </c>
      <c r="L61" s="61">
        <f t="shared" si="16"/>
        <v>1</v>
      </c>
      <c r="M61" s="61">
        <f t="shared" si="17"/>
        <v>1</v>
      </c>
      <c r="N61" s="61">
        <f t="shared" si="18"/>
        <v>1</v>
      </c>
      <c r="O61" s="61">
        <f t="shared" si="19"/>
        <v>1</v>
      </c>
      <c r="P61" s="61">
        <f t="shared" si="20"/>
        <v>1</v>
      </c>
      <c r="Q61" s="502"/>
      <c r="R61" s="589"/>
    </row>
    <row r="62" spans="1:18" outlineLevel="1" x14ac:dyDescent="0.2">
      <c r="A62" s="502"/>
      <c r="B62" s="502"/>
      <c r="C62" s="589"/>
      <c r="D62" s="564"/>
      <c r="E62" s="564"/>
      <c r="F62" s="564"/>
      <c r="G62" s="564"/>
      <c r="H62" s="564"/>
      <c r="I62" s="564"/>
      <c r="J62" s="382"/>
      <c r="K62" s="61">
        <f t="shared" si="15"/>
        <v>1</v>
      </c>
      <c r="L62" s="61">
        <f t="shared" si="16"/>
        <v>1</v>
      </c>
      <c r="M62" s="61">
        <f t="shared" si="17"/>
        <v>1</v>
      </c>
      <c r="N62" s="61">
        <f t="shared" si="18"/>
        <v>1</v>
      </c>
      <c r="O62" s="61">
        <f t="shared" si="19"/>
        <v>1</v>
      </c>
      <c r="P62" s="61">
        <f t="shared" si="20"/>
        <v>1</v>
      </c>
      <c r="Q62" s="502"/>
      <c r="R62" s="589"/>
    </row>
    <row r="63" spans="1:18" outlineLevel="1" x14ac:dyDescent="0.2">
      <c r="A63" s="502"/>
      <c r="B63" s="502"/>
      <c r="C63" s="589"/>
      <c r="D63" s="564"/>
      <c r="E63" s="564"/>
      <c r="F63" s="564"/>
      <c r="G63" s="564"/>
      <c r="H63" s="564"/>
      <c r="I63" s="564"/>
      <c r="J63" s="382"/>
      <c r="K63" s="61">
        <f t="shared" si="15"/>
        <v>1</v>
      </c>
      <c r="L63" s="61">
        <f t="shared" si="16"/>
        <v>1</v>
      </c>
      <c r="M63" s="61">
        <f t="shared" si="17"/>
        <v>1</v>
      </c>
      <c r="N63" s="61">
        <f t="shared" si="18"/>
        <v>1</v>
      </c>
      <c r="O63" s="61">
        <f t="shared" si="19"/>
        <v>1</v>
      </c>
      <c r="P63" s="61">
        <f t="shared" si="20"/>
        <v>1</v>
      </c>
      <c r="Q63" s="502"/>
      <c r="R63" s="589"/>
    </row>
    <row r="64" spans="1:18" outlineLevel="1" x14ac:dyDescent="0.2">
      <c r="A64" s="502"/>
      <c r="B64" s="502"/>
      <c r="C64" s="589"/>
      <c r="D64" s="564"/>
      <c r="E64" s="564"/>
      <c r="F64" s="564"/>
      <c r="G64" s="564"/>
      <c r="H64" s="564"/>
      <c r="I64" s="564"/>
      <c r="J64" s="382"/>
      <c r="K64" s="61">
        <f t="shared" si="15"/>
        <v>1</v>
      </c>
      <c r="L64" s="61">
        <f t="shared" si="16"/>
        <v>1</v>
      </c>
      <c r="M64" s="61">
        <f t="shared" si="17"/>
        <v>1</v>
      </c>
      <c r="N64" s="61">
        <f t="shared" si="18"/>
        <v>1</v>
      </c>
      <c r="O64" s="61">
        <f t="shared" si="19"/>
        <v>1</v>
      </c>
      <c r="P64" s="61">
        <f t="shared" si="20"/>
        <v>1</v>
      </c>
      <c r="Q64" s="502"/>
      <c r="R64" s="589"/>
    </row>
    <row r="65" spans="1:18" outlineLevel="1" x14ac:dyDescent="0.2">
      <c r="A65" s="502"/>
      <c r="B65" s="502"/>
      <c r="C65" s="589"/>
      <c r="D65" s="564"/>
      <c r="E65" s="564"/>
      <c r="F65" s="564"/>
      <c r="G65" s="564"/>
      <c r="H65" s="564"/>
      <c r="I65" s="564"/>
      <c r="J65" s="382"/>
      <c r="K65" s="61">
        <f t="shared" si="15"/>
        <v>1</v>
      </c>
      <c r="L65" s="61">
        <f t="shared" si="16"/>
        <v>1</v>
      </c>
      <c r="M65" s="61">
        <f t="shared" si="17"/>
        <v>1</v>
      </c>
      <c r="N65" s="61">
        <f t="shared" si="18"/>
        <v>1</v>
      </c>
      <c r="O65" s="61">
        <f t="shared" si="19"/>
        <v>1</v>
      </c>
      <c r="P65" s="61">
        <f t="shared" si="20"/>
        <v>1</v>
      </c>
      <c r="Q65" s="502"/>
      <c r="R65" s="589"/>
    </row>
    <row r="66" spans="1:18" outlineLevel="1" x14ac:dyDescent="0.2">
      <c r="A66" s="502"/>
      <c r="B66" s="502"/>
      <c r="C66" s="589"/>
      <c r="D66" s="564"/>
      <c r="E66" s="564"/>
      <c r="F66" s="564"/>
      <c r="G66" s="564"/>
      <c r="H66" s="564"/>
      <c r="I66" s="564"/>
      <c r="J66" s="382"/>
      <c r="K66" s="61">
        <f t="shared" si="15"/>
        <v>1</v>
      </c>
      <c r="L66" s="61">
        <f t="shared" si="16"/>
        <v>1</v>
      </c>
      <c r="M66" s="61">
        <f t="shared" si="17"/>
        <v>1</v>
      </c>
      <c r="N66" s="61">
        <f t="shared" si="18"/>
        <v>1</v>
      </c>
      <c r="O66" s="61">
        <f t="shared" si="19"/>
        <v>1</v>
      </c>
      <c r="P66" s="61">
        <f t="shared" si="20"/>
        <v>1</v>
      </c>
      <c r="Q66" s="502"/>
      <c r="R66" s="589"/>
    </row>
    <row r="67" spans="1:18" outlineLevel="1" x14ac:dyDescent="0.2">
      <c r="A67" s="502"/>
      <c r="B67" s="502"/>
      <c r="C67" s="589"/>
      <c r="D67" s="564"/>
      <c r="E67" s="564"/>
      <c r="F67" s="564"/>
      <c r="G67" s="564"/>
      <c r="H67" s="564"/>
      <c r="I67" s="564"/>
      <c r="J67" s="382"/>
      <c r="K67" s="61">
        <f t="shared" si="15"/>
        <v>1</v>
      </c>
      <c r="L67" s="61">
        <f t="shared" si="16"/>
        <v>1</v>
      </c>
      <c r="M67" s="61">
        <f t="shared" si="17"/>
        <v>1</v>
      </c>
      <c r="N67" s="61">
        <f t="shared" si="18"/>
        <v>1</v>
      </c>
      <c r="O67" s="61">
        <f t="shared" si="19"/>
        <v>1</v>
      </c>
      <c r="P67" s="61">
        <f t="shared" si="20"/>
        <v>1</v>
      </c>
      <c r="Q67" s="502"/>
      <c r="R67" s="589"/>
    </row>
    <row r="68" spans="1:18" outlineLevel="1" x14ac:dyDescent="0.2">
      <c r="A68" s="502"/>
      <c r="B68" s="502"/>
      <c r="C68" s="589"/>
      <c r="D68" s="564"/>
      <c r="E68" s="564"/>
      <c r="F68" s="564"/>
      <c r="G68" s="564"/>
      <c r="H68" s="564"/>
      <c r="I68" s="564"/>
      <c r="J68" s="382"/>
      <c r="K68" s="61">
        <f>IF(D68="",1,D68)</f>
        <v>1</v>
      </c>
      <c r="L68" s="61">
        <f t="shared" si="16"/>
        <v>1</v>
      </c>
      <c r="M68" s="61">
        <f t="shared" si="17"/>
        <v>1</v>
      </c>
      <c r="N68" s="61">
        <f t="shared" si="18"/>
        <v>1</v>
      </c>
      <c r="O68" s="61">
        <f t="shared" si="19"/>
        <v>1</v>
      </c>
      <c r="P68" s="61">
        <f t="shared" si="20"/>
        <v>1</v>
      </c>
      <c r="Q68" s="502"/>
      <c r="R68" s="589"/>
    </row>
    <row r="69" spans="1:18" outlineLevel="1" x14ac:dyDescent="0.2">
      <c r="A69" s="502"/>
      <c r="B69" s="502"/>
      <c r="C69" s="35" t="s">
        <v>246</v>
      </c>
      <c r="D69" s="566">
        <f t="shared" ref="D69:I69" si="21">K59*K60*K61*K62*K68*K63*K64*K65*K66*K67</f>
        <v>1</v>
      </c>
      <c r="E69" s="566">
        <f t="shared" si="21"/>
        <v>1</v>
      </c>
      <c r="F69" s="566">
        <f t="shared" si="21"/>
        <v>1</v>
      </c>
      <c r="G69" s="566">
        <f t="shared" si="21"/>
        <v>1</v>
      </c>
      <c r="H69" s="566">
        <f t="shared" si="21"/>
        <v>1</v>
      </c>
      <c r="I69" s="566">
        <f t="shared" si="21"/>
        <v>1</v>
      </c>
      <c r="J69" s="382"/>
      <c r="K69" s="502"/>
      <c r="L69" s="502"/>
      <c r="M69" s="264"/>
      <c r="N69" s="502"/>
      <c r="O69" s="502"/>
      <c r="P69" s="502"/>
      <c r="Q69" s="502"/>
      <c r="R69" s="502"/>
    </row>
    <row r="70" spans="1:18" outlineLevel="1" x14ac:dyDescent="0.2">
      <c r="A70" s="264"/>
      <c r="B70" s="264"/>
      <c r="C70" s="12" t="s">
        <v>108</v>
      </c>
      <c r="D70" s="410">
        <f t="shared" ref="D70:I70" ca="1" si="22">IF(ISNUMBER(D56),D56*D69,"")</f>
        <v>0</v>
      </c>
      <c r="E70" s="410">
        <f t="shared" ca="1" si="22"/>
        <v>0</v>
      </c>
      <c r="F70" s="410">
        <f t="shared" ca="1" si="22"/>
        <v>0</v>
      </c>
      <c r="G70" s="410">
        <f t="shared" ca="1" si="22"/>
        <v>0</v>
      </c>
      <c r="H70" s="410">
        <f t="shared" ca="1" si="22"/>
        <v>0</v>
      </c>
      <c r="I70" s="410">
        <f t="shared" ca="1" si="22"/>
        <v>0</v>
      </c>
      <c r="J70" s="382"/>
      <c r="K70" s="264"/>
      <c r="L70" s="502"/>
      <c r="M70" s="502"/>
      <c r="N70" s="502"/>
      <c r="O70" s="502"/>
      <c r="P70" s="502"/>
      <c r="Q70" s="502"/>
      <c r="R70" s="502"/>
    </row>
    <row r="71" spans="1:18" outlineLevel="1" x14ac:dyDescent="0.2">
      <c r="A71" s="382"/>
      <c r="B71" s="382"/>
      <c r="C71" s="382"/>
      <c r="D71" s="382"/>
      <c r="E71" s="382"/>
      <c r="F71" s="382"/>
      <c r="G71" s="382"/>
      <c r="H71" s="382"/>
      <c r="I71" s="382"/>
      <c r="J71" s="382"/>
      <c r="K71" s="382"/>
      <c r="L71" s="382"/>
      <c r="M71" s="382"/>
      <c r="N71" s="382"/>
      <c r="O71" s="13"/>
      <c r="P71" s="13"/>
      <c r="Q71" s="382"/>
      <c r="R71" s="382"/>
    </row>
    <row r="72" spans="1:18" outlineLevel="1" x14ac:dyDescent="0.2">
      <c r="A72" s="382"/>
      <c r="B72" s="382"/>
      <c r="C72" s="81" t="str">
        <f>TxPhase1Tx</f>
        <v/>
      </c>
      <c r="D72" s="155"/>
      <c r="E72" s="502"/>
      <c r="F72" s="502"/>
      <c r="G72" s="382"/>
      <c r="H72" s="382"/>
      <c r="I72" s="382"/>
      <c r="J72" s="382"/>
      <c r="K72" s="316" t="s">
        <v>292</v>
      </c>
      <c r="L72" s="316" t="s">
        <v>52</v>
      </c>
      <c r="M72" s="316" t="s">
        <v>381</v>
      </c>
      <c r="N72" s="382"/>
      <c r="O72" s="13"/>
      <c r="P72" s="13"/>
      <c r="Q72" s="382"/>
      <c r="R72" s="19" t="s">
        <v>292</v>
      </c>
    </row>
    <row r="73" spans="1:18" outlineLevel="1" x14ac:dyDescent="0.2">
      <c r="A73" s="382"/>
      <c r="B73" s="382"/>
      <c r="C73" s="22" t="s">
        <v>109</v>
      </c>
      <c r="D73" s="75"/>
      <c r="E73" s="75"/>
      <c r="F73" s="75"/>
      <c r="G73" s="75"/>
      <c r="H73" s="75"/>
      <c r="I73" s="75"/>
      <c r="J73" s="382"/>
      <c r="K73" s="598">
        <f>IF(D52&lt;&gt;"",MATCH(D52,EPISource,0)-1,0)</f>
        <v>0</v>
      </c>
      <c r="L73" s="598">
        <f ca="1">IF(F52&lt;&gt;"",MATCH(F52,OFFSET(References!$AB$7,0,K73,PxPopCount),0),0)</f>
        <v>0</v>
      </c>
      <c r="M73" s="598">
        <f ca="1">(K73*PxPopCount)+L73</f>
        <v>0</v>
      </c>
      <c r="N73" s="382"/>
      <c r="O73" s="13"/>
      <c r="P73" s="13"/>
      <c r="Q73" s="382"/>
      <c r="R73" s="582"/>
    </row>
    <row r="74" spans="1:18" outlineLevel="1" x14ac:dyDescent="0.2">
      <c r="A74" s="382"/>
      <c r="B74" s="382"/>
      <c r="C74" s="382"/>
      <c r="D74" s="382"/>
      <c r="E74" s="567"/>
      <c r="F74" s="382"/>
      <c r="G74" s="382"/>
      <c r="H74" s="382"/>
      <c r="I74" s="382"/>
      <c r="J74" s="382"/>
      <c r="K74" s="4"/>
      <c r="L74" s="4"/>
      <c r="M74" s="382"/>
      <c r="N74" s="382"/>
      <c r="O74" s="13"/>
      <c r="P74" s="13"/>
      <c r="Q74" s="382"/>
      <c r="R74" s="382"/>
    </row>
    <row r="75" spans="1:18" outlineLevel="1" x14ac:dyDescent="0.2">
      <c r="A75" s="382"/>
      <c r="B75" s="382"/>
      <c r="C75" s="123" t="str">
        <f>TXPhase2Tx</f>
        <v/>
      </c>
      <c r="D75" s="201"/>
      <c r="E75" s="201"/>
      <c r="F75" s="382"/>
      <c r="G75" s="382"/>
      <c r="H75" s="382"/>
      <c r="I75" s="382"/>
      <c r="J75" s="382"/>
      <c r="K75" s="4"/>
      <c r="L75" s="4"/>
      <c r="M75" s="382"/>
      <c r="N75" s="382"/>
      <c r="O75" s="13"/>
      <c r="P75" s="13"/>
      <c r="Q75" s="382"/>
      <c r="R75" s="19" t="s">
        <v>292</v>
      </c>
    </row>
    <row r="76" spans="1:18" outlineLevel="1" x14ac:dyDescent="0.2">
      <c r="A76" s="382"/>
      <c r="B76" s="382"/>
      <c r="C76" s="123" t="str">
        <f>IF(C75&lt;&gt;"","Patients electing treatment (%)","")</f>
        <v/>
      </c>
      <c r="D76" s="75"/>
      <c r="E76" s="75"/>
      <c r="F76" s="75"/>
      <c r="G76" s="75"/>
      <c r="H76" s="75"/>
      <c r="I76" s="75"/>
      <c r="J76" s="382"/>
      <c r="K76" s="354"/>
      <c r="L76" s="13"/>
      <c r="M76" s="382"/>
      <c r="N76" s="382"/>
      <c r="O76" s="13"/>
      <c r="P76" s="13"/>
      <c r="Q76" s="382"/>
      <c r="R76" s="582"/>
    </row>
    <row r="77" spans="1:18" outlineLevel="1" x14ac:dyDescent="0.2">
      <c r="A77" s="382"/>
      <c r="B77" s="382"/>
      <c r="C77" s="382"/>
      <c r="D77" s="382"/>
      <c r="E77" s="382"/>
      <c r="F77" s="382"/>
      <c r="G77" s="382"/>
      <c r="H77" s="382"/>
      <c r="I77" s="382"/>
      <c r="J77" s="382"/>
      <c r="K77" s="382"/>
      <c r="L77" s="382"/>
      <c r="M77" s="382"/>
      <c r="N77" s="382"/>
      <c r="O77" s="13"/>
      <c r="P77" s="13"/>
      <c r="Q77" s="382"/>
      <c r="R77" s="382"/>
    </row>
    <row r="78" spans="1:18" outlineLevel="1" x14ac:dyDescent="0.2">
      <c r="A78" s="502"/>
      <c r="B78" s="502"/>
      <c r="C78" s="81" t="str">
        <f>TxPhase1Px</f>
        <v/>
      </c>
      <c r="D78" s="607">
        <f t="shared" ref="D78:I78" si="23">IF(TxPhase1&lt;&gt;"",D70*D73,0)</f>
        <v>0</v>
      </c>
      <c r="E78" s="607">
        <f t="shared" si="23"/>
        <v>0</v>
      </c>
      <c r="F78" s="607">
        <f t="shared" si="23"/>
        <v>0</v>
      </c>
      <c r="G78" s="607">
        <f t="shared" si="23"/>
        <v>0</v>
      </c>
      <c r="H78" s="607">
        <f t="shared" si="23"/>
        <v>0</v>
      </c>
      <c r="I78" s="607">
        <f t="shared" si="23"/>
        <v>0</v>
      </c>
      <c r="J78" s="598" t="str">
        <f>IF(D81&lt;&gt;"",D81,"")</f>
        <v/>
      </c>
      <c r="K78" s="199"/>
      <c r="L78" s="199"/>
      <c r="M78" s="199"/>
      <c r="N78" s="199"/>
      <c r="O78" s="13"/>
      <c r="P78" s="13"/>
      <c r="Q78" s="502"/>
      <c r="R78" s="502"/>
    </row>
    <row r="79" spans="1:18" outlineLevel="1" x14ac:dyDescent="0.2">
      <c r="A79" s="502"/>
      <c r="B79" s="502"/>
      <c r="C79" s="81" t="str">
        <f>TxPhase2Px</f>
        <v/>
      </c>
      <c r="D79" s="607">
        <f t="shared" ref="D79:I79" si="24">IF(TxPhase2&lt;&gt;"",D70*D76,0)</f>
        <v>0</v>
      </c>
      <c r="E79" s="607">
        <f t="shared" si="24"/>
        <v>0</v>
      </c>
      <c r="F79" s="607">
        <f t="shared" si="24"/>
        <v>0</v>
      </c>
      <c r="G79" s="607">
        <f t="shared" si="24"/>
        <v>0</v>
      </c>
      <c r="H79" s="607">
        <f t="shared" si="24"/>
        <v>0</v>
      </c>
      <c r="I79" s="607">
        <f t="shared" si="24"/>
        <v>0</v>
      </c>
      <c r="J79" s="598" t="str">
        <f>IF(D81&lt;&gt;"",D81,"")</f>
        <v/>
      </c>
      <c r="K79" s="502"/>
      <c r="L79" s="502"/>
      <c r="M79" s="264"/>
      <c r="N79" s="502"/>
      <c r="O79" s="13"/>
      <c r="P79" s="13"/>
      <c r="Q79" s="502"/>
      <c r="R79" s="502"/>
    </row>
    <row r="80" spans="1:18" s="570" customFormat="1" outlineLevel="1" x14ac:dyDescent="0.2">
      <c r="A80" s="572"/>
      <c r="B80" s="572"/>
      <c r="C80" s="572"/>
      <c r="D80" s="572"/>
      <c r="E80" s="572"/>
      <c r="F80" s="572"/>
      <c r="G80" s="572"/>
      <c r="H80" s="572"/>
      <c r="I80" s="572"/>
      <c r="J80" s="593"/>
      <c r="K80" s="572"/>
      <c r="L80" s="572"/>
      <c r="M80" s="597"/>
      <c r="N80" s="572"/>
      <c r="O80" s="575"/>
      <c r="P80" s="575"/>
      <c r="Q80" s="572"/>
      <c r="R80" s="572"/>
    </row>
    <row r="81" spans="1:18" s="570" customFormat="1" outlineLevel="1" x14ac:dyDescent="0.2">
      <c r="A81" s="572"/>
      <c r="B81" s="572"/>
      <c r="C81" s="122" t="s">
        <v>817</v>
      </c>
      <c r="D81" s="375"/>
      <c r="E81" s="572"/>
      <c r="F81" s="572"/>
      <c r="G81" s="572"/>
      <c r="H81" s="572"/>
      <c r="I81" s="572"/>
      <c r="J81" s="593"/>
      <c r="K81" s="572"/>
      <c r="L81" s="572"/>
      <c r="M81" s="597"/>
      <c r="N81" s="572"/>
      <c r="O81" s="575"/>
      <c r="P81" s="575"/>
      <c r="Q81" s="572"/>
      <c r="R81" s="572"/>
    </row>
    <row r="82" spans="1:18" outlineLevel="1" x14ac:dyDescent="0.2">
      <c r="A82" s="502"/>
      <c r="B82" s="502"/>
      <c r="C82" s="502"/>
      <c r="D82" s="502"/>
      <c r="E82" s="502"/>
      <c r="F82" s="502"/>
      <c r="G82" s="502"/>
      <c r="H82" s="502"/>
      <c r="I82" s="502"/>
      <c r="J82" s="382"/>
      <c r="K82" s="502"/>
      <c r="L82" s="502"/>
      <c r="M82" s="264"/>
      <c r="N82" s="502"/>
      <c r="O82" s="13"/>
      <c r="P82" s="13"/>
      <c r="Q82" s="502"/>
      <c r="R82" s="502"/>
    </row>
    <row r="83" spans="1:18" x14ac:dyDescent="0.2">
      <c r="A83" s="502"/>
      <c r="B83" s="502"/>
      <c r="C83" s="502"/>
      <c r="D83" s="502"/>
      <c r="E83" s="502"/>
      <c r="F83" s="502"/>
      <c r="G83" s="502"/>
      <c r="H83" s="502"/>
      <c r="I83" s="502"/>
      <c r="J83" s="382"/>
      <c r="K83" s="502"/>
      <c r="L83" s="502"/>
      <c r="M83" s="502"/>
      <c r="N83" s="502"/>
      <c r="O83" s="13"/>
      <c r="P83" s="13"/>
      <c r="Q83" s="502"/>
      <c r="R83" s="502"/>
    </row>
    <row r="84" spans="1:18" ht="15.75" x14ac:dyDescent="0.2">
      <c r="A84" s="104"/>
      <c r="B84" s="190">
        <v>2</v>
      </c>
      <c r="C84" s="110" t="str">
        <f>IF(D88&lt;&gt;"",CONCATENATE("Prevalent ",B84,": ",F88,I84),MsgNotUsed)</f>
        <v>** NOT USED **</v>
      </c>
      <c r="D84" s="188"/>
      <c r="E84" s="188"/>
      <c r="F84" s="188"/>
      <c r="G84" s="188"/>
      <c r="H84" s="191"/>
      <c r="I84" s="455" t="str">
        <f>IF(R88&lt;&gt;"",CONCATENATE(" (",R88,")"),"")</f>
        <v/>
      </c>
      <c r="J84" s="187"/>
      <c r="K84" s="187"/>
      <c r="L84" s="187"/>
      <c r="M84" s="187"/>
      <c r="N84" s="187"/>
      <c r="O84" s="187"/>
      <c r="P84" s="187"/>
      <c r="Q84" s="189"/>
      <c r="R84" s="189"/>
    </row>
    <row r="85" spans="1:18" outlineLevel="1" x14ac:dyDescent="0.2">
      <c r="A85" s="199"/>
      <c r="B85" s="199"/>
      <c r="C85" s="195"/>
      <c r="D85" s="199"/>
      <c r="E85" s="199"/>
      <c r="F85" s="199"/>
      <c r="G85" s="199"/>
      <c r="H85" s="199"/>
      <c r="I85" s="199"/>
      <c r="J85" s="382"/>
      <c r="K85" s="199"/>
      <c r="L85" s="199"/>
      <c r="M85" s="199"/>
      <c r="N85" s="199"/>
      <c r="O85" s="199"/>
      <c r="P85" s="199"/>
      <c r="Q85" s="199"/>
      <c r="R85" s="199"/>
    </row>
    <row r="86" spans="1:18" outlineLevel="1" x14ac:dyDescent="0.2">
      <c r="A86" s="199"/>
      <c r="B86" s="199"/>
      <c r="C86" s="572" t="s">
        <v>914</v>
      </c>
      <c r="D86" s="199"/>
      <c r="E86" s="199"/>
      <c r="F86" s="199"/>
      <c r="G86" s="199"/>
      <c r="H86" s="199"/>
      <c r="I86" s="199"/>
      <c r="J86" s="382"/>
      <c r="K86" s="199"/>
      <c r="L86" s="199"/>
      <c r="M86" s="199"/>
      <c r="N86" s="199"/>
      <c r="O86" s="199"/>
      <c r="P86" s="199"/>
      <c r="Q86" s="199"/>
      <c r="R86" s="670" t="str">
        <f ca="1">IF(ISERROR($M109)=TRUE,MsgError &amp; VLOOKUP("BadPop",ErrorMessages,2,FALSE),"")</f>
        <v/>
      </c>
    </row>
    <row r="87" spans="1:18" outlineLevel="1" x14ac:dyDescent="0.2">
      <c r="A87" s="199"/>
      <c r="B87" s="199"/>
      <c r="C87" s="195"/>
      <c r="D87" s="199"/>
      <c r="E87" s="199"/>
      <c r="F87" s="199"/>
      <c r="G87" s="199"/>
      <c r="H87" s="199"/>
      <c r="I87" s="199"/>
      <c r="J87" s="382"/>
      <c r="K87" s="199"/>
      <c r="L87" s="199"/>
      <c r="M87" s="199"/>
      <c r="N87" s="199"/>
      <c r="O87" s="199"/>
      <c r="P87" s="199"/>
      <c r="Q87" s="199"/>
      <c r="R87" s="19" t="s">
        <v>470</v>
      </c>
    </row>
    <row r="88" spans="1:18" outlineLevel="1" x14ac:dyDescent="0.2">
      <c r="A88" s="199"/>
      <c r="B88" s="199"/>
      <c r="C88" s="22" t="s">
        <v>131</v>
      </c>
      <c r="D88" s="549"/>
      <c r="E88" s="194"/>
      <c r="F88" s="774"/>
      <c r="G88" s="775"/>
      <c r="H88" s="775"/>
      <c r="I88" s="775"/>
      <c r="J88" s="382"/>
      <c r="K88" s="199"/>
      <c r="L88" s="199"/>
      <c r="M88" s="199"/>
      <c r="N88" s="199"/>
      <c r="O88" s="199"/>
      <c r="P88" s="199"/>
      <c r="Q88" s="199"/>
      <c r="R88" s="388"/>
    </row>
    <row r="89" spans="1:18" outlineLevel="1" x14ac:dyDescent="0.2">
      <c r="A89" s="199"/>
      <c r="B89" s="199"/>
      <c r="C89" s="195"/>
      <c r="D89" s="600">
        <v>1</v>
      </c>
      <c r="E89" s="600">
        <v>2</v>
      </c>
      <c r="F89" s="600">
        <v>3</v>
      </c>
      <c r="G89" s="600">
        <v>4</v>
      </c>
      <c r="H89" s="600">
        <v>5</v>
      </c>
      <c r="I89" s="600">
        <v>6</v>
      </c>
      <c r="J89" s="382"/>
      <c r="K89" s="199"/>
      <c r="L89" s="199"/>
      <c r="M89" s="199"/>
      <c r="N89" s="199"/>
      <c r="O89" s="199"/>
      <c r="P89" s="199"/>
      <c r="Q89" s="199"/>
      <c r="R89" s="199"/>
    </row>
    <row r="90" spans="1:18" outlineLevel="1" x14ac:dyDescent="0.2">
      <c r="A90" s="199"/>
      <c r="B90" s="199"/>
      <c r="C90" s="195"/>
      <c r="D90" s="776" t="s">
        <v>11</v>
      </c>
      <c r="E90" s="776"/>
      <c r="F90" s="776"/>
      <c r="G90" s="776"/>
      <c r="H90" s="776"/>
      <c r="I90" s="776"/>
      <c r="J90" s="382"/>
      <c r="K90" s="199"/>
      <c r="L90" s="199"/>
      <c r="M90" s="199"/>
      <c r="N90" s="199"/>
      <c r="O90" s="199"/>
      <c r="P90" s="199"/>
      <c r="Q90" s="199"/>
      <c r="R90" s="199"/>
    </row>
    <row r="91" spans="1:18" outlineLevel="1" x14ac:dyDescent="0.2">
      <c r="A91" s="199"/>
      <c r="B91" s="199"/>
      <c r="C91" s="7"/>
      <c r="D91" s="550">
        <f>FirstYear</f>
        <v>0</v>
      </c>
      <c r="E91" s="550">
        <f>D91+1</f>
        <v>1</v>
      </c>
      <c r="F91" s="550">
        <f>E91+1</f>
        <v>2</v>
      </c>
      <c r="G91" s="550">
        <f>F91+1</f>
        <v>3</v>
      </c>
      <c r="H91" s="550">
        <f>G91+1</f>
        <v>4</v>
      </c>
      <c r="I91" s="550">
        <f>H91+1</f>
        <v>5</v>
      </c>
      <c r="J91" s="382"/>
      <c r="K91" s="199"/>
      <c r="L91" s="199"/>
      <c r="M91" s="199"/>
      <c r="N91" s="199"/>
      <c r="O91" s="199"/>
      <c r="P91" s="199"/>
      <c r="Q91" s="199"/>
      <c r="R91" s="199"/>
    </row>
    <row r="92" spans="1:18" outlineLevel="1" x14ac:dyDescent="0.2">
      <c r="A92" s="502"/>
      <c r="B92" s="502"/>
      <c r="C92" s="552" t="s">
        <v>110</v>
      </c>
      <c r="D92" s="596">
        <f t="shared" ref="D92:I92" ca="1" si="25">IF(AND(ISERROR($M109)&lt;&gt;TRUE,$F88&lt;&gt;""),INDEX(PxPopNumbers,$M109,D89),0)</f>
        <v>0</v>
      </c>
      <c r="E92" s="596">
        <f t="shared" ca="1" si="25"/>
        <v>0</v>
      </c>
      <c r="F92" s="596">
        <f t="shared" ca="1" si="25"/>
        <v>0</v>
      </c>
      <c r="G92" s="596">
        <f t="shared" ca="1" si="25"/>
        <v>0</v>
      </c>
      <c r="H92" s="596">
        <f t="shared" ca="1" si="25"/>
        <v>0</v>
      </c>
      <c r="I92" s="596">
        <f t="shared" ca="1" si="25"/>
        <v>0</v>
      </c>
      <c r="J92" s="382"/>
      <c r="K92" s="502"/>
      <c r="L92" s="502"/>
      <c r="M92" s="502"/>
      <c r="N92" s="502"/>
      <c r="O92" s="502"/>
      <c r="P92" s="502"/>
      <c r="Q92" s="195"/>
      <c r="R92" s="502"/>
    </row>
    <row r="93" spans="1:18" outlineLevel="1" x14ac:dyDescent="0.2">
      <c r="A93" s="382"/>
      <c r="B93" s="382"/>
      <c r="C93" s="382"/>
      <c r="D93" s="382"/>
      <c r="E93" s="382"/>
      <c r="F93" s="382"/>
      <c r="G93" s="382"/>
      <c r="H93" s="382"/>
      <c r="I93" s="382"/>
      <c r="J93" s="382"/>
      <c r="K93" s="502"/>
      <c r="L93" s="502"/>
      <c r="M93" s="502"/>
      <c r="N93" s="502"/>
      <c r="O93" s="502"/>
      <c r="P93" s="502"/>
      <c r="Q93" s="382"/>
      <c r="R93" s="382"/>
    </row>
    <row r="94" spans="1:18" outlineLevel="1" x14ac:dyDescent="0.2">
      <c r="A94" s="382"/>
      <c r="B94" s="382"/>
      <c r="C94" s="34" t="s">
        <v>238</v>
      </c>
      <c r="D94" s="382"/>
      <c r="E94" s="382"/>
      <c r="F94" s="382"/>
      <c r="G94" s="382"/>
      <c r="H94" s="382"/>
      <c r="I94" s="382"/>
      <c r="J94" s="382"/>
      <c r="K94" s="502"/>
      <c r="L94" s="502"/>
      <c r="M94" s="382"/>
      <c r="N94" s="382"/>
      <c r="O94" s="382"/>
      <c r="P94" s="382"/>
      <c r="Q94" s="382"/>
      <c r="R94" s="19" t="s">
        <v>292</v>
      </c>
    </row>
    <row r="95" spans="1:18" outlineLevel="1" x14ac:dyDescent="0.2">
      <c r="A95" s="502"/>
      <c r="B95" s="502"/>
      <c r="C95" s="589"/>
      <c r="D95" s="564"/>
      <c r="E95" s="564"/>
      <c r="F95" s="564"/>
      <c r="G95" s="564"/>
      <c r="H95" s="564"/>
      <c r="I95" s="564"/>
      <c r="J95" s="382"/>
      <c r="K95" s="61">
        <f t="shared" ref="K95:K103" si="26">IF(D95="",1,D95)</f>
        <v>1</v>
      </c>
      <c r="L95" s="61">
        <f t="shared" ref="L95:L104" si="27">IF(E95="",1,E95)</f>
        <v>1</v>
      </c>
      <c r="M95" s="61">
        <f t="shared" ref="M95:M104" si="28">IF(F95="",1,F95)</f>
        <v>1</v>
      </c>
      <c r="N95" s="61">
        <f t="shared" ref="N95:N104" si="29">IF(G95="",1,G95)</f>
        <v>1</v>
      </c>
      <c r="O95" s="61">
        <f t="shared" ref="O95:O104" si="30">IF(H95="",1,H95)</f>
        <v>1</v>
      </c>
      <c r="P95" s="61">
        <f t="shared" ref="P95:P104" si="31">IF(I95="",1,I95)</f>
        <v>1</v>
      </c>
      <c r="Q95" s="502"/>
      <c r="R95" s="589"/>
    </row>
    <row r="96" spans="1:18" outlineLevel="1" x14ac:dyDescent="0.2">
      <c r="A96" s="502"/>
      <c r="B96" s="502"/>
      <c r="C96" s="589"/>
      <c r="D96" s="564"/>
      <c r="E96" s="564"/>
      <c r="F96" s="564"/>
      <c r="G96" s="564"/>
      <c r="H96" s="564"/>
      <c r="I96" s="564"/>
      <c r="J96" s="382"/>
      <c r="K96" s="61">
        <f t="shared" si="26"/>
        <v>1</v>
      </c>
      <c r="L96" s="61">
        <f t="shared" si="27"/>
        <v>1</v>
      </c>
      <c r="M96" s="61">
        <f t="shared" si="28"/>
        <v>1</v>
      </c>
      <c r="N96" s="61">
        <f t="shared" si="29"/>
        <v>1</v>
      </c>
      <c r="O96" s="61">
        <f t="shared" si="30"/>
        <v>1</v>
      </c>
      <c r="P96" s="61">
        <f t="shared" si="31"/>
        <v>1</v>
      </c>
      <c r="Q96" s="502"/>
      <c r="R96" s="589"/>
    </row>
    <row r="97" spans="1:18" outlineLevel="1" x14ac:dyDescent="0.2">
      <c r="A97" s="502"/>
      <c r="B97" s="502"/>
      <c r="C97" s="589"/>
      <c r="D97" s="564"/>
      <c r="E97" s="564"/>
      <c r="F97" s="564"/>
      <c r="G97" s="564"/>
      <c r="H97" s="564"/>
      <c r="I97" s="564"/>
      <c r="J97" s="382"/>
      <c r="K97" s="61">
        <f t="shared" si="26"/>
        <v>1</v>
      </c>
      <c r="L97" s="61">
        <f t="shared" si="27"/>
        <v>1</v>
      </c>
      <c r="M97" s="61">
        <f t="shared" si="28"/>
        <v>1</v>
      </c>
      <c r="N97" s="61">
        <f t="shared" si="29"/>
        <v>1</v>
      </c>
      <c r="O97" s="61">
        <f t="shared" si="30"/>
        <v>1</v>
      </c>
      <c r="P97" s="61">
        <f t="shared" si="31"/>
        <v>1</v>
      </c>
      <c r="Q97" s="502"/>
      <c r="R97" s="589"/>
    </row>
    <row r="98" spans="1:18" outlineLevel="1" x14ac:dyDescent="0.2">
      <c r="A98" s="502"/>
      <c r="B98" s="502"/>
      <c r="C98" s="589"/>
      <c r="D98" s="564"/>
      <c r="E98" s="564"/>
      <c r="F98" s="564"/>
      <c r="G98" s="564"/>
      <c r="H98" s="564"/>
      <c r="I98" s="564"/>
      <c r="J98" s="382"/>
      <c r="K98" s="61">
        <f t="shared" si="26"/>
        <v>1</v>
      </c>
      <c r="L98" s="61">
        <f t="shared" si="27"/>
        <v>1</v>
      </c>
      <c r="M98" s="61">
        <f t="shared" si="28"/>
        <v>1</v>
      </c>
      <c r="N98" s="61">
        <f t="shared" si="29"/>
        <v>1</v>
      </c>
      <c r="O98" s="61">
        <f t="shared" si="30"/>
        <v>1</v>
      </c>
      <c r="P98" s="61">
        <f t="shared" si="31"/>
        <v>1</v>
      </c>
      <c r="Q98" s="502"/>
      <c r="R98" s="589"/>
    </row>
    <row r="99" spans="1:18" outlineLevel="1" x14ac:dyDescent="0.2">
      <c r="A99" s="502"/>
      <c r="B99" s="502"/>
      <c r="C99" s="589"/>
      <c r="D99" s="564"/>
      <c r="E99" s="564"/>
      <c r="F99" s="564"/>
      <c r="G99" s="564"/>
      <c r="H99" s="564"/>
      <c r="I99" s="564"/>
      <c r="J99" s="382"/>
      <c r="K99" s="61">
        <f t="shared" si="26"/>
        <v>1</v>
      </c>
      <c r="L99" s="61">
        <f t="shared" si="27"/>
        <v>1</v>
      </c>
      <c r="M99" s="61">
        <f t="shared" si="28"/>
        <v>1</v>
      </c>
      <c r="N99" s="61">
        <f t="shared" si="29"/>
        <v>1</v>
      </c>
      <c r="O99" s="61">
        <f t="shared" si="30"/>
        <v>1</v>
      </c>
      <c r="P99" s="61">
        <f t="shared" si="31"/>
        <v>1</v>
      </c>
      <c r="Q99" s="502"/>
      <c r="R99" s="589"/>
    </row>
    <row r="100" spans="1:18" outlineLevel="1" x14ac:dyDescent="0.2">
      <c r="A100" s="502"/>
      <c r="B100" s="502"/>
      <c r="C100" s="589"/>
      <c r="D100" s="564"/>
      <c r="E100" s="564"/>
      <c r="F100" s="564"/>
      <c r="G100" s="564"/>
      <c r="H100" s="564"/>
      <c r="I100" s="564"/>
      <c r="J100" s="382"/>
      <c r="K100" s="61">
        <f t="shared" si="26"/>
        <v>1</v>
      </c>
      <c r="L100" s="61">
        <f t="shared" si="27"/>
        <v>1</v>
      </c>
      <c r="M100" s="61">
        <f t="shared" si="28"/>
        <v>1</v>
      </c>
      <c r="N100" s="61">
        <f t="shared" si="29"/>
        <v>1</v>
      </c>
      <c r="O100" s="61">
        <f t="shared" si="30"/>
        <v>1</v>
      </c>
      <c r="P100" s="61">
        <f t="shared" si="31"/>
        <v>1</v>
      </c>
      <c r="Q100" s="502"/>
      <c r="R100" s="589"/>
    </row>
    <row r="101" spans="1:18" outlineLevel="1" x14ac:dyDescent="0.2">
      <c r="A101" s="502"/>
      <c r="B101" s="502"/>
      <c r="C101" s="589"/>
      <c r="D101" s="564"/>
      <c r="E101" s="564"/>
      <c r="F101" s="564"/>
      <c r="G101" s="564"/>
      <c r="H101" s="564"/>
      <c r="I101" s="564"/>
      <c r="J101" s="382"/>
      <c r="K101" s="61">
        <f t="shared" si="26"/>
        <v>1</v>
      </c>
      <c r="L101" s="61">
        <f t="shared" si="27"/>
        <v>1</v>
      </c>
      <c r="M101" s="61">
        <f t="shared" si="28"/>
        <v>1</v>
      </c>
      <c r="N101" s="61">
        <f t="shared" si="29"/>
        <v>1</v>
      </c>
      <c r="O101" s="61">
        <f t="shared" si="30"/>
        <v>1</v>
      </c>
      <c r="P101" s="61">
        <f t="shared" si="31"/>
        <v>1</v>
      </c>
      <c r="Q101" s="502"/>
      <c r="R101" s="589"/>
    </row>
    <row r="102" spans="1:18" outlineLevel="1" x14ac:dyDescent="0.2">
      <c r="A102" s="502"/>
      <c r="B102" s="502"/>
      <c r="C102" s="589"/>
      <c r="D102" s="564"/>
      <c r="E102" s="564"/>
      <c r="F102" s="564"/>
      <c r="G102" s="564"/>
      <c r="H102" s="564"/>
      <c r="I102" s="564"/>
      <c r="J102" s="382"/>
      <c r="K102" s="61">
        <f t="shared" si="26"/>
        <v>1</v>
      </c>
      <c r="L102" s="61">
        <f t="shared" si="27"/>
        <v>1</v>
      </c>
      <c r="M102" s="61">
        <f t="shared" si="28"/>
        <v>1</v>
      </c>
      <c r="N102" s="61">
        <f t="shared" si="29"/>
        <v>1</v>
      </c>
      <c r="O102" s="61">
        <f t="shared" si="30"/>
        <v>1</v>
      </c>
      <c r="P102" s="61">
        <f t="shared" si="31"/>
        <v>1</v>
      </c>
      <c r="Q102" s="502"/>
      <c r="R102" s="589"/>
    </row>
    <row r="103" spans="1:18" outlineLevel="1" x14ac:dyDescent="0.2">
      <c r="A103" s="502"/>
      <c r="B103" s="502"/>
      <c r="C103" s="589"/>
      <c r="D103" s="564"/>
      <c r="E103" s="564"/>
      <c r="F103" s="564"/>
      <c r="G103" s="564"/>
      <c r="H103" s="564"/>
      <c r="I103" s="564"/>
      <c r="J103" s="382"/>
      <c r="K103" s="61">
        <f t="shared" si="26"/>
        <v>1</v>
      </c>
      <c r="L103" s="61">
        <f t="shared" si="27"/>
        <v>1</v>
      </c>
      <c r="M103" s="61">
        <f t="shared" si="28"/>
        <v>1</v>
      </c>
      <c r="N103" s="61">
        <f t="shared" si="29"/>
        <v>1</v>
      </c>
      <c r="O103" s="61">
        <f t="shared" si="30"/>
        <v>1</v>
      </c>
      <c r="P103" s="61">
        <f t="shared" si="31"/>
        <v>1</v>
      </c>
      <c r="Q103" s="502"/>
      <c r="R103" s="589"/>
    </row>
    <row r="104" spans="1:18" outlineLevel="1" x14ac:dyDescent="0.2">
      <c r="A104" s="502"/>
      <c r="B104" s="502"/>
      <c r="C104" s="589"/>
      <c r="D104" s="564"/>
      <c r="E104" s="564"/>
      <c r="F104" s="564"/>
      <c r="G104" s="564"/>
      <c r="H104" s="564"/>
      <c r="I104" s="564"/>
      <c r="J104" s="382"/>
      <c r="K104" s="61">
        <f>IF(D104="",1,D104)</f>
        <v>1</v>
      </c>
      <c r="L104" s="61">
        <f t="shared" si="27"/>
        <v>1</v>
      </c>
      <c r="M104" s="61">
        <f t="shared" si="28"/>
        <v>1</v>
      </c>
      <c r="N104" s="61">
        <f t="shared" si="29"/>
        <v>1</v>
      </c>
      <c r="O104" s="61">
        <f t="shared" si="30"/>
        <v>1</v>
      </c>
      <c r="P104" s="61">
        <f t="shared" si="31"/>
        <v>1</v>
      </c>
      <c r="Q104" s="502"/>
      <c r="R104" s="589"/>
    </row>
    <row r="105" spans="1:18" outlineLevel="1" x14ac:dyDescent="0.2">
      <c r="A105" s="502"/>
      <c r="B105" s="502"/>
      <c r="C105" s="35" t="s">
        <v>246</v>
      </c>
      <c r="D105" s="566">
        <f t="shared" ref="D105:I105" si="32">K95*K96*K97*K98*K104*K99*K100*K101*K102*K103</f>
        <v>1</v>
      </c>
      <c r="E105" s="566">
        <f t="shared" si="32"/>
        <v>1</v>
      </c>
      <c r="F105" s="566">
        <f t="shared" si="32"/>
        <v>1</v>
      </c>
      <c r="G105" s="566">
        <f t="shared" si="32"/>
        <v>1</v>
      </c>
      <c r="H105" s="566">
        <f t="shared" si="32"/>
        <v>1</v>
      </c>
      <c r="I105" s="566">
        <f t="shared" si="32"/>
        <v>1</v>
      </c>
      <c r="J105" s="382"/>
      <c r="K105" s="502"/>
      <c r="L105" s="502"/>
      <c r="M105" s="264"/>
      <c r="N105" s="502"/>
      <c r="O105" s="502"/>
      <c r="P105" s="502"/>
      <c r="Q105" s="502"/>
      <c r="R105" s="502"/>
    </row>
    <row r="106" spans="1:18" outlineLevel="1" x14ac:dyDescent="0.2">
      <c r="A106" s="264"/>
      <c r="B106" s="264"/>
      <c r="C106" s="12" t="s">
        <v>108</v>
      </c>
      <c r="D106" s="410">
        <f t="shared" ref="D106:I106" ca="1" si="33">IF(ISNUMBER(D92),D92*D105,"")</f>
        <v>0</v>
      </c>
      <c r="E106" s="410">
        <f t="shared" ca="1" si="33"/>
        <v>0</v>
      </c>
      <c r="F106" s="410">
        <f t="shared" ca="1" si="33"/>
        <v>0</v>
      </c>
      <c r="G106" s="410">
        <f t="shared" ca="1" si="33"/>
        <v>0</v>
      </c>
      <c r="H106" s="410">
        <f t="shared" ca="1" si="33"/>
        <v>0</v>
      </c>
      <c r="I106" s="410">
        <f t="shared" ca="1" si="33"/>
        <v>0</v>
      </c>
      <c r="J106" s="382"/>
      <c r="K106" s="264"/>
      <c r="L106" s="502"/>
      <c r="M106" s="502"/>
      <c r="N106" s="502"/>
      <c r="O106" s="502"/>
      <c r="P106" s="502"/>
      <c r="Q106" s="502"/>
      <c r="R106" s="502"/>
    </row>
    <row r="107" spans="1:18" outlineLevel="1" x14ac:dyDescent="0.2">
      <c r="A107" s="382"/>
      <c r="B107" s="382"/>
      <c r="C107" s="382"/>
      <c r="D107" s="382"/>
      <c r="E107" s="382"/>
      <c r="F107" s="382"/>
      <c r="G107" s="382"/>
      <c r="H107" s="382"/>
      <c r="I107" s="382"/>
      <c r="J107" s="382"/>
      <c r="K107" s="382"/>
      <c r="L107" s="382"/>
      <c r="M107" s="382"/>
      <c r="N107" s="382"/>
      <c r="O107" s="13"/>
      <c r="P107" s="13"/>
      <c r="Q107" s="382"/>
      <c r="R107" s="382"/>
    </row>
    <row r="108" spans="1:18" outlineLevel="1" x14ac:dyDescent="0.2">
      <c r="A108" s="382"/>
      <c r="B108" s="382"/>
      <c r="C108" s="81" t="str">
        <f>TxPhase1Tx</f>
        <v/>
      </c>
      <c r="D108" s="155"/>
      <c r="E108" s="502"/>
      <c r="F108" s="502"/>
      <c r="G108" s="382"/>
      <c r="H108" s="382"/>
      <c r="I108" s="382"/>
      <c r="J108" s="382"/>
      <c r="K108" s="316" t="s">
        <v>292</v>
      </c>
      <c r="L108" s="316" t="s">
        <v>52</v>
      </c>
      <c r="M108" s="316" t="s">
        <v>381</v>
      </c>
      <c r="N108" s="382"/>
      <c r="O108" s="13"/>
      <c r="P108" s="13"/>
      <c r="Q108" s="382"/>
      <c r="R108" s="19" t="s">
        <v>292</v>
      </c>
    </row>
    <row r="109" spans="1:18" outlineLevel="1" x14ac:dyDescent="0.2">
      <c r="A109" s="382"/>
      <c r="B109" s="382"/>
      <c r="C109" s="22" t="s">
        <v>109</v>
      </c>
      <c r="D109" s="75"/>
      <c r="E109" s="75"/>
      <c r="F109" s="75"/>
      <c r="G109" s="75"/>
      <c r="H109" s="75"/>
      <c r="I109" s="75"/>
      <c r="J109" s="382"/>
      <c r="K109" s="198">
        <f>IF(D88&lt;&gt;"",MATCH(D88,EPISource,0)-1,0)</f>
        <v>0</v>
      </c>
      <c r="L109" s="198">
        <f ca="1">IF(F88&lt;&gt;"",MATCH(F88,OFFSET(References!$AB$7,0,K109,PxPopCount),0),0)</f>
        <v>0</v>
      </c>
      <c r="M109" s="198">
        <f ca="1">(K109*PxPopCount)+L109</f>
        <v>0</v>
      </c>
      <c r="N109" s="382"/>
      <c r="O109" s="13"/>
      <c r="P109" s="13"/>
      <c r="Q109" s="382"/>
      <c r="R109" s="582"/>
    </row>
    <row r="110" spans="1:18" outlineLevel="1" x14ac:dyDescent="0.2">
      <c r="A110" s="382"/>
      <c r="B110" s="382"/>
      <c r="C110" s="382"/>
      <c r="D110" s="382"/>
      <c r="E110" s="567"/>
      <c r="F110" s="382"/>
      <c r="G110" s="382"/>
      <c r="H110" s="382"/>
      <c r="I110" s="382"/>
      <c r="J110" s="382"/>
      <c r="K110" s="4"/>
      <c r="L110" s="4"/>
      <c r="M110" s="382"/>
      <c r="N110" s="382"/>
      <c r="O110" s="13"/>
      <c r="P110" s="13"/>
      <c r="Q110" s="382"/>
      <c r="R110" s="382"/>
    </row>
    <row r="111" spans="1:18" outlineLevel="1" x14ac:dyDescent="0.2">
      <c r="A111" s="382"/>
      <c r="B111" s="382"/>
      <c r="C111" s="590" t="str">
        <f>TXPhase2Tx</f>
        <v/>
      </c>
      <c r="D111" s="201"/>
      <c r="E111" s="201"/>
      <c r="F111" s="382"/>
      <c r="G111" s="382"/>
      <c r="H111" s="382"/>
      <c r="I111" s="382"/>
      <c r="J111" s="382"/>
      <c r="K111" s="4"/>
      <c r="L111" s="4"/>
      <c r="M111" s="382"/>
      <c r="N111" s="382"/>
      <c r="O111" s="13"/>
      <c r="P111" s="13"/>
      <c r="Q111" s="382"/>
      <c r="R111" s="19" t="s">
        <v>292</v>
      </c>
    </row>
    <row r="112" spans="1:18" outlineLevel="1" x14ac:dyDescent="0.2">
      <c r="A112" s="382"/>
      <c r="B112" s="382"/>
      <c r="C112" s="123" t="str">
        <f>IF(C111&lt;&gt;"","Patients electing treatment (%)","")</f>
        <v/>
      </c>
      <c r="D112" s="75"/>
      <c r="E112" s="75"/>
      <c r="F112" s="75"/>
      <c r="G112" s="75"/>
      <c r="H112" s="75"/>
      <c r="I112" s="75"/>
      <c r="J112" s="382"/>
      <c r="K112" s="502"/>
      <c r="L112" s="13"/>
      <c r="M112" s="382"/>
      <c r="N112" s="382"/>
      <c r="O112" s="13"/>
      <c r="P112" s="13"/>
      <c r="Q112" s="382"/>
      <c r="R112" s="582"/>
    </row>
    <row r="113" spans="1:18" outlineLevel="1" x14ac:dyDescent="0.2">
      <c r="A113" s="382"/>
      <c r="B113" s="382"/>
      <c r="C113" s="382"/>
      <c r="D113" s="382"/>
      <c r="E113" s="382"/>
      <c r="F113" s="382"/>
      <c r="G113" s="382"/>
      <c r="H113" s="382"/>
      <c r="I113" s="382"/>
      <c r="J113" s="382"/>
      <c r="K113" s="382"/>
      <c r="L113" s="382"/>
      <c r="M113" s="382"/>
      <c r="N113" s="382"/>
      <c r="O113" s="13"/>
      <c r="P113" s="13"/>
      <c r="Q113" s="382"/>
      <c r="R113" s="382"/>
    </row>
    <row r="114" spans="1:18" outlineLevel="1" x14ac:dyDescent="0.2">
      <c r="A114" s="502"/>
      <c r="B114" s="502"/>
      <c r="C114" s="585" t="str">
        <f>TxPhase1Px</f>
        <v/>
      </c>
      <c r="D114" s="607">
        <f t="shared" ref="D114:I114" si="34">IF(TxPhase1&lt;&gt;"",D106*D109,0)</f>
        <v>0</v>
      </c>
      <c r="E114" s="607">
        <f t="shared" si="34"/>
        <v>0</v>
      </c>
      <c r="F114" s="607">
        <f t="shared" si="34"/>
        <v>0</v>
      </c>
      <c r="G114" s="607">
        <f t="shared" si="34"/>
        <v>0</v>
      </c>
      <c r="H114" s="607">
        <f t="shared" si="34"/>
        <v>0</v>
      </c>
      <c r="I114" s="607">
        <f t="shared" si="34"/>
        <v>0</v>
      </c>
      <c r="J114" s="598" t="str">
        <f>IF(D117&lt;&gt;"",D117,"")</f>
        <v/>
      </c>
      <c r="K114" s="199"/>
      <c r="L114" s="199"/>
      <c r="M114" s="199"/>
      <c r="N114" s="199"/>
      <c r="O114" s="13"/>
      <c r="P114" s="13"/>
      <c r="Q114" s="502"/>
      <c r="R114" s="502"/>
    </row>
    <row r="115" spans="1:18" outlineLevel="1" x14ac:dyDescent="0.2">
      <c r="A115" s="502"/>
      <c r="B115" s="502"/>
      <c r="C115" s="585" t="str">
        <f>TxPhase2Px</f>
        <v/>
      </c>
      <c r="D115" s="607">
        <f t="shared" ref="D115:I115" si="35">IF(TxPhase2&lt;&gt;"",D106*D112,0)</f>
        <v>0</v>
      </c>
      <c r="E115" s="607">
        <f t="shared" si="35"/>
        <v>0</v>
      </c>
      <c r="F115" s="607">
        <f t="shared" si="35"/>
        <v>0</v>
      </c>
      <c r="G115" s="607">
        <f t="shared" si="35"/>
        <v>0</v>
      </c>
      <c r="H115" s="607">
        <f t="shared" si="35"/>
        <v>0</v>
      </c>
      <c r="I115" s="607">
        <f t="shared" si="35"/>
        <v>0</v>
      </c>
      <c r="J115" s="598" t="str">
        <f>IF(D117&lt;&gt;"",D117,"")</f>
        <v/>
      </c>
      <c r="K115" s="502"/>
      <c r="L115" s="502"/>
      <c r="M115" s="264"/>
      <c r="N115" s="502"/>
      <c r="O115" s="13"/>
      <c r="P115" s="13"/>
      <c r="Q115" s="502"/>
      <c r="R115" s="502"/>
    </row>
    <row r="116" spans="1:18" s="570" customFormat="1" outlineLevel="1" x14ac:dyDescent="0.2">
      <c r="A116" s="572"/>
      <c r="B116" s="572"/>
      <c r="C116" s="572"/>
      <c r="D116" s="572"/>
      <c r="E116" s="572"/>
      <c r="F116" s="572"/>
      <c r="G116" s="572"/>
      <c r="H116" s="572"/>
      <c r="I116" s="572"/>
      <c r="J116" s="593"/>
      <c r="K116" s="572"/>
      <c r="L116" s="572"/>
      <c r="M116" s="597"/>
      <c r="N116" s="572"/>
      <c r="O116" s="575"/>
      <c r="P116" s="575"/>
      <c r="Q116" s="572"/>
      <c r="R116" s="572"/>
    </row>
    <row r="117" spans="1:18" s="570" customFormat="1" outlineLevel="1" x14ac:dyDescent="0.2">
      <c r="A117" s="572"/>
      <c r="B117" s="572"/>
      <c r="C117" s="122" t="s">
        <v>817</v>
      </c>
      <c r="D117" s="375"/>
      <c r="E117" s="572"/>
      <c r="F117" s="572"/>
      <c r="G117" s="572"/>
      <c r="H117" s="572"/>
      <c r="I117" s="572"/>
      <c r="J117" s="593"/>
      <c r="K117" s="572"/>
      <c r="L117" s="572"/>
      <c r="M117" s="597"/>
      <c r="N117" s="572"/>
      <c r="O117" s="575"/>
      <c r="P117" s="575"/>
      <c r="Q117" s="572"/>
      <c r="R117" s="572"/>
    </row>
    <row r="118" spans="1:18" outlineLevel="1" x14ac:dyDescent="0.2">
      <c r="A118" s="502"/>
      <c r="B118" s="502"/>
      <c r="C118" s="502"/>
      <c r="D118" s="502"/>
      <c r="E118" s="502"/>
      <c r="F118" s="502"/>
      <c r="G118" s="502"/>
      <c r="H118" s="502"/>
      <c r="I118" s="502"/>
      <c r="J118" s="382"/>
      <c r="K118" s="502"/>
      <c r="L118" s="502"/>
      <c r="M118" s="264"/>
      <c r="N118" s="502"/>
      <c r="O118" s="13"/>
      <c r="P118" s="13"/>
      <c r="Q118" s="502"/>
      <c r="R118" s="502"/>
    </row>
    <row r="119" spans="1:18" x14ac:dyDescent="0.2">
      <c r="A119" s="502"/>
      <c r="B119" s="502"/>
      <c r="C119" s="502"/>
      <c r="D119" s="502"/>
      <c r="E119" s="502"/>
      <c r="F119" s="502"/>
      <c r="G119" s="502"/>
      <c r="H119" s="502"/>
      <c r="I119" s="502"/>
      <c r="J119" s="382"/>
      <c r="K119" s="502"/>
      <c r="L119" s="502"/>
      <c r="M119" s="502"/>
      <c r="N119" s="502"/>
      <c r="O119" s="13"/>
      <c r="P119" s="13"/>
      <c r="Q119" s="502"/>
      <c r="R119" s="502"/>
    </row>
    <row r="120" spans="1:18" ht="15.75" x14ac:dyDescent="0.2">
      <c r="A120" s="104"/>
      <c r="B120" s="190">
        <v>3</v>
      </c>
      <c r="C120" s="110" t="str">
        <f>IF(D124&lt;&gt;"",CONCATENATE("Prevalent ",B120,": ",F124,I120),MsgNotUsed)</f>
        <v>** NOT USED **</v>
      </c>
      <c r="D120" s="188"/>
      <c r="E120" s="188"/>
      <c r="F120" s="188"/>
      <c r="G120" s="188"/>
      <c r="H120" s="191"/>
      <c r="I120" s="455" t="str">
        <f>IF(R124&lt;&gt;"",CONCATENATE(" (",R124,")"),"")</f>
        <v/>
      </c>
      <c r="J120" s="187"/>
      <c r="K120" s="187"/>
      <c r="L120" s="187"/>
      <c r="M120" s="187"/>
      <c r="N120" s="187"/>
      <c r="O120" s="187"/>
      <c r="P120" s="187"/>
      <c r="Q120" s="189"/>
      <c r="R120" s="189"/>
    </row>
    <row r="121" spans="1:18" outlineLevel="1" x14ac:dyDescent="0.2">
      <c r="A121" s="599"/>
      <c r="B121" s="599"/>
      <c r="C121" s="595"/>
      <c r="D121" s="599"/>
      <c r="E121" s="599"/>
      <c r="F121" s="599"/>
      <c r="G121" s="599"/>
      <c r="H121" s="599"/>
      <c r="I121" s="599"/>
      <c r="J121" s="593"/>
      <c r="K121" s="599"/>
      <c r="L121" s="599"/>
      <c r="M121" s="599"/>
      <c r="N121" s="599"/>
      <c r="O121" s="599"/>
      <c r="P121" s="599"/>
      <c r="Q121" s="599"/>
      <c r="R121" s="599"/>
    </row>
    <row r="122" spans="1:18" outlineLevel="1" x14ac:dyDescent="0.2">
      <c r="A122" s="599"/>
      <c r="B122" s="599"/>
      <c r="C122" s="572" t="s">
        <v>914</v>
      </c>
      <c r="D122" s="599"/>
      <c r="E122" s="599"/>
      <c r="F122" s="599"/>
      <c r="G122" s="599"/>
      <c r="H122" s="599"/>
      <c r="I122" s="599"/>
      <c r="J122" s="593"/>
      <c r="K122" s="599"/>
      <c r="L122" s="599"/>
      <c r="M122" s="599"/>
      <c r="N122" s="599"/>
      <c r="O122" s="599"/>
      <c r="P122" s="599"/>
      <c r="Q122" s="599"/>
      <c r="R122" s="670" t="str">
        <f ca="1">IF(ISERROR($M145)=TRUE,MsgError &amp; VLOOKUP("BadPop",ErrorMessages,2,FALSE),"")</f>
        <v/>
      </c>
    </row>
    <row r="123" spans="1:18" outlineLevel="1" x14ac:dyDescent="0.2">
      <c r="A123" s="599"/>
      <c r="B123" s="599"/>
      <c r="C123" s="595"/>
      <c r="D123" s="599"/>
      <c r="E123" s="599"/>
      <c r="F123" s="599"/>
      <c r="G123" s="599"/>
      <c r="H123" s="599"/>
      <c r="I123" s="599"/>
      <c r="J123" s="593"/>
      <c r="K123" s="599"/>
      <c r="L123" s="599"/>
      <c r="M123" s="599"/>
      <c r="N123" s="599"/>
      <c r="O123" s="599"/>
      <c r="P123" s="599"/>
      <c r="Q123" s="599"/>
      <c r="R123" s="577" t="s">
        <v>470</v>
      </c>
    </row>
    <row r="124" spans="1:18" outlineLevel="1" x14ac:dyDescent="0.2">
      <c r="A124" s="599"/>
      <c r="B124" s="599"/>
      <c r="C124" s="578" t="s">
        <v>131</v>
      </c>
      <c r="D124" s="605"/>
      <c r="E124" s="594"/>
      <c r="F124" s="774"/>
      <c r="G124" s="775"/>
      <c r="H124" s="775"/>
      <c r="I124" s="775"/>
      <c r="J124" s="593"/>
      <c r="K124" s="599"/>
      <c r="L124" s="599"/>
      <c r="M124" s="599"/>
      <c r="N124" s="599"/>
      <c r="O124" s="599"/>
      <c r="P124" s="599"/>
      <c r="Q124" s="599"/>
      <c r="R124" s="606"/>
    </row>
    <row r="125" spans="1:18" outlineLevel="1" x14ac:dyDescent="0.2">
      <c r="A125" s="599"/>
      <c r="B125" s="599"/>
      <c r="C125" s="595"/>
      <c r="D125" s="600">
        <v>1</v>
      </c>
      <c r="E125" s="600">
        <v>2</v>
      </c>
      <c r="F125" s="600">
        <v>3</v>
      </c>
      <c r="G125" s="600">
        <v>4</v>
      </c>
      <c r="H125" s="600">
        <v>5</v>
      </c>
      <c r="I125" s="600">
        <v>6</v>
      </c>
      <c r="J125" s="593"/>
      <c r="K125" s="599"/>
      <c r="L125" s="599"/>
      <c r="M125" s="599"/>
      <c r="N125" s="599"/>
      <c r="O125" s="599"/>
      <c r="P125" s="599"/>
      <c r="Q125" s="599"/>
      <c r="R125" s="599"/>
    </row>
    <row r="126" spans="1:18" outlineLevel="1" x14ac:dyDescent="0.2">
      <c r="A126" s="599"/>
      <c r="B126" s="599"/>
      <c r="C126" s="595"/>
      <c r="D126" s="776" t="s">
        <v>11</v>
      </c>
      <c r="E126" s="776"/>
      <c r="F126" s="776"/>
      <c r="G126" s="776"/>
      <c r="H126" s="776"/>
      <c r="I126" s="776"/>
      <c r="J126" s="593"/>
      <c r="K126" s="599"/>
      <c r="L126" s="599"/>
      <c r="M126" s="599"/>
      <c r="N126" s="599"/>
      <c r="O126" s="599"/>
      <c r="P126" s="599"/>
      <c r="Q126" s="599"/>
      <c r="R126" s="599"/>
    </row>
    <row r="127" spans="1:18" outlineLevel="1" x14ac:dyDescent="0.2">
      <c r="A127" s="599"/>
      <c r="B127" s="599"/>
      <c r="C127" s="573"/>
      <c r="D127" s="588">
        <f>FirstYear</f>
        <v>0</v>
      </c>
      <c r="E127" s="588">
        <f>D127+1</f>
        <v>1</v>
      </c>
      <c r="F127" s="588">
        <f>E127+1</f>
        <v>2</v>
      </c>
      <c r="G127" s="588">
        <f>F127+1</f>
        <v>3</v>
      </c>
      <c r="H127" s="588">
        <f>G127+1</f>
        <v>4</v>
      </c>
      <c r="I127" s="588">
        <f>H127+1</f>
        <v>5</v>
      </c>
      <c r="J127" s="593"/>
      <c r="K127" s="599"/>
      <c r="L127" s="599"/>
      <c r="M127" s="599"/>
      <c r="N127" s="599"/>
      <c r="O127" s="599"/>
      <c r="P127" s="599"/>
      <c r="Q127" s="599"/>
      <c r="R127" s="599"/>
    </row>
    <row r="128" spans="1:18" outlineLevel="1" x14ac:dyDescent="0.2">
      <c r="A128" s="572"/>
      <c r="B128" s="572"/>
      <c r="C128" s="576" t="s">
        <v>110</v>
      </c>
      <c r="D128" s="596">
        <f t="shared" ref="D128:I128" ca="1" si="36">IF(AND(ISERROR($M145)&lt;&gt;TRUE,$F124&lt;&gt;""),INDEX(PxPopNumbers,$M145,D125),0)</f>
        <v>0</v>
      </c>
      <c r="E128" s="596">
        <f t="shared" ca="1" si="36"/>
        <v>0</v>
      </c>
      <c r="F128" s="596">
        <f t="shared" ca="1" si="36"/>
        <v>0</v>
      </c>
      <c r="G128" s="596">
        <f t="shared" ca="1" si="36"/>
        <v>0</v>
      </c>
      <c r="H128" s="596">
        <f t="shared" ca="1" si="36"/>
        <v>0</v>
      </c>
      <c r="I128" s="596">
        <f t="shared" ca="1" si="36"/>
        <v>0</v>
      </c>
      <c r="J128" s="593"/>
      <c r="K128" s="572"/>
      <c r="L128" s="572"/>
      <c r="M128" s="572"/>
      <c r="N128" s="572"/>
      <c r="O128" s="572"/>
      <c r="P128" s="572"/>
      <c r="Q128" s="595"/>
      <c r="R128" s="572"/>
    </row>
    <row r="129" spans="1:18" outlineLevel="1" x14ac:dyDescent="0.2">
      <c r="A129" s="593"/>
      <c r="B129" s="593"/>
      <c r="C129" s="593"/>
      <c r="D129" s="593"/>
      <c r="E129" s="593"/>
      <c r="F129" s="593"/>
      <c r="G129" s="593"/>
      <c r="H129" s="593"/>
      <c r="I129" s="593"/>
      <c r="J129" s="593"/>
      <c r="K129" s="572"/>
      <c r="L129" s="572"/>
      <c r="M129" s="572"/>
      <c r="N129" s="572"/>
      <c r="O129" s="572"/>
      <c r="P129" s="572"/>
      <c r="Q129" s="593"/>
      <c r="R129" s="593"/>
    </row>
    <row r="130" spans="1:18" outlineLevel="1" x14ac:dyDescent="0.2">
      <c r="A130" s="593"/>
      <c r="B130" s="593"/>
      <c r="C130" s="579" t="s">
        <v>238</v>
      </c>
      <c r="D130" s="593"/>
      <c r="E130" s="593"/>
      <c r="F130" s="593"/>
      <c r="G130" s="593"/>
      <c r="H130" s="593"/>
      <c r="I130" s="593"/>
      <c r="J130" s="593"/>
      <c r="K130" s="572"/>
      <c r="L130" s="572"/>
      <c r="M130" s="593"/>
      <c r="N130" s="593"/>
      <c r="O130" s="593"/>
      <c r="P130" s="593"/>
      <c r="Q130" s="593"/>
      <c r="R130" s="577" t="s">
        <v>292</v>
      </c>
    </row>
    <row r="131" spans="1:18" outlineLevel="1" x14ac:dyDescent="0.2">
      <c r="A131" s="572"/>
      <c r="B131" s="572"/>
      <c r="C131" s="589"/>
      <c r="D131" s="610"/>
      <c r="E131" s="610"/>
      <c r="F131" s="610"/>
      <c r="G131" s="610"/>
      <c r="H131" s="610"/>
      <c r="I131" s="610"/>
      <c r="J131" s="593"/>
      <c r="K131" s="581">
        <f t="shared" ref="K131:K139" si="37">IF(D131="",1,D131)</f>
        <v>1</v>
      </c>
      <c r="L131" s="581">
        <f t="shared" ref="L131:L140" si="38">IF(E131="",1,E131)</f>
        <v>1</v>
      </c>
      <c r="M131" s="581">
        <f t="shared" ref="M131:M140" si="39">IF(F131="",1,F131)</f>
        <v>1</v>
      </c>
      <c r="N131" s="581">
        <f t="shared" ref="N131:N140" si="40">IF(G131="",1,G131)</f>
        <v>1</v>
      </c>
      <c r="O131" s="581">
        <f t="shared" ref="O131:O140" si="41">IF(H131="",1,H131)</f>
        <v>1</v>
      </c>
      <c r="P131" s="581">
        <f t="shared" ref="P131:P140" si="42">IF(I131="",1,I131)</f>
        <v>1</v>
      </c>
      <c r="Q131" s="572"/>
      <c r="R131" s="589"/>
    </row>
    <row r="132" spans="1:18" outlineLevel="1" x14ac:dyDescent="0.2">
      <c r="A132" s="572"/>
      <c r="B132" s="572"/>
      <c r="C132" s="589"/>
      <c r="D132" s="610"/>
      <c r="E132" s="610"/>
      <c r="F132" s="610"/>
      <c r="G132" s="610"/>
      <c r="H132" s="610"/>
      <c r="I132" s="610"/>
      <c r="J132" s="593"/>
      <c r="K132" s="581">
        <f t="shared" si="37"/>
        <v>1</v>
      </c>
      <c r="L132" s="581">
        <f t="shared" si="38"/>
        <v>1</v>
      </c>
      <c r="M132" s="581">
        <f t="shared" si="39"/>
        <v>1</v>
      </c>
      <c r="N132" s="581">
        <f t="shared" si="40"/>
        <v>1</v>
      </c>
      <c r="O132" s="581">
        <f t="shared" si="41"/>
        <v>1</v>
      </c>
      <c r="P132" s="581">
        <f t="shared" si="42"/>
        <v>1</v>
      </c>
      <c r="Q132" s="572"/>
      <c r="R132" s="589"/>
    </row>
    <row r="133" spans="1:18" outlineLevel="1" x14ac:dyDescent="0.2">
      <c r="A133" s="572"/>
      <c r="B133" s="572"/>
      <c r="C133" s="589"/>
      <c r="D133" s="610"/>
      <c r="E133" s="610"/>
      <c r="F133" s="610"/>
      <c r="G133" s="610"/>
      <c r="H133" s="610"/>
      <c r="I133" s="610"/>
      <c r="J133" s="593"/>
      <c r="K133" s="581">
        <f t="shared" si="37"/>
        <v>1</v>
      </c>
      <c r="L133" s="581">
        <f t="shared" si="38"/>
        <v>1</v>
      </c>
      <c r="M133" s="581">
        <f t="shared" si="39"/>
        <v>1</v>
      </c>
      <c r="N133" s="581">
        <f t="shared" si="40"/>
        <v>1</v>
      </c>
      <c r="O133" s="581">
        <f t="shared" si="41"/>
        <v>1</v>
      </c>
      <c r="P133" s="581">
        <f t="shared" si="42"/>
        <v>1</v>
      </c>
      <c r="Q133" s="572"/>
      <c r="R133" s="589"/>
    </row>
    <row r="134" spans="1:18" outlineLevel="1" x14ac:dyDescent="0.2">
      <c r="A134" s="572"/>
      <c r="B134" s="572"/>
      <c r="C134" s="589"/>
      <c r="D134" s="610"/>
      <c r="E134" s="610"/>
      <c r="F134" s="610"/>
      <c r="G134" s="610"/>
      <c r="H134" s="610"/>
      <c r="I134" s="610"/>
      <c r="J134" s="593"/>
      <c r="K134" s="581">
        <f t="shared" si="37"/>
        <v>1</v>
      </c>
      <c r="L134" s="581">
        <f t="shared" si="38"/>
        <v>1</v>
      </c>
      <c r="M134" s="581">
        <f t="shared" si="39"/>
        <v>1</v>
      </c>
      <c r="N134" s="581">
        <f t="shared" si="40"/>
        <v>1</v>
      </c>
      <c r="O134" s="581">
        <f t="shared" si="41"/>
        <v>1</v>
      </c>
      <c r="P134" s="581">
        <f t="shared" si="42"/>
        <v>1</v>
      </c>
      <c r="Q134" s="572"/>
      <c r="R134" s="589"/>
    </row>
    <row r="135" spans="1:18" outlineLevel="1" x14ac:dyDescent="0.2">
      <c r="A135" s="572"/>
      <c r="B135" s="572"/>
      <c r="C135" s="589"/>
      <c r="D135" s="610"/>
      <c r="E135" s="610"/>
      <c r="F135" s="610"/>
      <c r="G135" s="610"/>
      <c r="H135" s="610"/>
      <c r="I135" s="610"/>
      <c r="J135" s="593"/>
      <c r="K135" s="581">
        <f t="shared" si="37"/>
        <v>1</v>
      </c>
      <c r="L135" s="581">
        <f t="shared" si="38"/>
        <v>1</v>
      </c>
      <c r="M135" s="581">
        <f t="shared" si="39"/>
        <v>1</v>
      </c>
      <c r="N135" s="581">
        <f t="shared" si="40"/>
        <v>1</v>
      </c>
      <c r="O135" s="581">
        <f t="shared" si="41"/>
        <v>1</v>
      </c>
      <c r="P135" s="581">
        <f t="shared" si="42"/>
        <v>1</v>
      </c>
      <c r="Q135" s="572"/>
      <c r="R135" s="589"/>
    </row>
    <row r="136" spans="1:18" outlineLevel="1" x14ac:dyDescent="0.2">
      <c r="A136" s="572"/>
      <c r="B136" s="572"/>
      <c r="C136" s="589"/>
      <c r="D136" s="610"/>
      <c r="E136" s="610"/>
      <c r="F136" s="610"/>
      <c r="G136" s="610"/>
      <c r="H136" s="610"/>
      <c r="I136" s="610"/>
      <c r="J136" s="593"/>
      <c r="K136" s="581">
        <f t="shared" si="37"/>
        <v>1</v>
      </c>
      <c r="L136" s="581">
        <f t="shared" si="38"/>
        <v>1</v>
      </c>
      <c r="M136" s="581">
        <f t="shared" si="39"/>
        <v>1</v>
      </c>
      <c r="N136" s="581">
        <f t="shared" si="40"/>
        <v>1</v>
      </c>
      <c r="O136" s="581">
        <f t="shared" si="41"/>
        <v>1</v>
      </c>
      <c r="P136" s="581">
        <f t="shared" si="42"/>
        <v>1</v>
      </c>
      <c r="Q136" s="572"/>
      <c r="R136" s="589"/>
    </row>
    <row r="137" spans="1:18" outlineLevel="1" x14ac:dyDescent="0.2">
      <c r="A137" s="572"/>
      <c r="B137" s="572"/>
      <c r="C137" s="589"/>
      <c r="D137" s="610"/>
      <c r="E137" s="610"/>
      <c r="F137" s="610"/>
      <c r="G137" s="610"/>
      <c r="H137" s="610"/>
      <c r="I137" s="610"/>
      <c r="J137" s="593"/>
      <c r="K137" s="581">
        <f t="shared" si="37"/>
        <v>1</v>
      </c>
      <c r="L137" s="581">
        <f t="shared" si="38"/>
        <v>1</v>
      </c>
      <c r="M137" s="581">
        <f t="shared" si="39"/>
        <v>1</v>
      </c>
      <c r="N137" s="581">
        <f t="shared" si="40"/>
        <v>1</v>
      </c>
      <c r="O137" s="581">
        <f t="shared" si="41"/>
        <v>1</v>
      </c>
      <c r="P137" s="581">
        <f t="shared" si="42"/>
        <v>1</v>
      </c>
      <c r="Q137" s="572"/>
      <c r="R137" s="589"/>
    </row>
    <row r="138" spans="1:18" outlineLevel="1" x14ac:dyDescent="0.2">
      <c r="A138" s="572"/>
      <c r="B138" s="572"/>
      <c r="C138" s="589"/>
      <c r="D138" s="610"/>
      <c r="E138" s="610"/>
      <c r="F138" s="610"/>
      <c r="G138" s="610"/>
      <c r="H138" s="610"/>
      <c r="I138" s="610"/>
      <c r="J138" s="593"/>
      <c r="K138" s="581">
        <f t="shared" si="37"/>
        <v>1</v>
      </c>
      <c r="L138" s="581">
        <f t="shared" si="38"/>
        <v>1</v>
      </c>
      <c r="M138" s="581">
        <f t="shared" si="39"/>
        <v>1</v>
      </c>
      <c r="N138" s="581">
        <f t="shared" si="40"/>
        <v>1</v>
      </c>
      <c r="O138" s="581">
        <f t="shared" si="41"/>
        <v>1</v>
      </c>
      <c r="P138" s="581">
        <f t="shared" si="42"/>
        <v>1</v>
      </c>
      <c r="Q138" s="572"/>
      <c r="R138" s="589"/>
    </row>
    <row r="139" spans="1:18" outlineLevel="1" x14ac:dyDescent="0.2">
      <c r="A139" s="572"/>
      <c r="B139" s="572"/>
      <c r="C139" s="589"/>
      <c r="D139" s="610"/>
      <c r="E139" s="610"/>
      <c r="F139" s="610"/>
      <c r="G139" s="610"/>
      <c r="H139" s="610"/>
      <c r="I139" s="610"/>
      <c r="J139" s="593"/>
      <c r="K139" s="581">
        <f t="shared" si="37"/>
        <v>1</v>
      </c>
      <c r="L139" s="581">
        <f t="shared" si="38"/>
        <v>1</v>
      </c>
      <c r="M139" s="581">
        <f t="shared" si="39"/>
        <v>1</v>
      </c>
      <c r="N139" s="581">
        <f t="shared" si="40"/>
        <v>1</v>
      </c>
      <c r="O139" s="581">
        <f t="shared" si="41"/>
        <v>1</v>
      </c>
      <c r="P139" s="581">
        <f t="shared" si="42"/>
        <v>1</v>
      </c>
      <c r="Q139" s="572"/>
      <c r="R139" s="589"/>
    </row>
    <row r="140" spans="1:18" outlineLevel="1" x14ac:dyDescent="0.2">
      <c r="A140" s="572"/>
      <c r="B140" s="572"/>
      <c r="C140" s="589"/>
      <c r="D140" s="610"/>
      <c r="E140" s="610"/>
      <c r="F140" s="610"/>
      <c r="G140" s="610"/>
      <c r="H140" s="610"/>
      <c r="I140" s="610"/>
      <c r="J140" s="593"/>
      <c r="K140" s="581">
        <f>IF(D140="",1,D140)</f>
        <v>1</v>
      </c>
      <c r="L140" s="581">
        <f t="shared" si="38"/>
        <v>1</v>
      </c>
      <c r="M140" s="581">
        <f t="shared" si="39"/>
        <v>1</v>
      </c>
      <c r="N140" s="581">
        <f t="shared" si="40"/>
        <v>1</v>
      </c>
      <c r="O140" s="581">
        <f t="shared" si="41"/>
        <v>1</v>
      </c>
      <c r="P140" s="581">
        <f t="shared" si="42"/>
        <v>1</v>
      </c>
      <c r="Q140" s="572"/>
      <c r="R140" s="589"/>
    </row>
    <row r="141" spans="1:18" outlineLevel="1" x14ac:dyDescent="0.2">
      <c r="A141" s="572"/>
      <c r="B141" s="572"/>
      <c r="C141" s="580" t="s">
        <v>246</v>
      </c>
      <c r="D141" s="611">
        <f t="shared" ref="D141:I141" si="43">K131*K132*K133*K134*K140*K135*K136*K137*K138*K139</f>
        <v>1</v>
      </c>
      <c r="E141" s="611">
        <f t="shared" si="43"/>
        <v>1</v>
      </c>
      <c r="F141" s="611">
        <f t="shared" si="43"/>
        <v>1</v>
      </c>
      <c r="G141" s="611">
        <f t="shared" si="43"/>
        <v>1</v>
      </c>
      <c r="H141" s="611">
        <f t="shared" si="43"/>
        <v>1</v>
      </c>
      <c r="I141" s="611">
        <f t="shared" si="43"/>
        <v>1</v>
      </c>
      <c r="J141" s="593"/>
      <c r="K141" s="572"/>
      <c r="L141" s="572"/>
      <c r="M141" s="597"/>
      <c r="N141" s="572"/>
      <c r="O141" s="572"/>
      <c r="P141" s="572"/>
      <c r="Q141" s="572"/>
      <c r="R141" s="572"/>
    </row>
    <row r="142" spans="1:18" outlineLevel="1" x14ac:dyDescent="0.2">
      <c r="A142" s="597"/>
      <c r="B142" s="597"/>
      <c r="C142" s="574" t="s">
        <v>108</v>
      </c>
      <c r="D142" s="607">
        <f t="shared" ref="D142:I142" ca="1" si="44">IF(ISNUMBER(D128),D128*D141,"")</f>
        <v>0</v>
      </c>
      <c r="E142" s="607">
        <f t="shared" ca="1" si="44"/>
        <v>0</v>
      </c>
      <c r="F142" s="607">
        <f t="shared" ca="1" si="44"/>
        <v>0</v>
      </c>
      <c r="G142" s="607">
        <f t="shared" ca="1" si="44"/>
        <v>0</v>
      </c>
      <c r="H142" s="607">
        <f t="shared" ca="1" si="44"/>
        <v>0</v>
      </c>
      <c r="I142" s="607">
        <f t="shared" ca="1" si="44"/>
        <v>0</v>
      </c>
      <c r="J142" s="593"/>
      <c r="K142" s="597"/>
      <c r="L142" s="572"/>
      <c r="M142" s="572"/>
      <c r="N142" s="572"/>
      <c r="O142" s="572"/>
      <c r="P142" s="572"/>
      <c r="Q142" s="572"/>
      <c r="R142" s="572"/>
    </row>
    <row r="143" spans="1:18" outlineLevel="1" x14ac:dyDescent="0.2">
      <c r="A143" s="593"/>
      <c r="B143" s="593"/>
      <c r="C143" s="593"/>
      <c r="D143" s="593"/>
      <c r="E143" s="593"/>
      <c r="F143" s="593"/>
      <c r="G143" s="593"/>
      <c r="H143" s="593"/>
      <c r="I143" s="593"/>
      <c r="J143" s="593"/>
      <c r="K143" s="593"/>
      <c r="L143" s="593"/>
      <c r="M143" s="593"/>
      <c r="N143" s="593"/>
      <c r="O143" s="575"/>
      <c r="P143" s="575"/>
      <c r="Q143" s="593"/>
      <c r="R143" s="593"/>
    </row>
    <row r="144" spans="1:18" outlineLevel="1" x14ac:dyDescent="0.2">
      <c r="A144" s="593"/>
      <c r="B144" s="593"/>
      <c r="C144" s="585" t="str">
        <f>TxPhase1Tx</f>
        <v/>
      </c>
      <c r="D144" s="591"/>
      <c r="E144" s="572"/>
      <c r="F144" s="572"/>
      <c r="G144" s="593"/>
      <c r="H144" s="593"/>
      <c r="I144" s="593"/>
      <c r="J144" s="593"/>
      <c r="K144" s="604" t="s">
        <v>292</v>
      </c>
      <c r="L144" s="604" t="s">
        <v>52</v>
      </c>
      <c r="M144" s="604" t="s">
        <v>381</v>
      </c>
      <c r="N144" s="593"/>
      <c r="O144" s="575"/>
      <c r="P144" s="575"/>
      <c r="Q144" s="593"/>
      <c r="R144" s="577" t="s">
        <v>292</v>
      </c>
    </row>
    <row r="145" spans="1:18" outlineLevel="1" x14ac:dyDescent="0.2">
      <c r="A145" s="593"/>
      <c r="B145" s="593"/>
      <c r="C145" s="585" t="s">
        <v>109</v>
      </c>
      <c r="D145" s="584"/>
      <c r="E145" s="584"/>
      <c r="F145" s="584"/>
      <c r="G145" s="584"/>
      <c r="H145" s="584"/>
      <c r="I145" s="584"/>
      <c r="J145" s="593"/>
      <c r="K145" s="598">
        <f>IF(D124&lt;&gt;"",MATCH(D124,EPISource,0)-1,0)</f>
        <v>0</v>
      </c>
      <c r="L145" s="598">
        <f ca="1">IF(F124&lt;&gt;"",MATCH(F124,OFFSET(References!$AB$7,0,K145,PxPopCount),0),0)</f>
        <v>0</v>
      </c>
      <c r="M145" s="598">
        <f ca="1">(K145*PxPopCount)+L145</f>
        <v>0</v>
      </c>
      <c r="N145" s="593"/>
      <c r="O145" s="575"/>
      <c r="P145" s="575"/>
      <c r="Q145" s="593"/>
      <c r="R145" s="582"/>
    </row>
    <row r="146" spans="1:18" outlineLevel="1" x14ac:dyDescent="0.2">
      <c r="A146" s="593"/>
      <c r="B146" s="593"/>
      <c r="C146" s="593"/>
      <c r="D146" s="593"/>
      <c r="E146" s="612"/>
      <c r="F146" s="593"/>
      <c r="G146" s="593"/>
      <c r="H146" s="593"/>
      <c r="I146" s="593"/>
      <c r="J146" s="593"/>
      <c r="K146" s="571"/>
      <c r="L146" s="571"/>
      <c r="M146" s="593"/>
      <c r="N146" s="593"/>
      <c r="O146" s="575"/>
      <c r="P146" s="575"/>
      <c r="Q146" s="593"/>
      <c r="R146" s="593"/>
    </row>
    <row r="147" spans="1:18" outlineLevel="1" x14ac:dyDescent="0.2">
      <c r="A147" s="593"/>
      <c r="B147" s="593"/>
      <c r="C147" s="590" t="str">
        <f>TXPhase2Tx</f>
        <v/>
      </c>
      <c r="D147" s="600"/>
      <c r="E147" s="600"/>
      <c r="F147" s="593"/>
      <c r="G147" s="593"/>
      <c r="H147" s="593"/>
      <c r="I147" s="593"/>
      <c r="J147" s="593"/>
      <c r="K147" s="571"/>
      <c r="L147" s="571"/>
      <c r="M147" s="593"/>
      <c r="N147" s="593"/>
      <c r="O147" s="575"/>
      <c r="P147" s="575"/>
      <c r="Q147" s="593"/>
      <c r="R147" s="577" t="s">
        <v>292</v>
      </c>
    </row>
    <row r="148" spans="1:18" outlineLevel="1" x14ac:dyDescent="0.2">
      <c r="A148" s="593"/>
      <c r="B148" s="593"/>
      <c r="C148" s="590" t="str">
        <f>IF(C147&lt;&gt;"","Patients electing treatment (%)","")</f>
        <v/>
      </c>
      <c r="D148" s="584"/>
      <c r="E148" s="584"/>
      <c r="F148" s="584"/>
      <c r="G148" s="584"/>
      <c r="H148" s="584"/>
      <c r="I148" s="584"/>
      <c r="J148" s="593"/>
      <c r="K148" s="572"/>
      <c r="L148" s="575"/>
      <c r="M148" s="593"/>
      <c r="N148" s="593"/>
      <c r="O148" s="575"/>
      <c r="P148" s="575"/>
      <c r="Q148" s="593"/>
      <c r="R148" s="582"/>
    </row>
    <row r="149" spans="1:18" outlineLevel="1" x14ac:dyDescent="0.2">
      <c r="A149" s="593"/>
      <c r="B149" s="593"/>
      <c r="C149" s="593"/>
      <c r="D149" s="593"/>
      <c r="E149" s="593"/>
      <c r="F149" s="593"/>
      <c r="G149" s="593"/>
      <c r="H149" s="593"/>
      <c r="I149" s="593"/>
      <c r="J149" s="593"/>
      <c r="K149" s="593"/>
      <c r="L149" s="593"/>
      <c r="M149" s="593"/>
      <c r="N149" s="593"/>
      <c r="O149" s="575"/>
      <c r="P149" s="575"/>
      <c r="Q149" s="593"/>
      <c r="R149" s="593"/>
    </row>
    <row r="150" spans="1:18" outlineLevel="1" x14ac:dyDescent="0.2">
      <c r="A150" s="572"/>
      <c r="B150" s="572"/>
      <c r="C150" s="585" t="str">
        <f>TxPhase1Px</f>
        <v/>
      </c>
      <c r="D150" s="607">
        <f t="shared" ref="D150:I150" si="45">IF(TxPhase1&lt;&gt;"",D142*D145,0)</f>
        <v>0</v>
      </c>
      <c r="E150" s="607">
        <f t="shared" si="45"/>
        <v>0</v>
      </c>
      <c r="F150" s="607">
        <f t="shared" si="45"/>
        <v>0</v>
      </c>
      <c r="G150" s="607">
        <f t="shared" si="45"/>
        <v>0</v>
      </c>
      <c r="H150" s="607">
        <f t="shared" si="45"/>
        <v>0</v>
      </c>
      <c r="I150" s="607">
        <f t="shared" si="45"/>
        <v>0</v>
      </c>
      <c r="J150" s="598" t="str">
        <f>IF(D153&lt;&gt;"",D153,"")</f>
        <v/>
      </c>
      <c r="K150" s="599"/>
      <c r="L150" s="599"/>
      <c r="M150" s="599"/>
      <c r="N150" s="599"/>
      <c r="O150" s="575"/>
      <c r="P150" s="575"/>
      <c r="Q150" s="572"/>
      <c r="R150" s="572"/>
    </row>
    <row r="151" spans="1:18" outlineLevel="1" x14ac:dyDescent="0.2">
      <c r="A151" s="572"/>
      <c r="B151" s="572"/>
      <c r="C151" s="585" t="str">
        <f>TxPhase2Px</f>
        <v/>
      </c>
      <c r="D151" s="607">
        <f t="shared" ref="D151:I151" si="46">IF(TxPhase2&lt;&gt;"",D142*D148,0)</f>
        <v>0</v>
      </c>
      <c r="E151" s="607">
        <f t="shared" si="46"/>
        <v>0</v>
      </c>
      <c r="F151" s="607">
        <f t="shared" si="46"/>
        <v>0</v>
      </c>
      <c r="G151" s="607">
        <f t="shared" si="46"/>
        <v>0</v>
      </c>
      <c r="H151" s="607">
        <f t="shared" si="46"/>
        <v>0</v>
      </c>
      <c r="I151" s="607">
        <f t="shared" si="46"/>
        <v>0</v>
      </c>
      <c r="J151" s="598" t="str">
        <f>IF(D153&lt;&gt;"",D153,"")</f>
        <v/>
      </c>
      <c r="K151" s="572"/>
      <c r="L151" s="572"/>
      <c r="M151" s="597"/>
      <c r="N151" s="572"/>
      <c r="O151" s="575"/>
      <c r="P151" s="575"/>
      <c r="Q151" s="572"/>
      <c r="R151" s="572"/>
    </row>
    <row r="152" spans="1:18" s="570" customFormat="1" outlineLevel="1" x14ac:dyDescent="0.2">
      <c r="A152" s="572"/>
      <c r="B152" s="572"/>
      <c r="C152" s="572"/>
      <c r="D152" s="572"/>
      <c r="E152" s="572"/>
      <c r="F152" s="572"/>
      <c r="G152" s="572"/>
      <c r="H152" s="572"/>
      <c r="I152" s="572"/>
      <c r="J152" s="593"/>
      <c r="K152" s="572"/>
      <c r="L152" s="572"/>
      <c r="M152" s="597"/>
      <c r="N152" s="572"/>
      <c r="O152" s="575"/>
      <c r="P152" s="575"/>
      <c r="Q152" s="572"/>
      <c r="R152" s="572"/>
    </row>
    <row r="153" spans="1:18" s="570" customFormat="1" outlineLevel="1" x14ac:dyDescent="0.2">
      <c r="A153" s="572"/>
      <c r="B153" s="572"/>
      <c r="C153" s="122" t="s">
        <v>817</v>
      </c>
      <c r="D153" s="375"/>
      <c r="E153" s="572"/>
      <c r="F153" s="572"/>
      <c r="G153" s="572"/>
      <c r="H153" s="572"/>
      <c r="I153" s="572"/>
      <c r="J153" s="593"/>
      <c r="K153" s="572"/>
      <c r="L153" s="572"/>
      <c r="M153" s="597"/>
      <c r="N153" s="572"/>
      <c r="O153" s="575"/>
      <c r="P153" s="575"/>
      <c r="Q153" s="572"/>
      <c r="R153" s="572"/>
    </row>
    <row r="154" spans="1:18" outlineLevel="1" x14ac:dyDescent="0.2">
      <c r="A154" s="572"/>
      <c r="B154" s="572"/>
      <c r="C154" s="572"/>
      <c r="D154" s="572"/>
      <c r="E154" s="572"/>
      <c r="F154" s="572"/>
      <c r="G154" s="572"/>
      <c r="H154" s="572"/>
      <c r="I154" s="572"/>
      <c r="J154" s="593"/>
      <c r="K154" s="572"/>
      <c r="L154" s="572"/>
      <c r="M154" s="597"/>
      <c r="N154" s="572"/>
      <c r="O154" s="575"/>
      <c r="P154" s="575"/>
      <c r="Q154" s="572"/>
      <c r="R154" s="572"/>
    </row>
    <row r="155" spans="1:18" x14ac:dyDescent="0.2">
      <c r="A155" s="572"/>
      <c r="B155" s="572"/>
      <c r="C155" s="572"/>
      <c r="D155" s="572"/>
      <c r="E155" s="572"/>
      <c r="F155" s="572"/>
      <c r="G155" s="572"/>
      <c r="H155" s="572"/>
      <c r="I155" s="572"/>
      <c r="J155" s="593"/>
      <c r="K155" s="572"/>
      <c r="L155" s="572"/>
      <c r="M155" s="572"/>
      <c r="N155" s="572"/>
      <c r="O155" s="575"/>
      <c r="P155" s="575"/>
      <c r="Q155" s="572"/>
      <c r="R155" s="572"/>
    </row>
    <row r="156" spans="1:18" ht="15.75" x14ac:dyDescent="0.2">
      <c r="A156" s="104"/>
      <c r="B156" s="190">
        <v>4</v>
      </c>
      <c r="C156" s="110" t="str">
        <f>IF(D160&lt;&gt;"",CONCATENATE("Prevalent ",B156,": ",F160,I156),MsgNotUsed)</f>
        <v>** NOT USED **</v>
      </c>
      <c r="D156" s="188"/>
      <c r="E156" s="188"/>
      <c r="F156" s="188"/>
      <c r="G156" s="188"/>
      <c r="H156" s="191"/>
      <c r="I156" s="455" t="str">
        <f>IF(R160&lt;&gt;"",CONCATENATE(" (",R160,")"),"")</f>
        <v/>
      </c>
      <c r="J156" s="187"/>
      <c r="K156" s="187"/>
      <c r="L156" s="187"/>
      <c r="M156" s="187"/>
      <c r="N156" s="187"/>
      <c r="O156" s="187"/>
      <c r="P156" s="187"/>
      <c r="Q156" s="189"/>
      <c r="R156" s="189"/>
    </row>
    <row r="157" spans="1:18" outlineLevel="1" x14ac:dyDescent="0.2">
      <c r="A157" s="599"/>
      <c r="B157" s="599"/>
      <c r="C157" s="595"/>
      <c r="D157" s="599"/>
      <c r="E157" s="599"/>
      <c r="F157" s="599"/>
      <c r="G157" s="599"/>
      <c r="H157" s="599"/>
      <c r="I157" s="599"/>
      <c r="J157" s="593"/>
      <c r="K157" s="599"/>
      <c r="L157" s="599"/>
      <c r="M157" s="599"/>
      <c r="N157" s="599"/>
      <c r="O157" s="599"/>
      <c r="P157" s="599"/>
      <c r="Q157" s="599"/>
      <c r="R157" s="599"/>
    </row>
    <row r="158" spans="1:18" outlineLevel="1" x14ac:dyDescent="0.2">
      <c r="A158" s="599"/>
      <c r="B158" s="599"/>
      <c r="C158" s="572" t="s">
        <v>914</v>
      </c>
      <c r="D158" s="599"/>
      <c r="E158" s="599"/>
      <c r="F158" s="599"/>
      <c r="G158" s="599"/>
      <c r="H158" s="599"/>
      <c r="I158" s="599"/>
      <c r="J158" s="593"/>
      <c r="K158" s="599"/>
      <c r="L158" s="599"/>
      <c r="M158" s="599"/>
      <c r="N158" s="599"/>
      <c r="O158" s="599"/>
      <c r="P158" s="599"/>
      <c r="Q158" s="599"/>
      <c r="R158" s="670" t="str">
        <f ca="1">IF(ISERROR($M181)=TRUE,MsgError &amp; VLOOKUP("BadPop",ErrorMessages,2,FALSE),"")</f>
        <v/>
      </c>
    </row>
    <row r="159" spans="1:18" outlineLevel="1" x14ac:dyDescent="0.2">
      <c r="A159" s="599"/>
      <c r="B159" s="599"/>
      <c r="C159" s="595"/>
      <c r="D159" s="599"/>
      <c r="E159" s="599"/>
      <c r="F159" s="599"/>
      <c r="G159" s="599"/>
      <c r="H159" s="599"/>
      <c r="I159" s="599"/>
      <c r="J159" s="593"/>
      <c r="K159" s="599"/>
      <c r="L159" s="599"/>
      <c r="M159" s="599"/>
      <c r="N159" s="599"/>
      <c r="O159" s="599"/>
      <c r="P159" s="599"/>
      <c r="Q159" s="599"/>
      <c r="R159" s="577" t="s">
        <v>470</v>
      </c>
    </row>
    <row r="160" spans="1:18" outlineLevel="1" x14ac:dyDescent="0.2">
      <c r="A160" s="599"/>
      <c r="B160" s="599"/>
      <c r="C160" s="578" t="s">
        <v>131</v>
      </c>
      <c r="D160" s="605"/>
      <c r="E160" s="594"/>
      <c r="F160" s="774"/>
      <c r="G160" s="775"/>
      <c r="H160" s="775"/>
      <c r="I160" s="775"/>
      <c r="J160" s="593"/>
      <c r="K160" s="599"/>
      <c r="L160" s="599"/>
      <c r="M160" s="599"/>
      <c r="N160" s="599"/>
      <c r="O160" s="599"/>
      <c r="P160" s="599"/>
      <c r="Q160" s="599"/>
      <c r="R160" s="606"/>
    </row>
    <row r="161" spans="1:18" outlineLevel="1" x14ac:dyDescent="0.2">
      <c r="A161" s="599"/>
      <c r="B161" s="599"/>
      <c r="C161" s="595"/>
      <c r="D161" s="600">
        <v>1</v>
      </c>
      <c r="E161" s="600">
        <v>2</v>
      </c>
      <c r="F161" s="600">
        <v>3</v>
      </c>
      <c r="G161" s="600">
        <v>4</v>
      </c>
      <c r="H161" s="600">
        <v>5</v>
      </c>
      <c r="I161" s="600">
        <v>6</v>
      </c>
      <c r="J161" s="593"/>
      <c r="K161" s="599"/>
      <c r="L161" s="599"/>
      <c r="M161" s="599"/>
      <c r="N161" s="599"/>
      <c r="O161" s="599"/>
      <c r="P161" s="599"/>
      <c r="Q161" s="599"/>
      <c r="R161" s="599"/>
    </row>
    <row r="162" spans="1:18" outlineLevel="1" x14ac:dyDescent="0.2">
      <c r="A162" s="599"/>
      <c r="B162" s="599"/>
      <c r="C162" s="595"/>
      <c r="D162" s="776" t="s">
        <v>11</v>
      </c>
      <c r="E162" s="776"/>
      <c r="F162" s="776"/>
      <c r="G162" s="776"/>
      <c r="H162" s="776"/>
      <c r="I162" s="776"/>
      <c r="J162" s="593"/>
      <c r="K162" s="599"/>
      <c r="L162" s="599"/>
      <c r="M162" s="599"/>
      <c r="N162" s="599"/>
      <c r="O162" s="599"/>
      <c r="P162" s="599"/>
      <c r="Q162" s="599"/>
      <c r="R162" s="599"/>
    </row>
    <row r="163" spans="1:18" outlineLevel="1" x14ac:dyDescent="0.2">
      <c r="A163" s="599"/>
      <c r="B163" s="599"/>
      <c r="C163" s="573"/>
      <c r="D163" s="588">
        <f>FirstYear</f>
        <v>0</v>
      </c>
      <c r="E163" s="588">
        <f>D163+1</f>
        <v>1</v>
      </c>
      <c r="F163" s="588">
        <f>E163+1</f>
        <v>2</v>
      </c>
      <c r="G163" s="588">
        <f>F163+1</f>
        <v>3</v>
      </c>
      <c r="H163" s="588">
        <f>G163+1</f>
        <v>4</v>
      </c>
      <c r="I163" s="588">
        <f>H163+1</f>
        <v>5</v>
      </c>
      <c r="J163" s="593"/>
      <c r="K163" s="599"/>
      <c r="L163" s="599"/>
      <c r="M163" s="599"/>
      <c r="N163" s="599"/>
      <c r="O163" s="599"/>
      <c r="P163" s="599"/>
      <c r="Q163" s="599"/>
      <c r="R163" s="599"/>
    </row>
    <row r="164" spans="1:18" outlineLevel="1" x14ac:dyDescent="0.2">
      <c r="A164" s="572"/>
      <c r="B164" s="572"/>
      <c r="C164" s="576" t="s">
        <v>110</v>
      </c>
      <c r="D164" s="596">
        <f t="shared" ref="D164:I164" ca="1" si="47">IF(AND(ISERROR($M181)&lt;&gt;TRUE,$F160&lt;&gt;""),INDEX(PxPopNumbers,$M181,D161),0)</f>
        <v>0</v>
      </c>
      <c r="E164" s="596">
        <f t="shared" ca="1" si="47"/>
        <v>0</v>
      </c>
      <c r="F164" s="596">
        <f t="shared" ca="1" si="47"/>
        <v>0</v>
      </c>
      <c r="G164" s="596">
        <f t="shared" ca="1" si="47"/>
        <v>0</v>
      </c>
      <c r="H164" s="596">
        <f t="shared" ca="1" si="47"/>
        <v>0</v>
      </c>
      <c r="I164" s="596">
        <f t="shared" ca="1" si="47"/>
        <v>0</v>
      </c>
      <c r="J164" s="593"/>
      <c r="K164" s="572"/>
      <c r="L164" s="572"/>
      <c r="M164" s="572"/>
      <c r="N164" s="572"/>
      <c r="O164" s="572"/>
      <c r="P164" s="572"/>
      <c r="Q164" s="595"/>
      <c r="R164" s="572"/>
    </row>
    <row r="165" spans="1:18" outlineLevel="1" x14ac:dyDescent="0.2">
      <c r="A165" s="593"/>
      <c r="B165" s="593"/>
      <c r="C165" s="593"/>
      <c r="D165" s="593"/>
      <c r="E165" s="593"/>
      <c r="F165" s="593"/>
      <c r="G165" s="593"/>
      <c r="H165" s="593"/>
      <c r="I165" s="593"/>
      <c r="J165" s="593"/>
      <c r="K165" s="572"/>
      <c r="L165" s="572"/>
      <c r="M165" s="572"/>
      <c r="N165" s="572"/>
      <c r="O165" s="572"/>
      <c r="P165" s="572"/>
      <c r="Q165" s="593"/>
      <c r="R165" s="593"/>
    </row>
    <row r="166" spans="1:18" outlineLevel="1" x14ac:dyDescent="0.2">
      <c r="A166" s="593"/>
      <c r="B166" s="593"/>
      <c r="C166" s="579" t="s">
        <v>238</v>
      </c>
      <c r="D166" s="593"/>
      <c r="E166" s="593"/>
      <c r="F166" s="593"/>
      <c r="G166" s="593"/>
      <c r="H166" s="593"/>
      <c r="I166" s="593"/>
      <c r="J166" s="593"/>
      <c r="K166" s="572"/>
      <c r="L166" s="572"/>
      <c r="M166" s="593"/>
      <c r="N166" s="593"/>
      <c r="O166" s="593"/>
      <c r="P166" s="593"/>
      <c r="Q166" s="593"/>
      <c r="R166" s="577" t="s">
        <v>292</v>
      </c>
    </row>
    <row r="167" spans="1:18" outlineLevel="1" x14ac:dyDescent="0.2">
      <c r="A167" s="572"/>
      <c r="B167" s="572"/>
      <c r="C167" s="589"/>
      <c r="D167" s="610"/>
      <c r="E167" s="610"/>
      <c r="F167" s="610"/>
      <c r="G167" s="610"/>
      <c r="H167" s="610"/>
      <c r="I167" s="610"/>
      <c r="J167" s="593"/>
      <c r="K167" s="581">
        <f t="shared" ref="K167:K175" si="48">IF(D167="",1,D167)</f>
        <v>1</v>
      </c>
      <c r="L167" s="581">
        <f t="shared" ref="L167:L176" si="49">IF(E167="",1,E167)</f>
        <v>1</v>
      </c>
      <c r="M167" s="581">
        <f t="shared" ref="M167:M176" si="50">IF(F167="",1,F167)</f>
        <v>1</v>
      </c>
      <c r="N167" s="581">
        <f t="shared" ref="N167:N176" si="51">IF(G167="",1,G167)</f>
        <v>1</v>
      </c>
      <c r="O167" s="581">
        <f t="shared" ref="O167:O176" si="52">IF(H167="",1,H167)</f>
        <v>1</v>
      </c>
      <c r="P167" s="581">
        <f t="shared" ref="P167:P176" si="53">IF(I167="",1,I167)</f>
        <v>1</v>
      </c>
      <c r="Q167" s="572"/>
      <c r="R167" s="589"/>
    </row>
    <row r="168" spans="1:18" outlineLevel="1" x14ac:dyDescent="0.2">
      <c r="A168" s="572"/>
      <c r="B168" s="572"/>
      <c r="C168" s="589"/>
      <c r="D168" s="610"/>
      <c r="E168" s="610"/>
      <c r="F168" s="610"/>
      <c r="G168" s="610"/>
      <c r="H168" s="610"/>
      <c r="I168" s="610"/>
      <c r="J168" s="593"/>
      <c r="K168" s="581">
        <f t="shared" si="48"/>
        <v>1</v>
      </c>
      <c r="L168" s="581">
        <f t="shared" si="49"/>
        <v>1</v>
      </c>
      <c r="M168" s="581">
        <f t="shared" si="50"/>
        <v>1</v>
      </c>
      <c r="N168" s="581">
        <f t="shared" si="51"/>
        <v>1</v>
      </c>
      <c r="O168" s="581">
        <f t="shared" si="52"/>
        <v>1</v>
      </c>
      <c r="P168" s="581">
        <f t="shared" si="53"/>
        <v>1</v>
      </c>
      <c r="Q168" s="572"/>
      <c r="R168" s="589"/>
    </row>
    <row r="169" spans="1:18" outlineLevel="1" x14ac:dyDescent="0.2">
      <c r="A169" s="572"/>
      <c r="B169" s="572"/>
      <c r="C169" s="589"/>
      <c r="D169" s="610"/>
      <c r="E169" s="610"/>
      <c r="F169" s="610"/>
      <c r="G169" s="610"/>
      <c r="H169" s="610"/>
      <c r="I169" s="610"/>
      <c r="J169" s="593"/>
      <c r="K169" s="581">
        <f t="shared" si="48"/>
        <v>1</v>
      </c>
      <c r="L169" s="581">
        <f t="shared" si="49"/>
        <v>1</v>
      </c>
      <c r="M169" s="581">
        <f t="shared" si="50"/>
        <v>1</v>
      </c>
      <c r="N169" s="581">
        <f t="shared" si="51"/>
        <v>1</v>
      </c>
      <c r="O169" s="581">
        <f t="shared" si="52"/>
        <v>1</v>
      </c>
      <c r="P169" s="581">
        <f t="shared" si="53"/>
        <v>1</v>
      </c>
      <c r="Q169" s="572"/>
      <c r="R169" s="589"/>
    </row>
    <row r="170" spans="1:18" outlineLevel="1" x14ac:dyDescent="0.2">
      <c r="A170" s="572"/>
      <c r="B170" s="572"/>
      <c r="C170" s="589"/>
      <c r="D170" s="610"/>
      <c r="E170" s="610"/>
      <c r="F170" s="610"/>
      <c r="G170" s="610"/>
      <c r="H170" s="610"/>
      <c r="I170" s="610"/>
      <c r="J170" s="593"/>
      <c r="K170" s="581">
        <f t="shared" si="48"/>
        <v>1</v>
      </c>
      <c r="L170" s="581">
        <f t="shared" si="49"/>
        <v>1</v>
      </c>
      <c r="M170" s="581">
        <f t="shared" si="50"/>
        <v>1</v>
      </c>
      <c r="N170" s="581">
        <f t="shared" si="51"/>
        <v>1</v>
      </c>
      <c r="O170" s="581">
        <f t="shared" si="52"/>
        <v>1</v>
      </c>
      <c r="P170" s="581">
        <f t="shared" si="53"/>
        <v>1</v>
      </c>
      <c r="Q170" s="572"/>
      <c r="R170" s="589"/>
    </row>
    <row r="171" spans="1:18" outlineLevel="1" x14ac:dyDescent="0.2">
      <c r="A171" s="572"/>
      <c r="B171" s="572"/>
      <c r="C171" s="589"/>
      <c r="D171" s="610"/>
      <c r="E171" s="610"/>
      <c r="F171" s="610"/>
      <c r="G171" s="610"/>
      <c r="H171" s="610"/>
      <c r="I171" s="610"/>
      <c r="J171" s="593"/>
      <c r="K171" s="581">
        <f t="shared" si="48"/>
        <v>1</v>
      </c>
      <c r="L171" s="581">
        <f t="shared" si="49"/>
        <v>1</v>
      </c>
      <c r="M171" s="581">
        <f t="shared" si="50"/>
        <v>1</v>
      </c>
      <c r="N171" s="581">
        <f t="shared" si="51"/>
        <v>1</v>
      </c>
      <c r="O171" s="581">
        <f t="shared" si="52"/>
        <v>1</v>
      </c>
      <c r="P171" s="581">
        <f t="shared" si="53"/>
        <v>1</v>
      </c>
      <c r="Q171" s="572"/>
      <c r="R171" s="589"/>
    </row>
    <row r="172" spans="1:18" outlineLevel="1" x14ac:dyDescent="0.2">
      <c r="A172" s="572"/>
      <c r="B172" s="572"/>
      <c r="C172" s="589"/>
      <c r="D172" s="610"/>
      <c r="E172" s="610"/>
      <c r="F172" s="610"/>
      <c r="G172" s="610"/>
      <c r="H172" s="610"/>
      <c r="I172" s="610"/>
      <c r="J172" s="593"/>
      <c r="K172" s="581">
        <f t="shared" si="48"/>
        <v>1</v>
      </c>
      <c r="L172" s="581">
        <f t="shared" si="49"/>
        <v>1</v>
      </c>
      <c r="M172" s="581">
        <f t="shared" si="50"/>
        <v>1</v>
      </c>
      <c r="N172" s="581">
        <f t="shared" si="51"/>
        <v>1</v>
      </c>
      <c r="O172" s="581">
        <f t="shared" si="52"/>
        <v>1</v>
      </c>
      <c r="P172" s="581">
        <f t="shared" si="53"/>
        <v>1</v>
      </c>
      <c r="Q172" s="572"/>
      <c r="R172" s="589"/>
    </row>
    <row r="173" spans="1:18" outlineLevel="1" x14ac:dyDescent="0.2">
      <c r="A173" s="572"/>
      <c r="B173" s="572"/>
      <c r="C173" s="589"/>
      <c r="D173" s="610"/>
      <c r="E173" s="610"/>
      <c r="F173" s="610"/>
      <c r="G173" s="610"/>
      <c r="H173" s="610"/>
      <c r="I173" s="610"/>
      <c r="J173" s="593"/>
      <c r="K173" s="581">
        <f t="shared" si="48"/>
        <v>1</v>
      </c>
      <c r="L173" s="581">
        <f t="shared" si="49"/>
        <v>1</v>
      </c>
      <c r="M173" s="581">
        <f t="shared" si="50"/>
        <v>1</v>
      </c>
      <c r="N173" s="581">
        <f t="shared" si="51"/>
        <v>1</v>
      </c>
      <c r="O173" s="581">
        <f t="shared" si="52"/>
        <v>1</v>
      </c>
      <c r="P173" s="581">
        <f t="shared" si="53"/>
        <v>1</v>
      </c>
      <c r="Q173" s="572"/>
      <c r="R173" s="589"/>
    </row>
    <row r="174" spans="1:18" outlineLevel="1" x14ac:dyDescent="0.2">
      <c r="A174" s="572"/>
      <c r="B174" s="572"/>
      <c r="C174" s="589"/>
      <c r="D174" s="610"/>
      <c r="E174" s="610"/>
      <c r="F174" s="610"/>
      <c r="G174" s="610"/>
      <c r="H174" s="610"/>
      <c r="I174" s="610"/>
      <c r="J174" s="593"/>
      <c r="K174" s="581">
        <f t="shared" si="48"/>
        <v>1</v>
      </c>
      <c r="L174" s="581">
        <f t="shared" si="49"/>
        <v>1</v>
      </c>
      <c r="M174" s="581">
        <f t="shared" si="50"/>
        <v>1</v>
      </c>
      <c r="N174" s="581">
        <f t="shared" si="51"/>
        <v>1</v>
      </c>
      <c r="O174" s="581">
        <f t="shared" si="52"/>
        <v>1</v>
      </c>
      <c r="P174" s="581">
        <f t="shared" si="53"/>
        <v>1</v>
      </c>
      <c r="Q174" s="572"/>
      <c r="R174" s="589"/>
    </row>
    <row r="175" spans="1:18" outlineLevel="1" x14ac:dyDescent="0.2">
      <c r="A175" s="572"/>
      <c r="B175" s="572"/>
      <c r="C175" s="589"/>
      <c r="D175" s="610"/>
      <c r="E175" s="610"/>
      <c r="F175" s="610"/>
      <c r="G175" s="610"/>
      <c r="H175" s="610"/>
      <c r="I175" s="610"/>
      <c r="J175" s="593"/>
      <c r="K175" s="581">
        <f t="shared" si="48"/>
        <v>1</v>
      </c>
      <c r="L175" s="581">
        <f t="shared" si="49"/>
        <v>1</v>
      </c>
      <c r="M175" s="581">
        <f t="shared" si="50"/>
        <v>1</v>
      </c>
      <c r="N175" s="581">
        <f t="shared" si="51"/>
        <v>1</v>
      </c>
      <c r="O175" s="581">
        <f t="shared" si="52"/>
        <v>1</v>
      </c>
      <c r="P175" s="581">
        <f t="shared" si="53"/>
        <v>1</v>
      </c>
      <c r="Q175" s="572"/>
      <c r="R175" s="589"/>
    </row>
    <row r="176" spans="1:18" outlineLevel="1" x14ac:dyDescent="0.2">
      <c r="A176" s="572"/>
      <c r="B176" s="572"/>
      <c r="C176" s="589"/>
      <c r="D176" s="610"/>
      <c r="E176" s="610"/>
      <c r="F176" s="610"/>
      <c r="G176" s="610"/>
      <c r="H176" s="610"/>
      <c r="I176" s="610"/>
      <c r="J176" s="593"/>
      <c r="K176" s="581">
        <f>IF(D176="",1,D176)</f>
        <v>1</v>
      </c>
      <c r="L176" s="581">
        <f t="shared" si="49"/>
        <v>1</v>
      </c>
      <c r="M176" s="581">
        <f t="shared" si="50"/>
        <v>1</v>
      </c>
      <c r="N176" s="581">
        <f t="shared" si="51"/>
        <v>1</v>
      </c>
      <c r="O176" s="581">
        <f t="shared" si="52"/>
        <v>1</v>
      </c>
      <c r="P176" s="581">
        <f t="shared" si="53"/>
        <v>1</v>
      </c>
      <c r="Q176" s="572"/>
      <c r="R176" s="589"/>
    </row>
    <row r="177" spans="1:18" outlineLevel="1" x14ac:dyDescent="0.2">
      <c r="A177" s="572"/>
      <c r="B177" s="572"/>
      <c r="C177" s="580" t="s">
        <v>246</v>
      </c>
      <c r="D177" s="611">
        <f t="shared" ref="D177:I177" si="54">K167*K168*K169*K170*K176*K171*K172*K173*K174*K175</f>
        <v>1</v>
      </c>
      <c r="E177" s="611">
        <f t="shared" si="54"/>
        <v>1</v>
      </c>
      <c r="F177" s="611">
        <f t="shared" si="54"/>
        <v>1</v>
      </c>
      <c r="G177" s="611">
        <f t="shared" si="54"/>
        <v>1</v>
      </c>
      <c r="H177" s="611">
        <f t="shared" si="54"/>
        <v>1</v>
      </c>
      <c r="I177" s="611">
        <f t="shared" si="54"/>
        <v>1</v>
      </c>
      <c r="J177" s="593"/>
      <c r="K177" s="572"/>
      <c r="L177" s="572"/>
      <c r="M177" s="597"/>
      <c r="N177" s="572"/>
      <c r="O177" s="572"/>
      <c r="P177" s="572"/>
      <c r="Q177" s="572"/>
      <c r="R177" s="572"/>
    </row>
    <row r="178" spans="1:18" outlineLevel="1" x14ac:dyDescent="0.2">
      <c r="A178" s="597"/>
      <c r="B178" s="597"/>
      <c r="C178" s="574" t="s">
        <v>108</v>
      </c>
      <c r="D178" s="607">
        <f t="shared" ref="D178:I178" ca="1" si="55">IF(ISNUMBER(D164),D164*D177,"")</f>
        <v>0</v>
      </c>
      <c r="E178" s="607">
        <f t="shared" ca="1" si="55"/>
        <v>0</v>
      </c>
      <c r="F178" s="607">
        <f t="shared" ca="1" si="55"/>
        <v>0</v>
      </c>
      <c r="G178" s="607">
        <f t="shared" ca="1" si="55"/>
        <v>0</v>
      </c>
      <c r="H178" s="607">
        <f t="shared" ca="1" si="55"/>
        <v>0</v>
      </c>
      <c r="I178" s="607">
        <f t="shared" ca="1" si="55"/>
        <v>0</v>
      </c>
      <c r="J178" s="593"/>
      <c r="K178" s="597"/>
      <c r="L178" s="572"/>
      <c r="M178" s="572"/>
      <c r="N178" s="572"/>
      <c r="O178" s="572"/>
      <c r="P178" s="572"/>
      <c r="Q178" s="572"/>
      <c r="R178" s="572"/>
    </row>
    <row r="179" spans="1:18" outlineLevel="1" x14ac:dyDescent="0.2">
      <c r="A179" s="593"/>
      <c r="B179" s="593"/>
      <c r="C179" s="593"/>
      <c r="D179" s="593"/>
      <c r="E179" s="593"/>
      <c r="F179" s="593"/>
      <c r="G179" s="593"/>
      <c r="H179" s="593"/>
      <c r="I179" s="593"/>
      <c r="J179" s="593"/>
      <c r="K179" s="593"/>
      <c r="L179" s="593"/>
      <c r="M179" s="593"/>
      <c r="N179" s="593"/>
      <c r="O179" s="575"/>
      <c r="P179" s="575"/>
      <c r="Q179" s="593"/>
      <c r="R179" s="593"/>
    </row>
    <row r="180" spans="1:18" outlineLevel="1" x14ac:dyDescent="0.2">
      <c r="A180" s="593"/>
      <c r="B180" s="593"/>
      <c r="C180" s="585" t="str">
        <f>TxPhase1Tx</f>
        <v/>
      </c>
      <c r="D180" s="591"/>
      <c r="E180" s="572"/>
      <c r="F180" s="572"/>
      <c r="G180" s="593"/>
      <c r="H180" s="593"/>
      <c r="I180" s="593"/>
      <c r="J180" s="593"/>
      <c r="K180" s="604" t="s">
        <v>292</v>
      </c>
      <c r="L180" s="604" t="s">
        <v>52</v>
      </c>
      <c r="M180" s="604" t="s">
        <v>381</v>
      </c>
      <c r="N180" s="593"/>
      <c r="O180" s="575"/>
      <c r="P180" s="575"/>
      <c r="Q180" s="593"/>
      <c r="R180" s="577" t="s">
        <v>292</v>
      </c>
    </row>
    <row r="181" spans="1:18" outlineLevel="1" x14ac:dyDescent="0.2">
      <c r="A181" s="593"/>
      <c r="B181" s="593"/>
      <c r="C181" s="578" t="s">
        <v>109</v>
      </c>
      <c r="D181" s="584"/>
      <c r="E181" s="584"/>
      <c r="F181" s="584"/>
      <c r="G181" s="584"/>
      <c r="H181" s="584"/>
      <c r="I181" s="584"/>
      <c r="J181" s="593"/>
      <c r="K181" s="598">
        <f>IF(D160&lt;&gt;"",MATCH(D160,EPISource,0)-1,0)</f>
        <v>0</v>
      </c>
      <c r="L181" s="598">
        <f ca="1">IF(F160&lt;&gt;"",MATCH(F160,OFFSET(References!$AB$7,0,K181,PxPopCount),0),0)</f>
        <v>0</v>
      </c>
      <c r="M181" s="598">
        <f ca="1">(K181*PxPopCount)+L181</f>
        <v>0</v>
      </c>
      <c r="N181" s="593"/>
      <c r="O181" s="575"/>
      <c r="P181" s="575"/>
      <c r="Q181" s="593"/>
      <c r="R181" s="582"/>
    </row>
    <row r="182" spans="1:18" outlineLevel="1" x14ac:dyDescent="0.2">
      <c r="A182" s="593"/>
      <c r="B182" s="593"/>
      <c r="C182" s="593"/>
      <c r="D182" s="593"/>
      <c r="E182" s="612"/>
      <c r="F182" s="593"/>
      <c r="G182" s="593"/>
      <c r="H182" s="593"/>
      <c r="I182" s="593"/>
      <c r="J182" s="593"/>
      <c r="K182" s="571"/>
      <c r="L182" s="571"/>
      <c r="M182" s="593"/>
      <c r="N182" s="593"/>
      <c r="O182" s="575"/>
      <c r="P182" s="575"/>
      <c r="Q182" s="593"/>
      <c r="R182" s="593"/>
    </row>
    <row r="183" spans="1:18" outlineLevel="1" x14ac:dyDescent="0.2">
      <c r="A183" s="593"/>
      <c r="B183" s="593"/>
      <c r="C183" s="590" t="str">
        <f>TXPhase2Tx</f>
        <v/>
      </c>
      <c r="D183" s="600"/>
      <c r="E183" s="600"/>
      <c r="F183" s="593"/>
      <c r="G183" s="593"/>
      <c r="H183" s="593"/>
      <c r="I183" s="593"/>
      <c r="J183" s="593"/>
      <c r="K183" s="571"/>
      <c r="L183" s="571"/>
      <c r="M183" s="593"/>
      <c r="N183" s="593"/>
      <c r="O183" s="575"/>
      <c r="P183" s="575"/>
      <c r="Q183" s="593"/>
      <c r="R183" s="577" t="s">
        <v>292</v>
      </c>
    </row>
    <row r="184" spans="1:18" outlineLevel="1" x14ac:dyDescent="0.2">
      <c r="A184" s="593"/>
      <c r="B184" s="593"/>
      <c r="C184" s="590" t="str">
        <f>IF(C183&lt;&gt;"","Patients electing treatment (%)","")</f>
        <v/>
      </c>
      <c r="D184" s="584"/>
      <c r="E184" s="584"/>
      <c r="F184" s="584"/>
      <c r="G184" s="584"/>
      <c r="H184" s="584"/>
      <c r="I184" s="584"/>
      <c r="J184" s="593"/>
      <c r="K184" s="572"/>
      <c r="L184" s="575"/>
      <c r="M184" s="593"/>
      <c r="N184" s="593"/>
      <c r="O184" s="575"/>
      <c r="P184" s="575"/>
      <c r="Q184" s="593"/>
      <c r="R184" s="582"/>
    </row>
    <row r="185" spans="1:18" outlineLevel="1" x14ac:dyDescent="0.2">
      <c r="A185" s="593"/>
      <c r="B185" s="593"/>
      <c r="C185" s="593"/>
      <c r="D185" s="593"/>
      <c r="E185" s="593"/>
      <c r="F185" s="593"/>
      <c r="G185" s="593"/>
      <c r="H185" s="593"/>
      <c r="I185" s="593"/>
      <c r="J185" s="593"/>
      <c r="K185" s="593"/>
      <c r="L185" s="593"/>
      <c r="M185" s="593"/>
      <c r="N185" s="593"/>
      <c r="O185" s="575"/>
      <c r="P185" s="575"/>
      <c r="Q185" s="593"/>
      <c r="R185" s="593"/>
    </row>
    <row r="186" spans="1:18" outlineLevel="1" x14ac:dyDescent="0.2">
      <c r="A186" s="572"/>
      <c r="B186" s="572"/>
      <c r="C186" s="585" t="str">
        <f>TxPhase1Px</f>
        <v/>
      </c>
      <c r="D186" s="607">
        <f t="shared" ref="D186:I186" si="56">IF(TxPhase1&lt;&gt;"",D178*D181,0)</f>
        <v>0</v>
      </c>
      <c r="E186" s="607">
        <f t="shared" si="56"/>
        <v>0</v>
      </c>
      <c r="F186" s="607">
        <f t="shared" si="56"/>
        <v>0</v>
      </c>
      <c r="G186" s="607">
        <f t="shared" si="56"/>
        <v>0</v>
      </c>
      <c r="H186" s="607">
        <f t="shared" si="56"/>
        <v>0</v>
      </c>
      <c r="I186" s="607">
        <f t="shared" si="56"/>
        <v>0</v>
      </c>
      <c r="J186" s="598" t="str">
        <f>IF(D189&lt;&gt;"",D189,"")</f>
        <v/>
      </c>
      <c r="K186" s="599"/>
      <c r="L186" s="599"/>
      <c r="M186" s="599"/>
      <c r="N186" s="599"/>
      <c r="O186" s="575"/>
      <c r="P186" s="575"/>
      <c r="Q186" s="572"/>
      <c r="R186" s="572"/>
    </row>
    <row r="187" spans="1:18" outlineLevel="1" x14ac:dyDescent="0.2">
      <c r="A187" s="572"/>
      <c r="B187" s="572"/>
      <c r="C187" s="585" t="str">
        <f>TxPhase2Px</f>
        <v/>
      </c>
      <c r="D187" s="607">
        <f t="shared" ref="D187:I187" si="57">IF(TxPhase2&lt;&gt;"",D178*D184,0)</f>
        <v>0</v>
      </c>
      <c r="E187" s="607">
        <f t="shared" si="57"/>
        <v>0</v>
      </c>
      <c r="F187" s="607">
        <f t="shared" si="57"/>
        <v>0</v>
      </c>
      <c r="G187" s="607">
        <f t="shared" si="57"/>
        <v>0</v>
      </c>
      <c r="H187" s="607">
        <f t="shared" si="57"/>
        <v>0</v>
      </c>
      <c r="I187" s="607">
        <f t="shared" si="57"/>
        <v>0</v>
      </c>
      <c r="J187" s="598" t="str">
        <f>IF(D189&lt;&gt;"",D189,"")</f>
        <v/>
      </c>
      <c r="K187" s="572"/>
      <c r="L187" s="572"/>
      <c r="M187" s="597"/>
      <c r="N187" s="572"/>
      <c r="O187" s="575"/>
      <c r="P187" s="575"/>
      <c r="Q187" s="572"/>
      <c r="R187" s="572"/>
    </row>
    <row r="188" spans="1:18" s="570" customFormat="1" outlineLevel="1" x14ac:dyDescent="0.2">
      <c r="A188" s="572"/>
      <c r="B188" s="572"/>
      <c r="C188" s="572"/>
      <c r="D188" s="572"/>
      <c r="E188" s="572"/>
      <c r="F188" s="572"/>
      <c r="G188" s="572"/>
      <c r="H188" s="572"/>
      <c r="I188" s="572"/>
      <c r="J188" s="593"/>
      <c r="K188" s="572"/>
      <c r="L188" s="572"/>
      <c r="M188" s="597"/>
      <c r="N188" s="572"/>
      <c r="O188" s="575"/>
      <c r="P188" s="575"/>
      <c r="Q188" s="572"/>
      <c r="R188" s="572"/>
    </row>
    <row r="189" spans="1:18" s="570" customFormat="1" outlineLevel="1" x14ac:dyDescent="0.2">
      <c r="A189" s="572"/>
      <c r="B189" s="572"/>
      <c r="C189" s="122" t="s">
        <v>817</v>
      </c>
      <c r="D189" s="375"/>
      <c r="E189" s="572"/>
      <c r="F189" s="572"/>
      <c r="G189" s="572"/>
      <c r="H189" s="572"/>
      <c r="I189" s="572"/>
      <c r="J189" s="593"/>
      <c r="K189" s="572"/>
      <c r="L189" s="572"/>
      <c r="M189" s="597"/>
      <c r="N189" s="572"/>
      <c r="O189" s="575"/>
      <c r="P189" s="575"/>
      <c r="Q189" s="572"/>
      <c r="R189" s="572"/>
    </row>
    <row r="190" spans="1:18" outlineLevel="1" x14ac:dyDescent="0.2">
      <c r="A190" s="572"/>
      <c r="B190" s="572"/>
      <c r="C190" s="572"/>
      <c r="D190" s="572"/>
      <c r="E190" s="572"/>
      <c r="F190" s="572"/>
      <c r="G190" s="572"/>
      <c r="H190" s="572"/>
      <c r="I190" s="572"/>
      <c r="J190" s="593"/>
      <c r="K190" s="572"/>
      <c r="L190" s="572"/>
      <c r="M190" s="597"/>
      <c r="N190" s="572"/>
      <c r="O190" s="575"/>
      <c r="P190" s="575"/>
      <c r="Q190" s="572"/>
      <c r="R190" s="572"/>
    </row>
    <row r="191" spans="1:18" x14ac:dyDescent="0.2">
      <c r="A191" s="572"/>
      <c r="B191" s="572"/>
      <c r="C191" s="572"/>
      <c r="D191" s="572"/>
      <c r="E191" s="572"/>
      <c r="F191" s="572"/>
      <c r="G191" s="572"/>
      <c r="H191" s="572"/>
      <c r="I191" s="572"/>
      <c r="J191" s="593"/>
      <c r="K191" s="572"/>
      <c r="L191" s="572"/>
      <c r="M191" s="572"/>
      <c r="N191" s="572"/>
      <c r="O191" s="575"/>
      <c r="P191" s="575"/>
      <c r="Q191" s="572"/>
      <c r="R191" s="572"/>
    </row>
    <row r="192" spans="1:18" ht="15.75" x14ac:dyDescent="0.2">
      <c r="A192" s="104"/>
      <c r="B192" s="190">
        <v>5</v>
      </c>
      <c r="C192" s="110" t="str">
        <f>IF(D196&lt;&gt;"",CONCATENATE("Prevalent ",B192,": ",F196,I192),MsgNotUsed)</f>
        <v>** NOT USED **</v>
      </c>
      <c r="D192" s="188"/>
      <c r="E192" s="188"/>
      <c r="F192" s="188"/>
      <c r="G192" s="188"/>
      <c r="H192" s="191"/>
      <c r="I192" s="455" t="str">
        <f>IF(R196&lt;&gt;"",CONCATENATE(" (",R196,")"),"")</f>
        <v/>
      </c>
      <c r="J192" s="187"/>
      <c r="K192" s="187"/>
      <c r="L192" s="187"/>
      <c r="M192" s="187"/>
      <c r="N192" s="187"/>
      <c r="O192" s="187"/>
      <c r="P192" s="187"/>
      <c r="Q192" s="189"/>
      <c r="R192" s="189"/>
    </row>
    <row r="193" spans="1:18" outlineLevel="1" x14ac:dyDescent="0.2">
      <c r="A193" s="599"/>
      <c r="B193" s="599"/>
      <c r="C193" s="595"/>
      <c r="D193" s="599"/>
      <c r="E193" s="599"/>
      <c r="F193" s="599"/>
      <c r="G193" s="599"/>
      <c r="H193" s="599"/>
      <c r="I193" s="599"/>
      <c r="J193" s="593"/>
      <c r="K193" s="599"/>
      <c r="L193" s="599"/>
      <c r="M193" s="599"/>
      <c r="N193" s="599"/>
      <c r="O193" s="599"/>
      <c r="P193" s="599"/>
      <c r="Q193" s="599"/>
      <c r="R193" s="599"/>
    </row>
    <row r="194" spans="1:18" outlineLevel="1" x14ac:dyDescent="0.2">
      <c r="A194" s="599"/>
      <c r="B194" s="599"/>
      <c r="C194" s="572" t="s">
        <v>914</v>
      </c>
      <c r="D194" s="599"/>
      <c r="E194" s="599"/>
      <c r="F194" s="599"/>
      <c r="G194" s="599"/>
      <c r="H194" s="599"/>
      <c r="I194" s="599"/>
      <c r="J194" s="593"/>
      <c r="K194" s="599"/>
      <c r="L194" s="599"/>
      <c r="M194" s="599"/>
      <c r="N194" s="599"/>
      <c r="O194" s="599"/>
      <c r="P194" s="599"/>
      <c r="Q194" s="599"/>
      <c r="R194" s="670" t="str">
        <f ca="1">IF(ISERROR($M217)=TRUE,MsgError &amp; VLOOKUP("BadPop",ErrorMessages,2,FALSE),"")</f>
        <v/>
      </c>
    </row>
    <row r="195" spans="1:18" outlineLevel="1" x14ac:dyDescent="0.2">
      <c r="A195" s="599"/>
      <c r="B195" s="599"/>
      <c r="C195" s="595"/>
      <c r="D195" s="599"/>
      <c r="E195" s="599"/>
      <c r="F195" s="599"/>
      <c r="G195" s="599"/>
      <c r="H195" s="599"/>
      <c r="I195" s="599"/>
      <c r="J195" s="593"/>
      <c r="K195" s="599"/>
      <c r="L195" s="599"/>
      <c r="M195" s="599"/>
      <c r="N195" s="599"/>
      <c r="O195" s="599"/>
      <c r="P195" s="599"/>
      <c r="Q195" s="599"/>
      <c r="R195" s="577" t="s">
        <v>470</v>
      </c>
    </row>
    <row r="196" spans="1:18" outlineLevel="1" x14ac:dyDescent="0.2">
      <c r="A196" s="599"/>
      <c r="B196" s="599"/>
      <c r="C196" s="578" t="s">
        <v>131</v>
      </c>
      <c r="D196" s="605"/>
      <c r="E196" s="594"/>
      <c r="F196" s="774"/>
      <c r="G196" s="775"/>
      <c r="H196" s="775"/>
      <c r="I196" s="775"/>
      <c r="J196" s="593"/>
      <c r="K196" s="599"/>
      <c r="L196" s="599"/>
      <c r="M196" s="599"/>
      <c r="N196" s="599"/>
      <c r="O196" s="599"/>
      <c r="P196" s="599"/>
      <c r="Q196" s="599"/>
      <c r="R196" s="606"/>
    </row>
    <row r="197" spans="1:18" outlineLevel="1" x14ac:dyDescent="0.2">
      <c r="A197" s="599"/>
      <c r="B197" s="599"/>
      <c r="C197" s="595"/>
      <c r="D197" s="600">
        <v>1</v>
      </c>
      <c r="E197" s="600">
        <v>2</v>
      </c>
      <c r="F197" s="600">
        <v>3</v>
      </c>
      <c r="G197" s="600">
        <v>4</v>
      </c>
      <c r="H197" s="600">
        <v>5</v>
      </c>
      <c r="I197" s="600">
        <v>6</v>
      </c>
      <c r="J197" s="593"/>
      <c r="K197" s="599"/>
      <c r="L197" s="599"/>
      <c r="M197" s="599"/>
      <c r="N197" s="599"/>
      <c r="O197" s="599"/>
      <c r="P197" s="599"/>
      <c r="Q197" s="599"/>
      <c r="R197" s="599"/>
    </row>
    <row r="198" spans="1:18" outlineLevel="1" x14ac:dyDescent="0.2">
      <c r="A198" s="599"/>
      <c r="B198" s="599"/>
      <c r="C198" s="595"/>
      <c r="D198" s="776" t="s">
        <v>11</v>
      </c>
      <c r="E198" s="776"/>
      <c r="F198" s="776"/>
      <c r="G198" s="776"/>
      <c r="H198" s="776"/>
      <c r="I198" s="776"/>
      <c r="J198" s="593"/>
      <c r="K198" s="599"/>
      <c r="L198" s="599"/>
      <c r="M198" s="599"/>
      <c r="N198" s="599"/>
      <c r="O198" s="599"/>
      <c r="P198" s="599"/>
      <c r="Q198" s="599"/>
      <c r="R198" s="599"/>
    </row>
    <row r="199" spans="1:18" outlineLevel="1" x14ac:dyDescent="0.2">
      <c r="A199" s="599"/>
      <c r="B199" s="599"/>
      <c r="C199" s="573"/>
      <c r="D199" s="588">
        <f>FirstYear</f>
        <v>0</v>
      </c>
      <c r="E199" s="588">
        <f>D199+1</f>
        <v>1</v>
      </c>
      <c r="F199" s="588">
        <f>E199+1</f>
        <v>2</v>
      </c>
      <c r="G199" s="588">
        <f>F199+1</f>
        <v>3</v>
      </c>
      <c r="H199" s="588">
        <f>G199+1</f>
        <v>4</v>
      </c>
      <c r="I199" s="588">
        <f>H199+1</f>
        <v>5</v>
      </c>
      <c r="J199" s="593"/>
      <c r="K199" s="599"/>
      <c r="L199" s="599"/>
      <c r="M199" s="599"/>
      <c r="N199" s="599"/>
      <c r="O199" s="599"/>
      <c r="P199" s="599"/>
      <c r="Q199" s="599"/>
      <c r="R199" s="599"/>
    </row>
    <row r="200" spans="1:18" outlineLevel="1" x14ac:dyDescent="0.2">
      <c r="A200" s="572"/>
      <c r="B200" s="572"/>
      <c r="C200" s="576" t="s">
        <v>110</v>
      </c>
      <c r="D200" s="596">
        <f t="shared" ref="D200:I200" ca="1" si="58">IF(AND(ISERROR($M217)&lt;&gt;TRUE,$F196&lt;&gt;""),INDEX(PxPopNumbers,$M217,D197),0)</f>
        <v>0</v>
      </c>
      <c r="E200" s="596">
        <f t="shared" ca="1" si="58"/>
        <v>0</v>
      </c>
      <c r="F200" s="596">
        <f t="shared" ca="1" si="58"/>
        <v>0</v>
      </c>
      <c r="G200" s="596">
        <f t="shared" ca="1" si="58"/>
        <v>0</v>
      </c>
      <c r="H200" s="596">
        <f t="shared" ca="1" si="58"/>
        <v>0</v>
      </c>
      <c r="I200" s="596">
        <f t="shared" ca="1" si="58"/>
        <v>0</v>
      </c>
      <c r="J200" s="593"/>
      <c r="K200" s="572"/>
      <c r="L200" s="572"/>
      <c r="M200" s="572"/>
      <c r="N200" s="572"/>
      <c r="O200" s="572"/>
      <c r="P200" s="572"/>
      <c r="Q200" s="595"/>
      <c r="R200" s="572"/>
    </row>
    <row r="201" spans="1:18" outlineLevel="1" x14ac:dyDescent="0.2">
      <c r="A201" s="593"/>
      <c r="B201" s="593"/>
      <c r="C201" s="593"/>
      <c r="D201" s="593"/>
      <c r="E201" s="593"/>
      <c r="F201" s="593"/>
      <c r="G201" s="593"/>
      <c r="H201" s="593"/>
      <c r="I201" s="593"/>
      <c r="J201" s="593"/>
      <c r="K201" s="572"/>
      <c r="L201" s="572"/>
      <c r="M201" s="572"/>
      <c r="N201" s="572"/>
      <c r="O201" s="572"/>
      <c r="P201" s="572"/>
      <c r="Q201" s="593"/>
      <c r="R201" s="593"/>
    </row>
    <row r="202" spans="1:18" outlineLevel="1" x14ac:dyDescent="0.2">
      <c r="A202" s="593"/>
      <c r="B202" s="593"/>
      <c r="C202" s="579" t="s">
        <v>238</v>
      </c>
      <c r="D202" s="593"/>
      <c r="E202" s="593"/>
      <c r="F202" s="593"/>
      <c r="G202" s="593"/>
      <c r="H202" s="593"/>
      <c r="I202" s="593"/>
      <c r="J202" s="593"/>
      <c r="K202" s="572"/>
      <c r="L202" s="572"/>
      <c r="M202" s="593"/>
      <c r="N202" s="593"/>
      <c r="O202" s="593"/>
      <c r="P202" s="593"/>
      <c r="Q202" s="593"/>
      <c r="R202" s="577" t="s">
        <v>292</v>
      </c>
    </row>
    <row r="203" spans="1:18" outlineLevel="1" x14ac:dyDescent="0.2">
      <c r="A203" s="572"/>
      <c r="B203" s="572"/>
      <c r="C203" s="589"/>
      <c r="D203" s="610"/>
      <c r="E203" s="610"/>
      <c r="F203" s="610"/>
      <c r="G203" s="610"/>
      <c r="H203" s="610"/>
      <c r="I203" s="610"/>
      <c r="J203" s="593"/>
      <c r="K203" s="581">
        <f t="shared" ref="K203:K211" si="59">IF(D203="",1,D203)</f>
        <v>1</v>
      </c>
      <c r="L203" s="581">
        <f t="shared" ref="L203:L212" si="60">IF(E203="",1,E203)</f>
        <v>1</v>
      </c>
      <c r="M203" s="581">
        <f t="shared" ref="M203:M212" si="61">IF(F203="",1,F203)</f>
        <v>1</v>
      </c>
      <c r="N203" s="581">
        <f t="shared" ref="N203:N212" si="62">IF(G203="",1,G203)</f>
        <v>1</v>
      </c>
      <c r="O203" s="581">
        <f t="shared" ref="O203:O212" si="63">IF(H203="",1,H203)</f>
        <v>1</v>
      </c>
      <c r="P203" s="581">
        <f t="shared" ref="P203:P212" si="64">IF(I203="",1,I203)</f>
        <v>1</v>
      </c>
      <c r="Q203" s="572"/>
      <c r="R203" s="589"/>
    </row>
    <row r="204" spans="1:18" outlineLevel="1" x14ac:dyDescent="0.2">
      <c r="A204" s="572"/>
      <c r="B204" s="572"/>
      <c r="C204" s="589"/>
      <c r="D204" s="610"/>
      <c r="E204" s="610"/>
      <c r="F204" s="610"/>
      <c r="G204" s="610"/>
      <c r="H204" s="610"/>
      <c r="I204" s="610"/>
      <c r="J204" s="593"/>
      <c r="K204" s="581">
        <f t="shared" si="59"/>
        <v>1</v>
      </c>
      <c r="L204" s="581">
        <f t="shared" si="60"/>
        <v>1</v>
      </c>
      <c r="M204" s="581">
        <f t="shared" si="61"/>
        <v>1</v>
      </c>
      <c r="N204" s="581">
        <f t="shared" si="62"/>
        <v>1</v>
      </c>
      <c r="O204" s="581">
        <f t="shared" si="63"/>
        <v>1</v>
      </c>
      <c r="P204" s="581">
        <f t="shared" si="64"/>
        <v>1</v>
      </c>
      <c r="Q204" s="572"/>
      <c r="R204" s="589"/>
    </row>
    <row r="205" spans="1:18" outlineLevel="1" x14ac:dyDescent="0.2">
      <c r="A205" s="572"/>
      <c r="B205" s="572"/>
      <c r="C205" s="589"/>
      <c r="D205" s="610"/>
      <c r="E205" s="610"/>
      <c r="F205" s="610"/>
      <c r="G205" s="610"/>
      <c r="H205" s="610"/>
      <c r="I205" s="610"/>
      <c r="J205" s="593"/>
      <c r="K205" s="581">
        <f t="shared" si="59"/>
        <v>1</v>
      </c>
      <c r="L205" s="581">
        <f t="shared" si="60"/>
        <v>1</v>
      </c>
      <c r="M205" s="581">
        <f t="shared" si="61"/>
        <v>1</v>
      </c>
      <c r="N205" s="581">
        <f t="shared" si="62"/>
        <v>1</v>
      </c>
      <c r="O205" s="581">
        <f t="shared" si="63"/>
        <v>1</v>
      </c>
      <c r="P205" s="581">
        <f t="shared" si="64"/>
        <v>1</v>
      </c>
      <c r="Q205" s="572"/>
      <c r="R205" s="589"/>
    </row>
    <row r="206" spans="1:18" outlineLevel="1" x14ac:dyDescent="0.2">
      <c r="A206" s="572"/>
      <c r="B206" s="572"/>
      <c r="C206" s="589"/>
      <c r="D206" s="610"/>
      <c r="E206" s="610"/>
      <c r="F206" s="610"/>
      <c r="G206" s="610"/>
      <c r="H206" s="610"/>
      <c r="I206" s="610"/>
      <c r="J206" s="593"/>
      <c r="K206" s="581">
        <f t="shared" si="59"/>
        <v>1</v>
      </c>
      <c r="L206" s="581">
        <f t="shared" si="60"/>
        <v>1</v>
      </c>
      <c r="M206" s="581">
        <f t="shared" si="61"/>
        <v>1</v>
      </c>
      <c r="N206" s="581">
        <f t="shared" si="62"/>
        <v>1</v>
      </c>
      <c r="O206" s="581">
        <f t="shared" si="63"/>
        <v>1</v>
      </c>
      <c r="P206" s="581">
        <f t="shared" si="64"/>
        <v>1</v>
      </c>
      <c r="Q206" s="572"/>
      <c r="R206" s="589"/>
    </row>
    <row r="207" spans="1:18" outlineLevel="1" x14ac:dyDescent="0.2">
      <c r="A207" s="572"/>
      <c r="B207" s="572"/>
      <c r="C207" s="589"/>
      <c r="D207" s="610"/>
      <c r="E207" s="610"/>
      <c r="F207" s="610"/>
      <c r="G207" s="610"/>
      <c r="H207" s="610"/>
      <c r="I207" s="610"/>
      <c r="J207" s="593"/>
      <c r="K207" s="581">
        <f t="shared" si="59"/>
        <v>1</v>
      </c>
      <c r="L207" s="581">
        <f t="shared" si="60"/>
        <v>1</v>
      </c>
      <c r="M207" s="581">
        <f t="shared" si="61"/>
        <v>1</v>
      </c>
      <c r="N207" s="581">
        <f t="shared" si="62"/>
        <v>1</v>
      </c>
      <c r="O207" s="581">
        <f t="shared" si="63"/>
        <v>1</v>
      </c>
      <c r="P207" s="581">
        <f t="shared" si="64"/>
        <v>1</v>
      </c>
      <c r="Q207" s="572"/>
      <c r="R207" s="589"/>
    </row>
    <row r="208" spans="1:18" outlineLevel="1" x14ac:dyDescent="0.2">
      <c r="A208" s="572"/>
      <c r="B208" s="572"/>
      <c r="C208" s="589"/>
      <c r="D208" s="610"/>
      <c r="E208" s="610"/>
      <c r="F208" s="610"/>
      <c r="G208" s="610"/>
      <c r="H208" s="610"/>
      <c r="I208" s="610"/>
      <c r="J208" s="593"/>
      <c r="K208" s="581">
        <f t="shared" si="59"/>
        <v>1</v>
      </c>
      <c r="L208" s="581">
        <f t="shared" si="60"/>
        <v>1</v>
      </c>
      <c r="M208" s="581">
        <f t="shared" si="61"/>
        <v>1</v>
      </c>
      <c r="N208" s="581">
        <f t="shared" si="62"/>
        <v>1</v>
      </c>
      <c r="O208" s="581">
        <f t="shared" si="63"/>
        <v>1</v>
      </c>
      <c r="P208" s="581">
        <f t="shared" si="64"/>
        <v>1</v>
      </c>
      <c r="Q208" s="572"/>
      <c r="R208" s="589"/>
    </row>
    <row r="209" spans="1:18" outlineLevel="1" x14ac:dyDescent="0.2">
      <c r="A209" s="572"/>
      <c r="B209" s="572"/>
      <c r="C209" s="589"/>
      <c r="D209" s="610"/>
      <c r="E209" s="610"/>
      <c r="F209" s="610"/>
      <c r="G209" s="610"/>
      <c r="H209" s="610"/>
      <c r="I209" s="610"/>
      <c r="J209" s="593"/>
      <c r="K209" s="581">
        <f t="shared" si="59"/>
        <v>1</v>
      </c>
      <c r="L209" s="581">
        <f t="shared" si="60"/>
        <v>1</v>
      </c>
      <c r="M209" s="581">
        <f t="shared" si="61"/>
        <v>1</v>
      </c>
      <c r="N209" s="581">
        <f t="shared" si="62"/>
        <v>1</v>
      </c>
      <c r="O209" s="581">
        <f t="shared" si="63"/>
        <v>1</v>
      </c>
      <c r="P209" s="581">
        <f t="shared" si="64"/>
        <v>1</v>
      </c>
      <c r="Q209" s="572"/>
      <c r="R209" s="589"/>
    </row>
    <row r="210" spans="1:18" outlineLevel="1" x14ac:dyDescent="0.2">
      <c r="A210" s="572"/>
      <c r="B210" s="572"/>
      <c r="C210" s="589"/>
      <c r="D210" s="610"/>
      <c r="E210" s="610"/>
      <c r="F210" s="610"/>
      <c r="G210" s="610"/>
      <c r="H210" s="610"/>
      <c r="I210" s="610"/>
      <c r="J210" s="593"/>
      <c r="K210" s="581">
        <f t="shared" si="59"/>
        <v>1</v>
      </c>
      <c r="L210" s="581">
        <f t="shared" si="60"/>
        <v>1</v>
      </c>
      <c r="M210" s="581">
        <f t="shared" si="61"/>
        <v>1</v>
      </c>
      <c r="N210" s="581">
        <f t="shared" si="62"/>
        <v>1</v>
      </c>
      <c r="O210" s="581">
        <f t="shared" si="63"/>
        <v>1</v>
      </c>
      <c r="P210" s="581">
        <f t="shared" si="64"/>
        <v>1</v>
      </c>
      <c r="Q210" s="572"/>
      <c r="R210" s="589"/>
    </row>
    <row r="211" spans="1:18" outlineLevel="1" x14ac:dyDescent="0.2">
      <c r="A211" s="572"/>
      <c r="B211" s="572"/>
      <c r="C211" s="589"/>
      <c r="D211" s="610"/>
      <c r="E211" s="610"/>
      <c r="F211" s="610"/>
      <c r="G211" s="610"/>
      <c r="H211" s="610"/>
      <c r="I211" s="610"/>
      <c r="J211" s="593"/>
      <c r="K211" s="581">
        <f t="shared" si="59"/>
        <v>1</v>
      </c>
      <c r="L211" s="581">
        <f t="shared" si="60"/>
        <v>1</v>
      </c>
      <c r="M211" s="581">
        <f t="shared" si="61"/>
        <v>1</v>
      </c>
      <c r="N211" s="581">
        <f t="shared" si="62"/>
        <v>1</v>
      </c>
      <c r="O211" s="581">
        <f t="shared" si="63"/>
        <v>1</v>
      </c>
      <c r="P211" s="581">
        <f t="shared" si="64"/>
        <v>1</v>
      </c>
      <c r="Q211" s="572"/>
      <c r="R211" s="589"/>
    </row>
    <row r="212" spans="1:18" outlineLevel="1" x14ac:dyDescent="0.2">
      <c r="A212" s="572"/>
      <c r="B212" s="572"/>
      <c r="C212" s="589"/>
      <c r="D212" s="610"/>
      <c r="E212" s="610"/>
      <c r="F212" s="610"/>
      <c r="G212" s="610"/>
      <c r="H212" s="610"/>
      <c r="I212" s="610"/>
      <c r="J212" s="593"/>
      <c r="K212" s="581">
        <f>IF(D212="",1,D212)</f>
        <v>1</v>
      </c>
      <c r="L212" s="581">
        <f t="shared" si="60"/>
        <v>1</v>
      </c>
      <c r="M212" s="581">
        <f t="shared" si="61"/>
        <v>1</v>
      </c>
      <c r="N212" s="581">
        <f t="shared" si="62"/>
        <v>1</v>
      </c>
      <c r="O212" s="581">
        <f t="shared" si="63"/>
        <v>1</v>
      </c>
      <c r="P212" s="581">
        <f t="shared" si="64"/>
        <v>1</v>
      </c>
      <c r="Q212" s="572"/>
      <c r="R212" s="589"/>
    </row>
    <row r="213" spans="1:18" outlineLevel="1" x14ac:dyDescent="0.2">
      <c r="A213" s="572"/>
      <c r="B213" s="572"/>
      <c r="C213" s="580" t="s">
        <v>246</v>
      </c>
      <c r="D213" s="611">
        <f t="shared" ref="D213:I213" si="65">K203*K204*K205*K206*K212*K207*K208*K209*K210*K211</f>
        <v>1</v>
      </c>
      <c r="E213" s="611">
        <f t="shared" si="65"/>
        <v>1</v>
      </c>
      <c r="F213" s="611">
        <f t="shared" si="65"/>
        <v>1</v>
      </c>
      <c r="G213" s="611">
        <f t="shared" si="65"/>
        <v>1</v>
      </c>
      <c r="H213" s="611">
        <f t="shared" si="65"/>
        <v>1</v>
      </c>
      <c r="I213" s="611">
        <f t="shared" si="65"/>
        <v>1</v>
      </c>
      <c r="J213" s="593"/>
      <c r="K213" s="572"/>
      <c r="L213" s="572"/>
      <c r="M213" s="597"/>
      <c r="N213" s="572"/>
      <c r="O213" s="572"/>
      <c r="P213" s="572"/>
      <c r="Q213" s="572"/>
      <c r="R213" s="572"/>
    </row>
    <row r="214" spans="1:18" outlineLevel="1" x14ac:dyDescent="0.2">
      <c r="A214" s="597"/>
      <c r="B214" s="597"/>
      <c r="C214" s="574" t="s">
        <v>108</v>
      </c>
      <c r="D214" s="607">
        <f t="shared" ref="D214:I214" ca="1" si="66">IF(ISNUMBER(D200),D200*D213,"")</f>
        <v>0</v>
      </c>
      <c r="E214" s="607">
        <f t="shared" ca="1" si="66"/>
        <v>0</v>
      </c>
      <c r="F214" s="607">
        <f t="shared" ca="1" si="66"/>
        <v>0</v>
      </c>
      <c r="G214" s="607">
        <f t="shared" ca="1" si="66"/>
        <v>0</v>
      </c>
      <c r="H214" s="607">
        <f t="shared" ca="1" si="66"/>
        <v>0</v>
      </c>
      <c r="I214" s="607">
        <f t="shared" ca="1" si="66"/>
        <v>0</v>
      </c>
      <c r="J214" s="593"/>
      <c r="K214" s="597"/>
      <c r="L214" s="572"/>
      <c r="M214" s="572"/>
      <c r="N214" s="572"/>
      <c r="O214" s="572"/>
      <c r="P214" s="572"/>
      <c r="Q214" s="572"/>
      <c r="R214" s="572"/>
    </row>
    <row r="215" spans="1:18" outlineLevel="1" x14ac:dyDescent="0.2">
      <c r="A215" s="593"/>
      <c r="B215" s="593"/>
      <c r="C215" s="593"/>
      <c r="D215" s="593"/>
      <c r="E215" s="593"/>
      <c r="F215" s="593"/>
      <c r="G215" s="593"/>
      <c r="H215" s="593"/>
      <c r="I215" s="593"/>
      <c r="J215" s="593"/>
      <c r="K215" s="593"/>
      <c r="L215" s="593"/>
      <c r="M215" s="593"/>
      <c r="N215" s="593"/>
      <c r="O215" s="575"/>
      <c r="P215" s="575"/>
      <c r="Q215" s="593"/>
      <c r="R215" s="593"/>
    </row>
    <row r="216" spans="1:18" outlineLevel="1" x14ac:dyDescent="0.2">
      <c r="A216" s="593"/>
      <c r="B216" s="593"/>
      <c r="C216" s="585" t="str">
        <f>TxPhase1Tx</f>
        <v/>
      </c>
      <c r="D216" s="591"/>
      <c r="E216" s="572"/>
      <c r="F216" s="572"/>
      <c r="G216" s="593"/>
      <c r="H216" s="593"/>
      <c r="I216" s="593"/>
      <c r="J216" s="593"/>
      <c r="K216" s="604" t="s">
        <v>292</v>
      </c>
      <c r="L216" s="604" t="s">
        <v>52</v>
      </c>
      <c r="M216" s="604" t="s">
        <v>381</v>
      </c>
      <c r="N216" s="593"/>
      <c r="O216" s="575"/>
      <c r="P216" s="575"/>
      <c r="Q216" s="593"/>
      <c r="R216" s="577" t="s">
        <v>292</v>
      </c>
    </row>
    <row r="217" spans="1:18" outlineLevel="1" x14ac:dyDescent="0.2">
      <c r="A217" s="593"/>
      <c r="B217" s="593"/>
      <c r="C217" s="578" t="s">
        <v>109</v>
      </c>
      <c r="D217" s="584"/>
      <c r="E217" s="584"/>
      <c r="F217" s="584"/>
      <c r="G217" s="584"/>
      <c r="H217" s="584"/>
      <c r="I217" s="584"/>
      <c r="J217" s="593"/>
      <c r="K217" s="598">
        <f>IF(D196&lt;&gt;"",MATCH(D196,EPISource,0)-1,0)</f>
        <v>0</v>
      </c>
      <c r="L217" s="598">
        <f ca="1">IF(F196&lt;&gt;"",MATCH(F196,OFFSET(References!$AB$7,0,K217,PxPopCount),0),0)</f>
        <v>0</v>
      </c>
      <c r="M217" s="598">
        <f ca="1">(K217*PxPopCount)+L217</f>
        <v>0</v>
      </c>
      <c r="N217" s="593"/>
      <c r="O217" s="575"/>
      <c r="P217" s="575"/>
      <c r="Q217" s="593"/>
      <c r="R217" s="582"/>
    </row>
    <row r="218" spans="1:18" outlineLevel="1" x14ac:dyDescent="0.2">
      <c r="A218" s="593"/>
      <c r="B218" s="593"/>
      <c r="C218" s="593"/>
      <c r="D218" s="593"/>
      <c r="E218" s="612"/>
      <c r="F218" s="593"/>
      <c r="G218" s="593"/>
      <c r="H218" s="593"/>
      <c r="I218" s="593"/>
      <c r="J218" s="593"/>
      <c r="K218" s="571"/>
      <c r="L218" s="571"/>
      <c r="M218" s="593"/>
      <c r="N218" s="593"/>
      <c r="O218" s="575"/>
      <c r="P218" s="575"/>
      <c r="Q218" s="593"/>
      <c r="R218" s="593"/>
    </row>
    <row r="219" spans="1:18" outlineLevel="1" x14ac:dyDescent="0.2">
      <c r="A219" s="593"/>
      <c r="B219" s="593"/>
      <c r="C219" s="590" t="str">
        <f>TXPhase2Tx</f>
        <v/>
      </c>
      <c r="D219" s="600"/>
      <c r="E219" s="600"/>
      <c r="F219" s="593"/>
      <c r="G219" s="593"/>
      <c r="H219" s="593"/>
      <c r="I219" s="593"/>
      <c r="J219" s="593"/>
      <c r="K219" s="571"/>
      <c r="L219" s="571"/>
      <c r="M219" s="593"/>
      <c r="N219" s="593"/>
      <c r="O219" s="575"/>
      <c r="P219" s="575"/>
      <c r="Q219" s="593"/>
      <c r="R219" s="577" t="s">
        <v>292</v>
      </c>
    </row>
    <row r="220" spans="1:18" outlineLevel="1" x14ac:dyDescent="0.2">
      <c r="A220" s="593"/>
      <c r="B220" s="593"/>
      <c r="C220" s="590" t="str">
        <f>IF(C219&lt;&gt;"","Patients electing treatment (%)","")</f>
        <v/>
      </c>
      <c r="D220" s="584"/>
      <c r="E220" s="584"/>
      <c r="F220" s="584"/>
      <c r="G220" s="584"/>
      <c r="H220" s="584"/>
      <c r="I220" s="584"/>
      <c r="J220" s="593"/>
      <c r="K220" s="572"/>
      <c r="L220" s="575"/>
      <c r="M220" s="593"/>
      <c r="N220" s="593"/>
      <c r="O220" s="575"/>
      <c r="P220" s="575"/>
      <c r="Q220" s="593"/>
      <c r="R220" s="582"/>
    </row>
    <row r="221" spans="1:18" outlineLevel="1" x14ac:dyDescent="0.2">
      <c r="A221" s="593"/>
      <c r="B221" s="593"/>
      <c r="C221" s="593"/>
      <c r="D221" s="593"/>
      <c r="E221" s="593"/>
      <c r="F221" s="593"/>
      <c r="G221" s="593"/>
      <c r="H221" s="593"/>
      <c r="I221" s="593"/>
      <c r="J221" s="593"/>
      <c r="K221" s="593"/>
      <c r="L221" s="593"/>
      <c r="M221" s="593"/>
      <c r="N221" s="593"/>
      <c r="O221" s="575"/>
      <c r="P221" s="575"/>
      <c r="Q221" s="593"/>
      <c r="R221" s="593"/>
    </row>
    <row r="222" spans="1:18" outlineLevel="1" x14ac:dyDescent="0.2">
      <c r="A222" s="572"/>
      <c r="B222" s="572"/>
      <c r="C222" s="585" t="str">
        <f>TxPhase1Px</f>
        <v/>
      </c>
      <c r="D222" s="607">
        <f t="shared" ref="D222:I222" si="67">IF(TxPhase1&lt;&gt;"",D214*D217,0)</f>
        <v>0</v>
      </c>
      <c r="E222" s="607">
        <f t="shared" si="67"/>
        <v>0</v>
      </c>
      <c r="F222" s="607">
        <f t="shared" si="67"/>
        <v>0</v>
      </c>
      <c r="G222" s="607">
        <f t="shared" si="67"/>
        <v>0</v>
      </c>
      <c r="H222" s="607">
        <f t="shared" si="67"/>
        <v>0</v>
      </c>
      <c r="I222" s="607">
        <f t="shared" si="67"/>
        <v>0</v>
      </c>
      <c r="J222" s="598" t="str">
        <f>IF(D225&lt;&gt;"",D225,"")</f>
        <v/>
      </c>
      <c r="K222" s="599"/>
      <c r="L222" s="599"/>
      <c r="M222" s="599"/>
      <c r="N222" s="599"/>
      <c r="O222" s="575"/>
      <c r="P222" s="575"/>
      <c r="Q222" s="572"/>
      <c r="R222" s="572"/>
    </row>
    <row r="223" spans="1:18" outlineLevel="1" x14ac:dyDescent="0.2">
      <c r="A223" s="572"/>
      <c r="B223" s="572"/>
      <c r="C223" s="585" t="str">
        <f>TxPhase2Px</f>
        <v/>
      </c>
      <c r="D223" s="607">
        <f t="shared" ref="D223:I223" si="68">IF(TxPhase2&lt;&gt;"",D214*D220,0)</f>
        <v>0</v>
      </c>
      <c r="E223" s="607">
        <f t="shared" si="68"/>
        <v>0</v>
      </c>
      <c r="F223" s="607">
        <f t="shared" si="68"/>
        <v>0</v>
      </c>
      <c r="G223" s="607">
        <f t="shared" si="68"/>
        <v>0</v>
      </c>
      <c r="H223" s="607">
        <f t="shared" si="68"/>
        <v>0</v>
      </c>
      <c r="I223" s="607">
        <f t="shared" si="68"/>
        <v>0</v>
      </c>
      <c r="J223" s="598" t="str">
        <f>IF(D225&lt;&gt;"",D225,"")</f>
        <v/>
      </c>
      <c r="K223" s="572"/>
      <c r="L223" s="572"/>
      <c r="M223" s="597"/>
      <c r="N223" s="572"/>
      <c r="O223" s="575"/>
      <c r="P223" s="575"/>
      <c r="Q223" s="572"/>
      <c r="R223" s="572"/>
    </row>
    <row r="224" spans="1:18" s="570" customFormat="1" outlineLevel="1" x14ac:dyDescent="0.2">
      <c r="A224" s="572"/>
      <c r="B224" s="572"/>
      <c r="C224" s="572"/>
      <c r="D224" s="572"/>
      <c r="E224" s="572"/>
      <c r="F224" s="572"/>
      <c r="G224" s="572"/>
      <c r="H224" s="572"/>
      <c r="I224" s="572"/>
      <c r="J224" s="593"/>
      <c r="K224" s="572"/>
      <c r="L224" s="572"/>
      <c r="M224" s="597"/>
      <c r="N224" s="572"/>
      <c r="O224" s="575"/>
      <c r="P224" s="575"/>
      <c r="Q224" s="572"/>
      <c r="R224" s="572"/>
    </row>
    <row r="225" spans="1:18" s="570" customFormat="1" outlineLevel="1" x14ac:dyDescent="0.2">
      <c r="A225" s="572"/>
      <c r="B225" s="572"/>
      <c r="C225" s="122" t="s">
        <v>817</v>
      </c>
      <c r="D225" s="375"/>
      <c r="E225" s="572"/>
      <c r="F225" s="572"/>
      <c r="G225" s="572"/>
      <c r="H225" s="572"/>
      <c r="I225" s="572"/>
      <c r="J225" s="593"/>
      <c r="K225" s="572"/>
      <c r="L225" s="572"/>
      <c r="M225" s="597"/>
      <c r="N225" s="572"/>
      <c r="O225" s="575"/>
      <c r="P225" s="575"/>
      <c r="Q225" s="572"/>
      <c r="R225" s="572"/>
    </row>
    <row r="226" spans="1:18" outlineLevel="1" x14ac:dyDescent="0.2">
      <c r="A226" s="572"/>
      <c r="B226" s="572"/>
      <c r="C226" s="572"/>
      <c r="D226" s="572"/>
      <c r="E226" s="572"/>
      <c r="F226" s="572"/>
      <c r="G226" s="572"/>
      <c r="H226" s="572"/>
      <c r="I226" s="572"/>
      <c r="J226" s="593"/>
      <c r="K226" s="572"/>
      <c r="L226" s="572"/>
      <c r="M226" s="597"/>
      <c r="N226" s="572"/>
      <c r="O226" s="575"/>
      <c r="P226" s="575"/>
      <c r="Q226" s="572"/>
      <c r="R226" s="572"/>
    </row>
    <row r="227" spans="1:18" x14ac:dyDescent="0.2">
      <c r="A227" s="572"/>
      <c r="B227" s="572"/>
      <c r="C227" s="572"/>
      <c r="D227" s="572"/>
      <c r="E227" s="572"/>
      <c r="F227" s="572"/>
      <c r="G227" s="572"/>
      <c r="H227" s="572"/>
      <c r="I227" s="572"/>
      <c r="J227" s="593"/>
      <c r="K227" s="572"/>
      <c r="L227" s="572"/>
      <c r="M227" s="572"/>
      <c r="N227" s="572"/>
      <c r="O227" s="575"/>
      <c r="P227" s="575"/>
      <c r="Q227" s="572"/>
      <c r="R227" s="572"/>
    </row>
    <row r="228" spans="1:18" ht="15.75" x14ac:dyDescent="0.2">
      <c r="A228" s="104"/>
      <c r="B228" s="190">
        <v>6</v>
      </c>
      <c r="C228" s="110" t="str">
        <f>IF(D232&lt;&gt;"",CONCATENATE("Prevalent ",B228,": ",F232,I228),MsgNotUsed)</f>
        <v>** NOT USED **</v>
      </c>
      <c r="D228" s="188"/>
      <c r="E228" s="188"/>
      <c r="F228" s="188"/>
      <c r="G228" s="188"/>
      <c r="H228" s="191"/>
      <c r="I228" s="455" t="str">
        <f>IF(R232&lt;&gt;"",CONCATENATE(" (",R232,")"),"")</f>
        <v/>
      </c>
      <c r="J228" s="187"/>
      <c r="K228" s="187"/>
      <c r="L228" s="187"/>
      <c r="M228" s="187"/>
      <c r="N228" s="187"/>
      <c r="O228" s="187"/>
      <c r="P228" s="187"/>
      <c r="Q228" s="189"/>
      <c r="R228" s="189"/>
    </row>
    <row r="229" spans="1:18" outlineLevel="1" x14ac:dyDescent="0.2">
      <c r="A229" s="599"/>
      <c r="B229" s="599"/>
      <c r="C229" s="595"/>
      <c r="D229" s="599"/>
      <c r="E229" s="599"/>
      <c r="F229" s="599"/>
      <c r="G229" s="599"/>
      <c r="H229" s="599"/>
      <c r="I229" s="599"/>
      <c r="J229" s="593"/>
      <c r="K229" s="599"/>
      <c r="L229" s="599"/>
      <c r="M229" s="599"/>
      <c r="N229" s="599"/>
      <c r="O229" s="599"/>
      <c r="P229" s="599"/>
      <c r="Q229" s="599"/>
      <c r="R229" s="599"/>
    </row>
    <row r="230" spans="1:18" outlineLevel="1" x14ac:dyDescent="0.2">
      <c r="A230" s="599"/>
      <c r="B230" s="599"/>
      <c r="C230" s="572" t="s">
        <v>914</v>
      </c>
      <c r="D230" s="599"/>
      <c r="E230" s="599"/>
      <c r="F230" s="599"/>
      <c r="G230" s="599"/>
      <c r="H230" s="599"/>
      <c r="I230" s="599"/>
      <c r="J230" s="593"/>
      <c r="K230" s="599"/>
      <c r="L230" s="599"/>
      <c r="M230" s="599"/>
      <c r="N230" s="599"/>
      <c r="O230" s="599"/>
      <c r="P230" s="599"/>
      <c r="Q230" s="599"/>
      <c r="R230" s="670" t="str">
        <f ca="1">IF(ISERROR($M253)=TRUE,MsgError &amp; VLOOKUP("BadPop",ErrorMessages,2,FALSE),"")</f>
        <v/>
      </c>
    </row>
    <row r="231" spans="1:18" outlineLevel="1" x14ac:dyDescent="0.2">
      <c r="A231" s="599"/>
      <c r="B231" s="599"/>
      <c r="C231" s="595"/>
      <c r="D231" s="599"/>
      <c r="E231" s="599"/>
      <c r="F231" s="599"/>
      <c r="G231" s="599"/>
      <c r="H231" s="599"/>
      <c r="I231" s="599"/>
      <c r="J231" s="593"/>
      <c r="K231" s="599"/>
      <c r="L231" s="599"/>
      <c r="M231" s="599"/>
      <c r="N231" s="599"/>
      <c r="O231" s="599"/>
      <c r="P231" s="599"/>
      <c r="Q231" s="599"/>
      <c r="R231" s="577" t="s">
        <v>470</v>
      </c>
    </row>
    <row r="232" spans="1:18" outlineLevel="1" x14ac:dyDescent="0.2">
      <c r="A232" s="599"/>
      <c r="B232" s="599"/>
      <c r="C232" s="578" t="s">
        <v>131</v>
      </c>
      <c r="D232" s="605"/>
      <c r="E232" s="594"/>
      <c r="F232" s="774"/>
      <c r="G232" s="775"/>
      <c r="H232" s="775"/>
      <c r="I232" s="775"/>
      <c r="J232" s="593"/>
      <c r="K232" s="599"/>
      <c r="L232" s="599"/>
      <c r="M232" s="599"/>
      <c r="N232" s="599"/>
      <c r="O232" s="599"/>
      <c r="P232" s="599"/>
      <c r="Q232" s="599"/>
      <c r="R232" s="606"/>
    </row>
    <row r="233" spans="1:18" outlineLevel="1" x14ac:dyDescent="0.2">
      <c r="A233" s="599"/>
      <c r="B233" s="599"/>
      <c r="C233" s="595"/>
      <c r="D233" s="600">
        <v>1</v>
      </c>
      <c r="E233" s="600">
        <v>2</v>
      </c>
      <c r="F233" s="600">
        <v>3</v>
      </c>
      <c r="G233" s="600">
        <v>4</v>
      </c>
      <c r="H233" s="600">
        <v>5</v>
      </c>
      <c r="I233" s="600">
        <v>6</v>
      </c>
      <c r="J233" s="593"/>
      <c r="K233" s="599"/>
      <c r="L233" s="599"/>
      <c r="M233" s="599"/>
      <c r="N233" s="599"/>
      <c r="O233" s="599"/>
      <c r="P233" s="599"/>
      <c r="Q233" s="599"/>
      <c r="R233" s="599"/>
    </row>
    <row r="234" spans="1:18" outlineLevel="1" x14ac:dyDescent="0.2">
      <c r="A234" s="599"/>
      <c r="B234" s="599"/>
      <c r="C234" s="595"/>
      <c r="D234" s="776" t="s">
        <v>11</v>
      </c>
      <c r="E234" s="776"/>
      <c r="F234" s="776"/>
      <c r="G234" s="776"/>
      <c r="H234" s="776"/>
      <c r="I234" s="776"/>
      <c r="J234" s="593"/>
      <c r="K234" s="599"/>
      <c r="L234" s="599"/>
      <c r="M234" s="599"/>
      <c r="N234" s="599"/>
      <c r="O234" s="599"/>
      <c r="P234" s="599"/>
      <c r="Q234" s="599"/>
      <c r="R234" s="599"/>
    </row>
    <row r="235" spans="1:18" outlineLevel="1" x14ac:dyDescent="0.2">
      <c r="A235" s="599"/>
      <c r="B235" s="599"/>
      <c r="C235" s="573"/>
      <c r="D235" s="588">
        <f>FirstYear</f>
        <v>0</v>
      </c>
      <c r="E235" s="588">
        <f>D235+1</f>
        <v>1</v>
      </c>
      <c r="F235" s="588">
        <f>E235+1</f>
        <v>2</v>
      </c>
      <c r="G235" s="588">
        <f>F235+1</f>
        <v>3</v>
      </c>
      <c r="H235" s="588">
        <f>G235+1</f>
        <v>4</v>
      </c>
      <c r="I235" s="588">
        <f>H235+1</f>
        <v>5</v>
      </c>
      <c r="J235" s="593"/>
      <c r="K235" s="599"/>
      <c r="L235" s="599"/>
      <c r="M235" s="599"/>
      <c r="N235" s="599"/>
      <c r="O235" s="599"/>
      <c r="P235" s="599"/>
      <c r="Q235" s="599"/>
      <c r="R235" s="599"/>
    </row>
    <row r="236" spans="1:18" outlineLevel="1" x14ac:dyDescent="0.2">
      <c r="A236" s="572"/>
      <c r="B236" s="572"/>
      <c r="C236" s="576" t="s">
        <v>110</v>
      </c>
      <c r="D236" s="596">
        <f t="shared" ref="D236:I236" ca="1" si="69">IF(AND(ISERROR($M253)&lt;&gt;TRUE,$F232&lt;&gt;""),INDEX(PxPopNumbers,$M253,D233),0)</f>
        <v>0</v>
      </c>
      <c r="E236" s="596">
        <f t="shared" ca="1" si="69"/>
        <v>0</v>
      </c>
      <c r="F236" s="596">
        <f t="shared" ca="1" si="69"/>
        <v>0</v>
      </c>
      <c r="G236" s="596">
        <f t="shared" ca="1" si="69"/>
        <v>0</v>
      </c>
      <c r="H236" s="596">
        <f t="shared" ca="1" si="69"/>
        <v>0</v>
      </c>
      <c r="I236" s="596">
        <f t="shared" ca="1" si="69"/>
        <v>0</v>
      </c>
      <c r="J236" s="593"/>
      <c r="K236" s="572"/>
      <c r="L236" s="572"/>
      <c r="M236" s="572"/>
      <c r="N236" s="572"/>
      <c r="O236" s="572"/>
      <c r="P236" s="572"/>
      <c r="Q236" s="595"/>
      <c r="R236" s="572"/>
    </row>
    <row r="237" spans="1:18" outlineLevel="1" x14ac:dyDescent="0.2">
      <c r="A237" s="593"/>
      <c r="B237" s="593"/>
      <c r="C237" s="593"/>
      <c r="D237" s="593"/>
      <c r="E237" s="593"/>
      <c r="F237" s="593"/>
      <c r="G237" s="593"/>
      <c r="H237" s="593"/>
      <c r="I237" s="593"/>
      <c r="J237" s="593"/>
      <c r="K237" s="572"/>
      <c r="L237" s="572"/>
      <c r="M237" s="572"/>
      <c r="N237" s="572"/>
      <c r="O237" s="572"/>
      <c r="P237" s="572"/>
      <c r="Q237" s="593"/>
      <c r="R237" s="593"/>
    </row>
    <row r="238" spans="1:18" outlineLevel="1" x14ac:dyDescent="0.2">
      <c r="A238" s="593"/>
      <c r="B238" s="593"/>
      <c r="C238" s="579" t="s">
        <v>238</v>
      </c>
      <c r="D238" s="593"/>
      <c r="E238" s="593"/>
      <c r="F238" s="593"/>
      <c r="G238" s="593"/>
      <c r="H238" s="593"/>
      <c r="I238" s="593"/>
      <c r="J238" s="593"/>
      <c r="K238" s="572"/>
      <c r="L238" s="572"/>
      <c r="M238" s="593"/>
      <c r="N238" s="593"/>
      <c r="O238" s="593"/>
      <c r="P238" s="593"/>
      <c r="Q238" s="593"/>
      <c r="R238" s="577" t="s">
        <v>292</v>
      </c>
    </row>
    <row r="239" spans="1:18" outlineLevel="1" x14ac:dyDescent="0.2">
      <c r="A239" s="572"/>
      <c r="B239" s="572"/>
      <c r="C239" s="589"/>
      <c r="D239" s="610"/>
      <c r="E239" s="610"/>
      <c r="F239" s="610"/>
      <c r="G239" s="610"/>
      <c r="H239" s="610"/>
      <c r="I239" s="610"/>
      <c r="J239" s="593"/>
      <c r="K239" s="581">
        <f t="shared" ref="K239:K247" si="70">IF(D239="",1,D239)</f>
        <v>1</v>
      </c>
      <c r="L239" s="581">
        <f t="shared" ref="L239:L248" si="71">IF(E239="",1,E239)</f>
        <v>1</v>
      </c>
      <c r="M239" s="581">
        <f t="shared" ref="M239:M248" si="72">IF(F239="",1,F239)</f>
        <v>1</v>
      </c>
      <c r="N239" s="581">
        <f t="shared" ref="N239:N248" si="73">IF(G239="",1,G239)</f>
        <v>1</v>
      </c>
      <c r="O239" s="581">
        <f t="shared" ref="O239:O248" si="74">IF(H239="",1,H239)</f>
        <v>1</v>
      </c>
      <c r="P239" s="581">
        <f t="shared" ref="P239:P248" si="75">IF(I239="",1,I239)</f>
        <v>1</v>
      </c>
      <c r="Q239" s="572"/>
      <c r="R239" s="589"/>
    </row>
    <row r="240" spans="1:18" outlineLevel="1" x14ac:dyDescent="0.2">
      <c r="A240" s="572"/>
      <c r="B240" s="572"/>
      <c r="C240" s="589"/>
      <c r="D240" s="610"/>
      <c r="E240" s="610"/>
      <c r="F240" s="610"/>
      <c r="G240" s="610"/>
      <c r="H240" s="610"/>
      <c r="I240" s="610"/>
      <c r="J240" s="593"/>
      <c r="K240" s="581">
        <f t="shared" si="70"/>
        <v>1</v>
      </c>
      <c r="L240" s="581">
        <f t="shared" si="71"/>
        <v>1</v>
      </c>
      <c r="M240" s="581">
        <f t="shared" si="72"/>
        <v>1</v>
      </c>
      <c r="N240" s="581">
        <f t="shared" si="73"/>
        <v>1</v>
      </c>
      <c r="O240" s="581">
        <f t="shared" si="74"/>
        <v>1</v>
      </c>
      <c r="P240" s="581">
        <f t="shared" si="75"/>
        <v>1</v>
      </c>
      <c r="Q240" s="572"/>
      <c r="R240" s="589"/>
    </row>
    <row r="241" spans="1:18" outlineLevel="1" x14ac:dyDescent="0.2">
      <c r="A241" s="572"/>
      <c r="B241" s="572"/>
      <c r="C241" s="589"/>
      <c r="D241" s="610"/>
      <c r="E241" s="610"/>
      <c r="F241" s="610"/>
      <c r="G241" s="610"/>
      <c r="H241" s="610"/>
      <c r="I241" s="610"/>
      <c r="J241" s="593"/>
      <c r="K241" s="581">
        <f t="shared" si="70"/>
        <v>1</v>
      </c>
      <c r="L241" s="581">
        <f t="shared" si="71"/>
        <v>1</v>
      </c>
      <c r="M241" s="581">
        <f t="shared" si="72"/>
        <v>1</v>
      </c>
      <c r="N241" s="581">
        <f t="shared" si="73"/>
        <v>1</v>
      </c>
      <c r="O241" s="581">
        <f t="shared" si="74"/>
        <v>1</v>
      </c>
      <c r="P241" s="581">
        <f t="shared" si="75"/>
        <v>1</v>
      </c>
      <c r="Q241" s="572"/>
      <c r="R241" s="589"/>
    </row>
    <row r="242" spans="1:18" outlineLevel="1" x14ac:dyDescent="0.2">
      <c r="A242" s="572"/>
      <c r="B242" s="572"/>
      <c r="C242" s="589"/>
      <c r="D242" s="610"/>
      <c r="E242" s="610"/>
      <c r="F242" s="610"/>
      <c r="G242" s="610"/>
      <c r="H242" s="610"/>
      <c r="I242" s="610"/>
      <c r="J242" s="593"/>
      <c r="K242" s="581">
        <f t="shared" si="70"/>
        <v>1</v>
      </c>
      <c r="L242" s="581">
        <f t="shared" si="71"/>
        <v>1</v>
      </c>
      <c r="M242" s="581">
        <f t="shared" si="72"/>
        <v>1</v>
      </c>
      <c r="N242" s="581">
        <f t="shared" si="73"/>
        <v>1</v>
      </c>
      <c r="O242" s="581">
        <f t="shared" si="74"/>
        <v>1</v>
      </c>
      <c r="P242" s="581">
        <f t="shared" si="75"/>
        <v>1</v>
      </c>
      <c r="Q242" s="572"/>
      <c r="R242" s="589"/>
    </row>
    <row r="243" spans="1:18" outlineLevel="1" x14ac:dyDescent="0.2">
      <c r="A243" s="572"/>
      <c r="B243" s="572"/>
      <c r="C243" s="589"/>
      <c r="D243" s="610"/>
      <c r="E243" s="610"/>
      <c r="F243" s="610"/>
      <c r="G243" s="610"/>
      <c r="H243" s="610"/>
      <c r="I243" s="610"/>
      <c r="J243" s="593"/>
      <c r="K243" s="581">
        <f t="shared" si="70"/>
        <v>1</v>
      </c>
      <c r="L243" s="581">
        <f t="shared" si="71"/>
        <v>1</v>
      </c>
      <c r="M243" s="581">
        <f t="shared" si="72"/>
        <v>1</v>
      </c>
      <c r="N243" s="581">
        <f t="shared" si="73"/>
        <v>1</v>
      </c>
      <c r="O243" s="581">
        <f t="shared" si="74"/>
        <v>1</v>
      </c>
      <c r="P243" s="581">
        <f t="shared" si="75"/>
        <v>1</v>
      </c>
      <c r="Q243" s="572"/>
      <c r="R243" s="589"/>
    </row>
    <row r="244" spans="1:18" outlineLevel="1" x14ac:dyDescent="0.2">
      <c r="A244" s="572"/>
      <c r="B244" s="572"/>
      <c r="C244" s="589"/>
      <c r="D244" s="610"/>
      <c r="E244" s="610"/>
      <c r="F244" s="610"/>
      <c r="G244" s="610"/>
      <c r="H244" s="610"/>
      <c r="I244" s="610"/>
      <c r="J244" s="593"/>
      <c r="K244" s="581">
        <f t="shared" si="70"/>
        <v>1</v>
      </c>
      <c r="L244" s="581">
        <f t="shared" si="71"/>
        <v>1</v>
      </c>
      <c r="M244" s="581">
        <f t="shared" si="72"/>
        <v>1</v>
      </c>
      <c r="N244" s="581">
        <f t="shared" si="73"/>
        <v>1</v>
      </c>
      <c r="O244" s="581">
        <f t="shared" si="74"/>
        <v>1</v>
      </c>
      <c r="P244" s="581">
        <f t="shared" si="75"/>
        <v>1</v>
      </c>
      <c r="Q244" s="572"/>
      <c r="R244" s="589"/>
    </row>
    <row r="245" spans="1:18" outlineLevel="1" x14ac:dyDescent="0.2">
      <c r="A245" s="572"/>
      <c r="B245" s="572"/>
      <c r="C245" s="589"/>
      <c r="D245" s="610"/>
      <c r="E245" s="610"/>
      <c r="F245" s="610"/>
      <c r="G245" s="610"/>
      <c r="H245" s="610"/>
      <c r="I245" s="610"/>
      <c r="J245" s="593"/>
      <c r="K245" s="581">
        <f t="shared" si="70"/>
        <v>1</v>
      </c>
      <c r="L245" s="581">
        <f t="shared" si="71"/>
        <v>1</v>
      </c>
      <c r="M245" s="581">
        <f t="shared" si="72"/>
        <v>1</v>
      </c>
      <c r="N245" s="581">
        <f t="shared" si="73"/>
        <v>1</v>
      </c>
      <c r="O245" s="581">
        <f t="shared" si="74"/>
        <v>1</v>
      </c>
      <c r="P245" s="581">
        <f t="shared" si="75"/>
        <v>1</v>
      </c>
      <c r="Q245" s="572"/>
      <c r="R245" s="589"/>
    </row>
    <row r="246" spans="1:18" outlineLevel="1" x14ac:dyDescent="0.2">
      <c r="A246" s="572"/>
      <c r="B246" s="572"/>
      <c r="C246" s="589"/>
      <c r="D246" s="610"/>
      <c r="E246" s="610"/>
      <c r="F246" s="610"/>
      <c r="G246" s="610"/>
      <c r="H246" s="610"/>
      <c r="I246" s="610"/>
      <c r="J246" s="593"/>
      <c r="K246" s="581">
        <f t="shared" si="70"/>
        <v>1</v>
      </c>
      <c r="L246" s="581">
        <f t="shared" si="71"/>
        <v>1</v>
      </c>
      <c r="M246" s="581">
        <f t="shared" si="72"/>
        <v>1</v>
      </c>
      <c r="N246" s="581">
        <f t="shared" si="73"/>
        <v>1</v>
      </c>
      <c r="O246" s="581">
        <f t="shared" si="74"/>
        <v>1</v>
      </c>
      <c r="P246" s="581">
        <f t="shared" si="75"/>
        <v>1</v>
      </c>
      <c r="Q246" s="572"/>
      <c r="R246" s="589"/>
    </row>
    <row r="247" spans="1:18" outlineLevel="1" x14ac:dyDescent="0.2">
      <c r="A247" s="572"/>
      <c r="B247" s="572"/>
      <c r="C247" s="589"/>
      <c r="D247" s="610"/>
      <c r="E247" s="610"/>
      <c r="F247" s="610"/>
      <c r="G247" s="610"/>
      <c r="H247" s="610"/>
      <c r="I247" s="610"/>
      <c r="J247" s="593"/>
      <c r="K247" s="581">
        <f t="shared" si="70"/>
        <v>1</v>
      </c>
      <c r="L247" s="581">
        <f t="shared" si="71"/>
        <v>1</v>
      </c>
      <c r="M247" s="581">
        <f t="shared" si="72"/>
        <v>1</v>
      </c>
      <c r="N247" s="581">
        <f t="shared" si="73"/>
        <v>1</v>
      </c>
      <c r="O247" s="581">
        <f t="shared" si="74"/>
        <v>1</v>
      </c>
      <c r="P247" s="581">
        <f t="shared" si="75"/>
        <v>1</v>
      </c>
      <c r="Q247" s="572"/>
      <c r="R247" s="589"/>
    </row>
    <row r="248" spans="1:18" outlineLevel="1" x14ac:dyDescent="0.2">
      <c r="A248" s="572"/>
      <c r="B248" s="572"/>
      <c r="C248" s="589"/>
      <c r="D248" s="610"/>
      <c r="E248" s="610"/>
      <c r="F248" s="610"/>
      <c r="G248" s="610"/>
      <c r="H248" s="610"/>
      <c r="I248" s="610"/>
      <c r="J248" s="593"/>
      <c r="K248" s="581">
        <f>IF(D248="",1,D248)</f>
        <v>1</v>
      </c>
      <c r="L248" s="581">
        <f t="shared" si="71"/>
        <v>1</v>
      </c>
      <c r="M248" s="581">
        <f t="shared" si="72"/>
        <v>1</v>
      </c>
      <c r="N248" s="581">
        <f t="shared" si="73"/>
        <v>1</v>
      </c>
      <c r="O248" s="581">
        <f t="shared" si="74"/>
        <v>1</v>
      </c>
      <c r="P248" s="581">
        <f t="shared" si="75"/>
        <v>1</v>
      </c>
      <c r="Q248" s="572"/>
      <c r="R248" s="589"/>
    </row>
    <row r="249" spans="1:18" outlineLevel="1" x14ac:dyDescent="0.2">
      <c r="A249" s="572"/>
      <c r="B249" s="572"/>
      <c r="C249" s="580" t="s">
        <v>246</v>
      </c>
      <c r="D249" s="611">
        <f t="shared" ref="D249:I249" si="76">K239*K240*K241*K242*K248*K243*K244*K245*K246*K247</f>
        <v>1</v>
      </c>
      <c r="E249" s="611">
        <f t="shared" si="76"/>
        <v>1</v>
      </c>
      <c r="F249" s="611">
        <f t="shared" si="76"/>
        <v>1</v>
      </c>
      <c r="G249" s="611">
        <f t="shared" si="76"/>
        <v>1</v>
      </c>
      <c r="H249" s="611">
        <f t="shared" si="76"/>
        <v>1</v>
      </c>
      <c r="I249" s="611">
        <f t="shared" si="76"/>
        <v>1</v>
      </c>
      <c r="J249" s="593"/>
      <c r="K249" s="572"/>
      <c r="L249" s="572"/>
      <c r="M249" s="597"/>
      <c r="N249" s="572"/>
      <c r="O249" s="572"/>
      <c r="P249" s="572"/>
      <c r="Q249" s="572"/>
      <c r="R249" s="572"/>
    </row>
    <row r="250" spans="1:18" outlineLevel="1" x14ac:dyDescent="0.2">
      <c r="A250" s="597"/>
      <c r="B250" s="597"/>
      <c r="C250" s="574" t="s">
        <v>108</v>
      </c>
      <c r="D250" s="607">
        <f t="shared" ref="D250:I250" ca="1" si="77">IF(ISNUMBER(D236),D236*D249,"")</f>
        <v>0</v>
      </c>
      <c r="E250" s="607">
        <f t="shared" ca="1" si="77"/>
        <v>0</v>
      </c>
      <c r="F250" s="607">
        <f t="shared" ca="1" si="77"/>
        <v>0</v>
      </c>
      <c r="G250" s="607">
        <f t="shared" ca="1" si="77"/>
        <v>0</v>
      </c>
      <c r="H250" s="607">
        <f t="shared" ca="1" si="77"/>
        <v>0</v>
      </c>
      <c r="I250" s="607">
        <f t="shared" ca="1" si="77"/>
        <v>0</v>
      </c>
      <c r="J250" s="593"/>
      <c r="K250" s="597"/>
      <c r="L250" s="572"/>
      <c r="M250" s="572"/>
      <c r="N250" s="572"/>
      <c r="O250" s="572"/>
      <c r="P250" s="572"/>
      <c r="Q250" s="572"/>
      <c r="R250" s="572"/>
    </row>
    <row r="251" spans="1:18" outlineLevel="1" x14ac:dyDescent="0.2">
      <c r="A251" s="593"/>
      <c r="B251" s="593"/>
      <c r="C251" s="593"/>
      <c r="D251" s="593"/>
      <c r="E251" s="593"/>
      <c r="F251" s="593"/>
      <c r="G251" s="593"/>
      <c r="H251" s="593"/>
      <c r="I251" s="593"/>
      <c r="J251" s="593"/>
      <c r="K251" s="593"/>
      <c r="L251" s="593"/>
      <c r="M251" s="593"/>
      <c r="N251" s="593"/>
      <c r="O251" s="575"/>
      <c r="P251" s="575"/>
      <c r="Q251" s="593"/>
      <c r="R251" s="593"/>
    </row>
    <row r="252" spans="1:18" outlineLevel="1" x14ac:dyDescent="0.2">
      <c r="A252" s="593"/>
      <c r="B252" s="593"/>
      <c r="C252" s="585" t="str">
        <f>TxPhase1Tx</f>
        <v/>
      </c>
      <c r="D252" s="591"/>
      <c r="E252" s="572"/>
      <c r="F252" s="572"/>
      <c r="G252" s="593"/>
      <c r="H252" s="593"/>
      <c r="I252" s="593"/>
      <c r="J252" s="593"/>
      <c r="K252" s="604" t="s">
        <v>292</v>
      </c>
      <c r="L252" s="604" t="s">
        <v>52</v>
      </c>
      <c r="M252" s="604" t="s">
        <v>381</v>
      </c>
      <c r="N252" s="593"/>
      <c r="O252" s="575"/>
      <c r="P252" s="575"/>
      <c r="Q252" s="593"/>
      <c r="R252" s="577" t="s">
        <v>292</v>
      </c>
    </row>
    <row r="253" spans="1:18" outlineLevel="1" x14ac:dyDescent="0.2">
      <c r="A253" s="593"/>
      <c r="B253" s="593"/>
      <c r="C253" s="578" t="s">
        <v>109</v>
      </c>
      <c r="D253" s="584"/>
      <c r="E253" s="584"/>
      <c r="F253" s="584"/>
      <c r="G253" s="584"/>
      <c r="H253" s="584"/>
      <c r="I253" s="584"/>
      <c r="J253" s="593"/>
      <c r="K253" s="598">
        <f>IF(D232&lt;&gt;"",MATCH(D232,EPISource,0)-1,0)</f>
        <v>0</v>
      </c>
      <c r="L253" s="598">
        <f ca="1">IF(F232&lt;&gt;"",MATCH(F232,OFFSET(References!$AB$7,0,K253,PxPopCount),0),0)</f>
        <v>0</v>
      </c>
      <c r="M253" s="598">
        <f ca="1">(K253*PxPopCount)+L253</f>
        <v>0</v>
      </c>
      <c r="N253" s="593"/>
      <c r="O253" s="575"/>
      <c r="P253" s="575"/>
      <c r="Q253" s="593"/>
      <c r="R253" s="582"/>
    </row>
    <row r="254" spans="1:18" outlineLevel="1" x14ac:dyDescent="0.2">
      <c r="A254" s="593"/>
      <c r="B254" s="593"/>
      <c r="C254" s="593"/>
      <c r="D254" s="593"/>
      <c r="E254" s="612"/>
      <c r="F254" s="593"/>
      <c r="G254" s="593"/>
      <c r="H254" s="593"/>
      <c r="I254" s="593"/>
      <c r="J254" s="593"/>
      <c r="K254" s="571"/>
      <c r="L254" s="571"/>
      <c r="M254" s="593"/>
      <c r="N254" s="593"/>
      <c r="O254" s="575"/>
      <c r="P254" s="575"/>
      <c r="Q254" s="593"/>
      <c r="R254" s="593"/>
    </row>
    <row r="255" spans="1:18" outlineLevel="1" x14ac:dyDescent="0.2">
      <c r="A255" s="593"/>
      <c r="B255" s="593"/>
      <c r="C255" s="590" t="str">
        <f>TXPhase2Tx</f>
        <v/>
      </c>
      <c r="D255" s="600"/>
      <c r="E255" s="600"/>
      <c r="F255" s="593"/>
      <c r="G255" s="593"/>
      <c r="H255" s="593"/>
      <c r="I255" s="593"/>
      <c r="J255" s="593"/>
      <c r="K255" s="571"/>
      <c r="L255" s="571"/>
      <c r="M255" s="593"/>
      <c r="N255" s="593"/>
      <c r="O255" s="575"/>
      <c r="P255" s="575"/>
      <c r="Q255" s="593"/>
      <c r="R255" s="577" t="s">
        <v>292</v>
      </c>
    </row>
    <row r="256" spans="1:18" outlineLevel="1" x14ac:dyDescent="0.2">
      <c r="A256" s="593"/>
      <c r="B256" s="593"/>
      <c r="C256" s="590" t="str">
        <f>IF(C255&lt;&gt;"","Patients electing treatment (%)","")</f>
        <v/>
      </c>
      <c r="D256" s="584"/>
      <c r="E256" s="584"/>
      <c r="F256" s="584"/>
      <c r="G256" s="584"/>
      <c r="H256" s="584"/>
      <c r="I256" s="584"/>
      <c r="J256" s="593"/>
      <c r="K256" s="572"/>
      <c r="L256" s="575"/>
      <c r="M256" s="593"/>
      <c r="N256" s="593"/>
      <c r="O256" s="575"/>
      <c r="P256" s="575"/>
      <c r="Q256" s="593"/>
      <c r="R256" s="582"/>
    </row>
    <row r="257" spans="1:18" outlineLevel="1" x14ac:dyDescent="0.2">
      <c r="A257" s="593"/>
      <c r="B257" s="593"/>
      <c r="C257" s="593"/>
      <c r="D257" s="593"/>
      <c r="E257" s="593"/>
      <c r="F257" s="593"/>
      <c r="G257" s="593"/>
      <c r="H257" s="593"/>
      <c r="I257" s="593"/>
      <c r="J257" s="593"/>
      <c r="K257" s="593"/>
      <c r="L257" s="593"/>
      <c r="M257" s="593"/>
      <c r="N257" s="593"/>
      <c r="O257" s="575"/>
      <c r="P257" s="575"/>
      <c r="Q257" s="593"/>
      <c r="R257" s="593"/>
    </row>
    <row r="258" spans="1:18" outlineLevel="1" x14ac:dyDescent="0.2">
      <c r="A258" s="572"/>
      <c r="B258" s="572"/>
      <c r="C258" s="585" t="str">
        <f>TxPhase1Px</f>
        <v/>
      </c>
      <c r="D258" s="607">
        <f t="shared" ref="D258:I258" si="78">IF(TxPhase1&lt;&gt;"",D250*D253,0)</f>
        <v>0</v>
      </c>
      <c r="E258" s="607">
        <f t="shared" si="78"/>
        <v>0</v>
      </c>
      <c r="F258" s="607">
        <f t="shared" si="78"/>
        <v>0</v>
      </c>
      <c r="G258" s="607">
        <f t="shared" si="78"/>
        <v>0</v>
      </c>
      <c r="H258" s="607">
        <f t="shared" si="78"/>
        <v>0</v>
      </c>
      <c r="I258" s="607">
        <f t="shared" si="78"/>
        <v>0</v>
      </c>
      <c r="J258" s="598" t="str">
        <f>IF(D261&lt;&gt;"",D261,"")</f>
        <v/>
      </c>
      <c r="K258" s="599"/>
      <c r="L258" s="599"/>
      <c r="M258" s="599"/>
      <c r="N258" s="599"/>
      <c r="O258" s="575"/>
      <c r="P258" s="575"/>
      <c r="Q258" s="572"/>
      <c r="R258" s="572"/>
    </row>
    <row r="259" spans="1:18" outlineLevel="1" x14ac:dyDescent="0.2">
      <c r="A259" s="572"/>
      <c r="B259" s="572"/>
      <c r="C259" s="585" t="str">
        <f>TxPhase2Px</f>
        <v/>
      </c>
      <c r="D259" s="607">
        <f t="shared" ref="D259:I259" si="79">IF(TxPhase2&lt;&gt;"",D250*D256,0)</f>
        <v>0</v>
      </c>
      <c r="E259" s="607">
        <f t="shared" si="79"/>
        <v>0</v>
      </c>
      <c r="F259" s="607">
        <f t="shared" si="79"/>
        <v>0</v>
      </c>
      <c r="G259" s="607">
        <f t="shared" si="79"/>
        <v>0</v>
      </c>
      <c r="H259" s="607">
        <f t="shared" si="79"/>
        <v>0</v>
      </c>
      <c r="I259" s="607">
        <f t="shared" si="79"/>
        <v>0</v>
      </c>
      <c r="J259" s="598" t="str">
        <f>IF(D261&lt;&gt;"",D261,"")</f>
        <v/>
      </c>
      <c r="K259" s="572"/>
      <c r="L259" s="572"/>
      <c r="M259" s="597"/>
      <c r="N259" s="572"/>
      <c r="O259" s="575"/>
      <c r="P259" s="575"/>
      <c r="Q259" s="572"/>
      <c r="R259" s="572"/>
    </row>
    <row r="260" spans="1:18" s="570" customFormat="1" outlineLevel="1" x14ac:dyDescent="0.2">
      <c r="A260" s="572"/>
      <c r="B260" s="572"/>
      <c r="C260" s="572"/>
      <c r="D260" s="572"/>
      <c r="E260" s="572"/>
      <c r="F260" s="572"/>
      <c r="G260" s="572"/>
      <c r="H260" s="572"/>
      <c r="I260" s="572"/>
      <c r="J260" s="593"/>
      <c r="K260" s="572"/>
      <c r="L260" s="572"/>
      <c r="M260" s="597"/>
      <c r="N260" s="572"/>
      <c r="O260" s="575"/>
      <c r="P260" s="575"/>
      <c r="Q260" s="572"/>
      <c r="R260" s="572"/>
    </row>
    <row r="261" spans="1:18" s="570" customFormat="1" outlineLevel="1" x14ac:dyDescent="0.2">
      <c r="A261" s="572"/>
      <c r="B261" s="572"/>
      <c r="C261" s="122" t="s">
        <v>817</v>
      </c>
      <c r="D261" s="375"/>
      <c r="E261" s="572"/>
      <c r="F261" s="572"/>
      <c r="G261" s="572"/>
      <c r="H261" s="572"/>
      <c r="I261" s="572"/>
      <c r="J261" s="593"/>
      <c r="K261" s="572"/>
      <c r="L261" s="572"/>
      <c r="M261" s="597"/>
      <c r="N261" s="572"/>
      <c r="O261" s="575"/>
      <c r="P261" s="575"/>
      <c r="Q261" s="572"/>
      <c r="R261" s="572"/>
    </row>
    <row r="262" spans="1:18" outlineLevel="1" collapsed="1" x14ac:dyDescent="0.2">
      <c r="A262" s="572"/>
      <c r="B262" s="572"/>
      <c r="C262" s="572"/>
      <c r="D262" s="572"/>
      <c r="E262" s="572"/>
      <c r="F262" s="572"/>
      <c r="G262" s="572"/>
      <c r="H262" s="572"/>
      <c r="I262" s="572"/>
      <c r="J262" s="593"/>
      <c r="K262" s="572"/>
      <c r="L262" s="572"/>
      <c r="M262" s="597"/>
      <c r="N262" s="572"/>
      <c r="O262" s="575"/>
      <c r="P262" s="575"/>
      <c r="Q262" s="572"/>
      <c r="R262" s="572"/>
    </row>
    <row r="263" spans="1:18" x14ac:dyDescent="0.2">
      <c r="A263" s="572"/>
      <c r="B263" s="572"/>
      <c r="C263" s="572"/>
      <c r="D263" s="572"/>
      <c r="E263" s="572"/>
      <c r="F263" s="572"/>
      <c r="G263" s="572"/>
      <c r="H263" s="572"/>
      <c r="I263" s="572"/>
      <c r="J263" s="593"/>
      <c r="K263" s="572"/>
      <c r="L263" s="572"/>
      <c r="M263" s="572"/>
      <c r="N263" s="572"/>
      <c r="O263" s="575"/>
      <c r="P263" s="575"/>
      <c r="Q263" s="572"/>
      <c r="R263" s="572"/>
    </row>
    <row r="264" spans="1:18" ht="15.75" x14ac:dyDescent="0.2">
      <c r="A264" s="104"/>
      <c r="B264" s="190">
        <v>7</v>
      </c>
      <c r="C264" s="110" t="str">
        <f>IF(D268&lt;&gt;"",CONCATENATE("Prevalent ",B264,": ",F268,I264),MsgNotUsed)</f>
        <v>** NOT USED **</v>
      </c>
      <c r="D264" s="188"/>
      <c r="E264" s="188"/>
      <c r="F264" s="188"/>
      <c r="G264" s="188"/>
      <c r="H264" s="191"/>
      <c r="I264" s="455" t="str">
        <f>IF(R268&lt;&gt;"",CONCATENATE(" (",R268,")"),"")</f>
        <v/>
      </c>
      <c r="J264" s="187"/>
      <c r="K264" s="187"/>
      <c r="L264" s="187"/>
      <c r="M264" s="187"/>
      <c r="N264" s="187"/>
      <c r="O264" s="187"/>
      <c r="P264" s="187"/>
      <c r="Q264" s="189"/>
      <c r="R264" s="189"/>
    </row>
    <row r="265" spans="1:18" outlineLevel="1" x14ac:dyDescent="0.2">
      <c r="A265" s="599"/>
      <c r="B265" s="599"/>
      <c r="C265" s="595"/>
      <c r="D265" s="599"/>
      <c r="E265" s="599"/>
      <c r="F265" s="599"/>
      <c r="G265" s="599"/>
      <c r="H265" s="599"/>
      <c r="I265" s="599"/>
      <c r="J265" s="593"/>
      <c r="K265" s="599"/>
      <c r="L265" s="599"/>
      <c r="M265" s="599"/>
      <c r="N265" s="599"/>
      <c r="O265" s="599"/>
      <c r="P265" s="599"/>
      <c r="Q265" s="599"/>
      <c r="R265" s="599"/>
    </row>
    <row r="266" spans="1:18" outlineLevel="1" x14ac:dyDescent="0.2">
      <c r="A266" s="599"/>
      <c r="B266" s="599"/>
      <c r="C266" s="572" t="s">
        <v>914</v>
      </c>
      <c r="D266" s="599"/>
      <c r="E266" s="599"/>
      <c r="F266" s="599"/>
      <c r="G266" s="599"/>
      <c r="H266" s="599"/>
      <c r="I266" s="599"/>
      <c r="J266" s="593"/>
      <c r="K266" s="599"/>
      <c r="L266" s="599"/>
      <c r="M266" s="599"/>
      <c r="N266" s="599"/>
      <c r="O266" s="599"/>
      <c r="P266" s="599"/>
      <c r="Q266" s="599"/>
      <c r="R266" s="670" t="str">
        <f ca="1">IF(ISERROR($M289)=TRUE,MsgError &amp; VLOOKUP("BadPop",ErrorMessages,2,FALSE),"")</f>
        <v/>
      </c>
    </row>
    <row r="267" spans="1:18" outlineLevel="1" x14ac:dyDescent="0.2">
      <c r="A267" s="599"/>
      <c r="B267" s="599"/>
      <c r="C267" s="595"/>
      <c r="D267" s="599"/>
      <c r="E267" s="599"/>
      <c r="F267" s="599"/>
      <c r="G267" s="599"/>
      <c r="H267" s="599"/>
      <c r="I267" s="599"/>
      <c r="J267" s="593"/>
      <c r="K267" s="599"/>
      <c r="L267" s="599"/>
      <c r="M267" s="599"/>
      <c r="N267" s="599"/>
      <c r="O267" s="599"/>
      <c r="P267" s="599"/>
      <c r="Q267" s="599"/>
      <c r="R267" s="577" t="s">
        <v>470</v>
      </c>
    </row>
    <row r="268" spans="1:18" outlineLevel="1" x14ac:dyDescent="0.2">
      <c r="A268" s="599"/>
      <c r="B268" s="599"/>
      <c r="C268" s="578" t="s">
        <v>131</v>
      </c>
      <c r="D268" s="605"/>
      <c r="E268" s="594"/>
      <c r="F268" s="774"/>
      <c r="G268" s="775"/>
      <c r="H268" s="775"/>
      <c r="I268" s="775"/>
      <c r="J268" s="593"/>
      <c r="K268" s="599"/>
      <c r="L268" s="599"/>
      <c r="M268" s="599"/>
      <c r="N268" s="599"/>
      <c r="O268" s="599"/>
      <c r="P268" s="599"/>
      <c r="Q268" s="599"/>
      <c r="R268" s="606"/>
    </row>
    <row r="269" spans="1:18" outlineLevel="1" x14ac:dyDescent="0.2">
      <c r="A269" s="599"/>
      <c r="B269" s="599"/>
      <c r="C269" s="595"/>
      <c r="D269" s="600">
        <v>1</v>
      </c>
      <c r="E269" s="600">
        <v>2</v>
      </c>
      <c r="F269" s="600">
        <v>3</v>
      </c>
      <c r="G269" s="600">
        <v>4</v>
      </c>
      <c r="H269" s="600">
        <v>5</v>
      </c>
      <c r="I269" s="600">
        <v>6</v>
      </c>
      <c r="J269" s="593"/>
      <c r="K269" s="599"/>
      <c r="L269" s="599"/>
      <c r="M269" s="599"/>
      <c r="N269" s="599"/>
      <c r="O269" s="599"/>
      <c r="P269" s="599"/>
      <c r="Q269" s="599"/>
      <c r="R269" s="599"/>
    </row>
    <row r="270" spans="1:18" outlineLevel="1" x14ac:dyDescent="0.2">
      <c r="A270" s="599"/>
      <c r="B270" s="599"/>
      <c r="C270" s="595"/>
      <c r="D270" s="776" t="s">
        <v>11</v>
      </c>
      <c r="E270" s="776"/>
      <c r="F270" s="776"/>
      <c r="G270" s="776"/>
      <c r="H270" s="776"/>
      <c r="I270" s="776"/>
      <c r="J270" s="593"/>
      <c r="K270" s="599"/>
      <c r="L270" s="599"/>
      <c r="M270" s="599"/>
      <c r="N270" s="599"/>
      <c r="O270" s="599"/>
      <c r="P270" s="599"/>
      <c r="Q270" s="599"/>
      <c r="R270" s="599"/>
    </row>
    <row r="271" spans="1:18" outlineLevel="1" x14ac:dyDescent="0.2">
      <c r="A271" s="599"/>
      <c r="B271" s="599"/>
      <c r="C271" s="573"/>
      <c r="D271" s="588">
        <f>FirstYear</f>
        <v>0</v>
      </c>
      <c r="E271" s="588">
        <f>D271+1</f>
        <v>1</v>
      </c>
      <c r="F271" s="588">
        <f>E271+1</f>
        <v>2</v>
      </c>
      <c r="G271" s="588">
        <f>F271+1</f>
        <v>3</v>
      </c>
      <c r="H271" s="588">
        <f>G271+1</f>
        <v>4</v>
      </c>
      <c r="I271" s="588">
        <f>H271+1</f>
        <v>5</v>
      </c>
      <c r="J271" s="593"/>
      <c r="K271" s="599"/>
      <c r="L271" s="599"/>
      <c r="M271" s="599"/>
      <c r="N271" s="599"/>
      <c r="O271" s="599"/>
      <c r="P271" s="599"/>
      <c r="Q271" s="599"/>
      <c r="R271" s="599"/>
    </row>
    <row r="272" spans="1:18" outlineLevel="1" x14ac:dyDescent="0.2">
      <c r="A272" s="572"/>
      <c r="B272" s="572"/>
      <c r="C272" s="576" t="s">
        <v>110</v>
      </c>
      <c r="D272" s="596">
        <f t="shared" ref="D272:I272" ca="1" si="80">IF(AND(ISERROR($M289)&lt;&gt;TRUE,$F268&lt;&gt;""),INDEX(PxPopNumbers,$M289,D269),0)</f>
        <v>0</v>
      </c>
      <c r="E272" s="596">
        <f t="shared" ca="1" si="80"/>
        <v>0</v>
      </c>
      <c r="F272" s="596">
        <f t="shared" ca="1" si="80"/>
        <v>0</v>
      </c>
      <c r="G272" s="596">
        <f t="shared" ca="1" si="80"/>
        <v>0</v>
      </c>
      <c r="H272" s="596">
        <f t="shared" ca="1" si="80"/>
        <v>0</v>
      </c>
      <c r="I272" s="596">
        <f t="shared" ca="1" si="80"/>
        <v>0</v>
      </c>
      <c r="J272" s="593"/>
      <c r="K272" s="572"/>
      <c r="L272" s="572"/>
      <c r="M272" s="572"/>
      <c r="N272" s="572"/>
      <c r="O272" s="572"/>
      <c r="P272" s="572"/>
      <c r="Q272" s="595"/>
      <c r="R272" s="572"/>
    </row>
    <row r="273" spans="1:18" outlineLevel="1" x14ac:dyDescent="0.2">
      <c r="A273" s="593"/>
      <c r="B273" s="593"/>
      <c r="C273" s="593"/>
      <c r="D273" s="593"/>
      <c r="E273" s="593"/>
      <c r="F273" s="593"/>
      <c r="G273" s="593"/>
      <c r="H273" s="593"/>
      <c r="I273" s="593"/>
      <c r="J273" s="593"/>
      <c r="K273" s="572"/>
      <c r="L273" s="572"/>
      <c r="M273" s="572"/>
      <c r="N273" s="572"/>
      <c r="O273" s="572"/>
      <c r="P273" s="572"/>
      <c r="Q273" s="593"/>
      <c r="R273" s="593"/>
    </row>
    <row r="274" spans="1:18" outlineLevel="1" x14ac:dyDescent="0.2">
      <c r="A274" s="593"/>
      <c r="B274" s="593"/>
      <c r="C274" s="579" t="s">
        <v>238</v>
      </c>
      <c r="D274" s="593"/>
      <c r="E274" s="593"/>
      <c r="F274" s="593"/>
      <c r="G274" s="593"/>
      <c r="H274" s="593"/>
      <c r="I274" s="593"/>
      <c r="J274" s="593"/>
      <c r="K274" s="572"/>
      <c r="L274" s="572"/>
      <c r="M274" s="593"/>
      <c r="N274" s="593"/>
      <c r="O274" s="593"/>
      <c r="P274" s="593"/>
      <c r="Q274" s="593"/>
      <c r="R274" s="577" t="s">
        <v>292</v>
      </c>
    </row>
    <row r="275" spans="1:18" outlineLevel="1" x14ac:dyDescent="0.2">
      <c r="A275" s="572"/>
      <c r="B275" s="572"/>
      <c r="C275" s="589"/>
      <c r="D275" s="610"/>
      <c r="E275" s="610"/>
      <c r="F275" s="610"/>
      <c r="G275" s="610"/>
      <c r="H275" s="610"/>
      <c r="I275" s="610"/>
      <c r="J275" s="593"/>
      <c r="K275" s="581">
        <f t="shared" ref="K275:K283" si="81">IF(D275="",1,D275)</f>
        <v>1</v>
      </c>
      <c r="L275" s="581">
        <f t="shared" ref="L275:L284" si="82">IF(E275="",1,E275)</f>
        <v>1</v>
      </c>
      <c r="M275" s="581">
        <f t="shared" ref="M275:M284" si="83">IF(F275="",1,F275)</f>
        <v>1</v>
      </c>
      <c r="N275" s="581">
        <f t="shared" ref="N275:N284" si="84">IF(G275="",1,G275)</f>
        <v>1</v>
      </c>
      <c r="O275" s="581">
        <f t="shared" ref="O275:O284" si="85">IF(H275="",1,H275)</f>
        <v>1</v>
      </c>
      <c r="P275" s="581">
        <f t="shared" ref="P275:P284" si="86">IF(I275="",1,I275)</f>
        <v>1</v>
      </c>
      <c r="Q275" s="572"/>
      <c r="R275" s="589"/>
    </row>
    <row r="276" spans="1:18" outlineLevel="1" x14ac:dyDescent="0.2">
      <c r="A276" s="572"/>
      <c r="B276" s="572"/>
      <c r="C276" s="589"/>
      <c r="D276" s="610"/>
      <c r="E276" s="610"/>
      <c r="F276" s="610"/>
      <c r="G276" s="610"/>
      <c r="H276" s="610"/>
      <c r="I276" s="610"/>
      <c r="J276" s="593"/>
      <c r="K276" s="581">
        <f t="shared" si="81"/>
        <v>1</v>
      </c>
      <c r="L276" s="581">
        <f t="shared" si="82"/>
        <v>1</v>
      </c>
      <c r="M276" s="581">
        <f t="shared" si="83"/>
        <v>1</v>
      </c>
      <c r="N276" s="581">
        <f t="shared" si="84"/>
        <v>1</v>
      </c>
      <c r="O276" s="581">
        <f t="shared" si="85"/>
        <v>1</v>
      </c>
      <c r="P276" s="581">
        <f t="shared" si="86"/>
        <v>1</v>
      </c>
      <c r="Q276" s="572"/>
      <c r="R276" s="589"/>
    </row>
    <row r="277" spans="1:18" outlineLevel="1" x14ac:dyDescent="0.2">
      <c r="A277" s="572"/>
      <c r="B277" s="572"/>
      <c r="C277" s="589"/>
      <c r="D277" s="610"/>
      <c r="E277" s="610"/>
      <c r="F277" s="610"/>
      <c r="G277" s="610"/>
      <c r="H277" s="610"/>
      <c r="I277" s="610"/>
      <c r="J277" s="593"/>
      <c r="K277" s="581">
        <f t="shared" si="81"/>
        <v>1</v>
      </c>
      <c r="L277" s="581">
        <f t="shared" si="82"/>
        <v>1</v>
      </c>
      <c r="M277" s="581">
        <f t="shared" si="83"/>
        <v>1</v>
      </c>
      <c r="N277" s="581">
        <f t="shared" si="84"/>
        <v>1</v>
      </c>
      <c r="O277" s="581">
        <f t="shared" si="85"/>
        <v>1</v>
      </c>
      <c r="P277" s="581">
        <f t="shared" si="86"/>
        <v>1</v>
      </c>
      <c r="Q277" s="572"/>
      <c r="R277" s="589"/>
    </row>
    <row r="278" spans="1:18" outlineLevel="1" x14ac:dyDescent="0.2">
      <c r="A278" s="572"/>
      <c r="B278" s="572"/>
      <c r="C278" s="589"/>
      <c r="D278" s="610"/>
      <c r="E278" s="610"/>
      <c r="F278" s="610"/>
      <c r="G278" s="610"/>
      <c r="H278" s="610"/>
      <c r="I278" s="610"/>
      <c r="J278" s="593"/>
      <c r="K278" s="581">
        <f t="shared" si="81"/>
        <v>1</v>
      </c>
      <c r="L278" s="581">
        <f t="shared" si="82"/>
        <v>1</v>
      </c>
      <c r="M278" s="581">
        <f t="shared" si="83"/>
        <v>1</v>
      </c>
      <c r="N278" s="581">
        <f t="shared" si="84"/>
        <v>1</v>
      </c>
      <c r="O278" s="581">
        <f t="shared" si="85"/>
        <v>1</v>
      </c>
      <c r="P278" s="581">
        <f t="shared" si="86"/>
        <v>1</v>
      </c>
      <c r="Q278" s="572"/>
      <c r="R278" s="589"/>
    </row>
    <row r="279" spans="1:18" outlineLevel="1" x14ac:dyDescent="0.2">
      <c r="A279" s="572"/>
      <c r="B279" s="572"/>
      <c r="C279" s="589"/>
      <c r="D279" s="610"/>
      <c r="E279" s="610"/>
      <c r="F279" s="610"/>
      <c r="G279" s="610"/>
      <c r="H279" s="610"/>
      <c r="I279" s="610"/>
      <c r="J279" s="593"/>
      <c r="K279" s="581">
        <f t="shared" si="81"/>
        <v>1</v>
      </c>
      <c r="L279" s="581">
        <f t="shared" si="82"/>
        <v>1</v>
      </c>
      <c r="M279" s="581">
        <f t="shared" si="83"/>
        <v>1</v>
      </c>
      <c r="N279" s="581">
        <f t="shared" si="84"/>
        <v>1</v>
      </c>
      <c r="O279" s="581">
        <f t="shared" si="85"/>
        <v>1</v>
      </c>
      <c r="P279" s="581">
        <f t="shared" si="86"/>
        <v>1</v>
      </c>
      <c r="Q279" s="572"/>
      <c r="R279" s="589"/>
    </row>
    <row r="280" spans="1:18" outlineLevel="1" x14ac:dyDescent="0.2">
      <c r="A280" s="572"/>
      <c r="B280" s="572"/>
      <c r="C280" s="589"/>
      <c r="D280" s="610"/>
      <c r="E280" s="610"/>
      <c r="F280" s="610"/>
      <c r="G280" s="610"/>
      <c r="H280" s="610"/>
      <c r="I280" s="610"/>
      <c r="J280" s="593"/>
      <c r="K280" s="581">
        <f t="shared" si="81"/>
        <v>1</v>
      </c>
      <c r="L280" s="581">
        <f t="shared" si="82"/>
        <v>1</v>
      </c>
      <c r="M280" s="581">
        <f t="shared" si="83"/>
        <v>1</v>
      </c>
      <c r="N280" s="581">
        <f t="shared" si="84"/>
        <v>1</v>
      </c>
      <c r="O280" s="581">
        <f t="shared" si="85"/>
        <v>1</v>
      </c>
      <c r="P280" s="581">
        <f t="shared" si="86"/>
        <v>1</v>
      </c>
      <c r="Q280" s="572"/>
      <c r="R280" s="589"/>
    </row>
    <row r="281" spans="1:18" outlineLevel="1" x14ac:dyDescent="0.2">
      <c r="A281" s="572"/>
      <c r="B281" s="572"/>
      <c r="C281" s="589"/>
      <c r="D281" s="610"/>
      <c r="E281" s="610"/>
      <c r="F281" s="610"/>
      <c r="G281" s="610"/>
      <c r="H281" s="610"/>
      <c r="I281" s="610"/>
      <c r="J281" s="593"/>
      <c r="K281" s="581">
        <f t="shared" si="81"/>
        <v>1</v>
      </c>
      <c r="L281" s="581">
        <f t="shared" si="82"/>
        <v>1</v>
      </c>
      <c r="M281" s="581">
        <f t="shared" si="83"/>
        <v>1</v>
      </c>
      <c r="N281" s="581">
        <f t="shared" si="84"/>
        <v>1</v>
      </c>
      <c r="O281" s="581">
        <f t="shared" si="85"/>
        <v>1</v>
      </c>
      <c r="P281" s="581">
        <f t="shared" si="86"/>
        <v>1</v>
      </c>
      <c r="Q281" s="572"/>
      <c r="R281" s="589"/>
    </row>
    <row r="282" spans="1:18" outlineLevel="1" x14ac:dyDescent="0.2">
      <c r="A282" s="572"/>
      <c r="B282" s="572"/>
      <c r="C282" s="589"/>
      <c r="D282" s="610"/>
      <c r="E282" s="610"/>
      <c r="F282" s="610"/>
      <c r="G282" s="610"/>
      <c r="H282" s="610"/>
      <c r="I282" s="610"/>
      <c r="J282" s="593"/>
      <c r="K282" s="581">
        <f t="shared" si="81"/>
        <v>1</v>
      </c>
      <c r="L282" s="581">
        <f t="shared" si="82"/>
        <v>1</v>
      </c>
      <c r="M282" s="581">
        <f t="shared" si="83"/>
        <v>1</v>
      </c>
      <c r="N282" s="581">
        <f t="shared" si="84"/>
        <v>1</v>
      </c>
      <c r="O282" s="581">
        <f t="shared" si="85"/>
        <v>1</v>
      </c>
      <c r="P282" s="581">
        <f t="shared" si="86"/>
        <v>1</v>
      </c>
      <c r="Q282" s="572"/>
      <c r="R282" s="589"/>
    </row>
    <row r="283" spans="1:18" outlineLevel="1" x14ac:dyDescent="0.2">
      <c r="A283" s="572"/>
      <c r="B283" s="572"/>
      <c r="C283" s="589"/>
      <c r="D283" s="610"/>
      <c r="E283" s="610"/>
      <c r="F283" s="610"/>
      <c r="G283" s="610"/>
      <c r="H283" s="610"/>
      <c r="I283" s="610"/>
      <c r="J283" s="593"/>
      <c r="K283" s="581">
        <f t="shared" si="81"/>
        <v>1</v>
      </c>
      <c r="L283" s="581">
        <f t="shared" si="82"/>
        <v>1</v>
      </c>
      <c r="M283" s="581">
        <f t="shared" si="83"/>
        <v>1</v>
      </c>
      <c r="N283" s="581">
        <f t="shared" si="84"/>
        <v>1</v>
      </c>
      <c r="O283" s="581">
        <f t="shared" si="85"/>
        <v>1</v>
      </c>
      <c r="P283" s="581">
        <f t="shared" si="86"/>
        <v>1</v>
      </c>
      <c r="Q283" s="572"/>
      <c r="R283" s="589"/>
    </row>
    <row r="284" spans="1:18" outlineLevel="1" x14ac:dyDescent="0.2">
      <c r="A284" s="572"/>
      <c r="B284" s="572"/>
      <c r="C284" s="589"/>
      <c r="D284" s="610"/>
      <c r="E284" s="610"/>
      <c r="F284" s="610"/>
      <c r="G284" s="610"/>
      <c r="H284" s="610"/>
      <c r="I284" s="610"/>
      <c r="J284" s="593"/>
      <c r="K284" s="581">
        <f>IF(D284="",1,D284)</f>
        <v>1</v>
      </c>
      <c r="L284" s="581">
        <f t="shared" si="82"/>
        <v>1</v>
      </c>
      <c r="M284" s="581">
        <f t="shared" si="83"/>
        <v>1</v>
      </c>
      <c r="N284" s="581">
        <f t="shared" si="84"/>
        <v>1</v>
      </c>
      <c r="O284" s="581">
        <f t="shared" si="85"/>
        <v>1</v>
      </c>
      <c r="P284" s="581">
        <f t="shared" si="86"/>
        <v>1</v>
      </c>
      <c r="Q284" s="572"/>
      <c r="R284" s="589"/>
    </row>
    <row r="285" spans="1:18" outlineLevel="1" x14ac:dyDescent="0.2">
      <c r="A285" s="572"/>
      <c r="B285" s="572"/>
      <c r="C285" s="580" t="s">
        <v>246</v>
      </c>
      <c r="D285" s="611">
        <f t="shared" ref="D285:I285" si="87">K275*K276*K277*K278*K284*K279*K280*K281*K282*K283</f>
        <v>1</v>
      </c>
      <c r="E285" s="611">
        <f t="shared" si="87"/>
        <v>1</v>
      </c>
      <c r="F285" s="611">
        <f t="shared" si="87"/>
        <v>1</v>
      </c>
      <c r="G285" s="611">
        <f t="shared" si="87"/>
        <v>1</v>
      </c>
      <c r="H285" s="611">
        <f t="shared" si="87"/>
        <v>1</v>
      </c>
      <c r="I285" s="611">
        <f t="shared" si="87"/>
        <v>1</v>
      </c>
      <c r="J285" s="593"/>
      <c r="K285" s="572"/>
      <c r="L285" s="572"/>
      <c r="M285" s="597"/>
      <c r="N285" s="572"/>
      <c r="O285" s="572"/>
      <c r="P285" s="572"/>
      <c r="Q285" s="572"/>
      <c r="R285" s="572"/>
    </row>
    <row r="286" spans="1:18" outlineLevel="1" x14ac:dyDescent="0.2">
      <c r="A286" s="597"/>
      <c r="B286" s="597"/>
      <c r="C286" s="574" t="s">
        <v>108</v>
      </c>
      <c r="D286" s="607">
        <f t="shared" ref="D286:I286" ca="1" si="88">IF(ISNUMBER(D272),D272*D285,"")</f>
        <v>0</v>
      </c>
      <c r="E286" s="607">
        <f t="shared" ca="1" si="88"/>
        <v>0</v>
      </c>
      <c r="F286" s="607">
        <f t="shared" ca="1" si="88"/>
        <v>0</v>
      </c>
      <c r="G286" s="607">
        <f t="shared" ca="1" si="88"/>
        <v>0</v>
      </c>
      <c r="H286" s="607">
        <f t="shared" ca="1" si="88"/>
        <v>0</v>
      </c>
      <c r="I286" s="607">
        <f t="shared" ca="1" si="88"/>
        <v>0</v>
      </c>
      <c r="J286" s="593"/>
      <c r="K286" s="597"/>
      <c r="L286" s="572"/>
      <c r="M286" s="572"/>
      <c r="N286" s="572"/>
      <c r="O286" s="572"/>
      <c r="P286" s="572"/>
      <c r="Q286" s="572"/>
      <c r="R286" s="572"/>
    </row>
    <row r="287" spans="1:18" outlineLevel="1" x14ac:dyDescent="0.2">
      <c r="A287" s="593"/>
      <c r="B287" s="593"/>
      <c r="C287" s="593"/>
      <c r="D287" s="593"/>
      <c r="E287" s="593"/>
      <c r="F287" s="593"/>
      <c r="G287" s="593"/>
      <c r="H287" s="593"/>
      <c r="I287" s="593"/>
      <c r="J287" s="593"/>
      <c r="K287" s="593"/>
      <c r="L287" s="593"/>
      <c r="M287" s="571"/>
      <c r="N287" s="593"/>
      <c r="O287" s="575"/>
      <c r="P287" s="575"/>
      <c r="Q287" s="593"/>
      <c r="R287" s="593"/>
    </row>
    <row r="288" spans="1:18" outlineLevel="1" x14ac:dyDescent="0.2">
      <c r="A288" s="593"/>
      <c r="B288" s="593"/>
      <c r="C288" s="585" t="str">
        <f>TxPhase1Tx</f>
        <v/>
      </c>
      <c r="D288" s="591"/>
      <c r="E288" s="572"/>
      <c r="F288" s="572"/>
      <c r="G288" s="593"/>
      <c r="H288" s="593"/>
      <c r="I288" s="593"/>
      <c r="J288" s="593"/>
      <c r="K288" s="604" t="s">
        <v>292</v>
      </c>
      <c r="L288" s="604" t="s">
        <v>52</v>
      </c>
      <c r="M288" s="604" t="s">
        <v>381</v>
      </c>
      <c r="N288" s="593"/>
      <c r="O288" s="575"/>
      <c r="P288" s="575"/>
      <c r="Q288" s="593"/>
      <c r="R288" s="577" t="s">
        <v>292</v>
      </c>
    </row>
    <row r="289" spans="1:18" outlineLevel="1" x14ac:dyDescent="0.2">
      <c r="A289" s="593"/>
      <c r="B289" s="593"/>
      <c r="C289" s="578" t="s">
        <v>109</v>
      </c>
      <c r="D289" s="584"/>
      <c r="E289" s="584"/>
      <c r="F289" s="584"/>
      <c r="G289" s="584"/>
      <c r="H289" s="584"/>
      <c r="I289" s="584"/>
      <c r="J289" s="593"/>
      <c r="K289" s="598">
        <f>IF(D268&lt;&gt;"",MATCH(D268,EPISource,0)-1,0)</f>
        <v>0</v>
      </c>
      <c r="L289" s="598">
        <f ca="1">IF(F268&lt;&gt;"",MATCH(F268,OFFSET(References!$AB$7,0,K289,PxPopCount),0),0)</f>
        <v>0</v>
      </c>
      <c r="M289" s="598">
        <f ca="1">(K289*PxPopCount)+L289</f>
        <v>0</v>
      </c>
      <c r="N289" s="593"/>
      <c r="O289" s="575"/>
      <c r="P289" s="575"/>
      <c r="Q289" s="593"/>
      <c r="R289" s="582"/>
    </row>
    <row r="290" spans="1:18" outlineLevel="1" x14ac:dyDescent="0.2">
      <c r="A290" s="593"/>
      <c r="B290" s="593"/>
      <c r="C290" s="593"/>
      <c r="D290" s="593"/>
      <c r="E290" s="612"/>
      <c r="F290" s="593"/>
      <c r="G290" s="593"/>
      <c r="H290" s="593"/>
      <c r="I290" s="593"/>
      <c r="J290" s="593"/>
      <c r="K290" s="571"/>
      <c r="L290" s="571"/>
      <c r="M290" s="593"/>
      <c r="N290" s="593"/>
      <c r="O290" s="575"/>
      <c r="P290" s="575"/>
      <c r="Q290" s="593"/>
      <c r="R290" s="593"/>
    </row>
    <row r="291" spans="1:18" outlineLevel="1" x14ac:dyDescent="0.2">
      <c r="A291" s="593"/>
      <c r="B291" s="593"/>
      <c r="C291" s="590" t="str">
        <f>TXPhase2Tx</f>
        <v/>
      </c>
      <c r="D291" s="600"/>
      <c r="E291" s="600"/>
      <c r="F291" s="593"/>
      <c r="G291" s="593"/>
      <c r="H291" s="593"/>
      <c r="I291" s="593"/>
      <c r="J291" s="593"/>
      <c r="K291" s="571"/>
      <c r="L291" s="571"/>
      <c r="M291" s="593"/>
      <c r="N291" s="593"/>
      <c r="O291" s="575"/>
      <c r="P291" s="575"/>
      <c r="Q291" s="593"/>
      <c r="R291" s="577" t="s">
        <v>292</v>
      </c>
    </row>
    <row r="292" spans="1:18" outlineLevel="1" x14ac:dyDescent="0.2">
      <c r="A292" s="593"/>
      <c r="B292" s="593"/>
      <c r="C292" s="590" t="str">
        <f>IF(C291&lt;&gt;"","Patients electing treatment (%)","")</f>
        <v/>
      </c>
      <c r="D292" s="584"/>
      <c r="E292" s="584"/>
      <c r="F292" s="584"/>
      <c r="G292" s="584"/>
      <c r="H292" s="584"/>
      <c r="I292" s="584"/>
      <c r="J292" s="593"/>
      <c r="K292" s="572"/>
      <c r="L292" s="575"/>
      <c r="M292" s="593"/>
      <c r="N292" s="593"/>
      <c r="O292" s="575"/>
      <c r="P292" s="575"/>
      <c r="Q292" s="593"/>
      <c r="R292" s="582"/>
    </row>
    <row r="293" spans="1:18" outlineLevel="1" x14ac:dyDescent="0.2">
      <c r="A293" s="593"/>
      <c r="B293" s="593"/>
      <c r="C293" s="593"/>
      <c r="D293" s="593"/>
      <c r="E293" s="593"/>
      <c r="F293" s="593"/>
      <c r="G293" s="593"/>
      <c r="H293" s="593"/>
      <c r="I293" s="593"/>
      <c r="J293" s="593"/>
      <c r="K293" s="593"/>
      <c r="L293" s="593"/>
      <c r="M293" s="593"/>
      <c r="N293" s="593"/>
      <c r="O293" s="575"/>
      <c r="P293" s="575"/>
      <c r="Q293" s="593"/>
      <c r="R293" s="593"/>
    </row>
    <row r="294" spans="1:18" outlineLevel="1" x14ac:dyDescent="0.2">
      <c r="A294" s="572"/>
      <c r="B294" s="572"/>
      <c r="C294" s="585" t="str">
        <f>TxPhase1Px</f>
        <v/>
      </c>
      <c r="D294" s="607">
        <f t="shared" ref="D294:I294" si="89">IF(TxPhase1&lt;&gt;"",D286*D289,0)</f>
        <v>0</v>
      </c>
      <c r="E294" s="607">
        <f t="shared" si="89"/>
        <v>0</v>
      </c>
      <c r="F294" s="607">
        <f t="shared" si="89"/>
        <v>0</v>
      </c>
      <c r="G294" s="607">
        <f t="shared" si="89"/>
        <v>0</v>
      </c>
      <c r="H294" s="607">
        <f t="shared" si="89"/>
        <v>0</v>
      </c>
      <c r="I294" s="607">
        <f t="shared" si="89"/>
        <v>0</v>
      </c>
      <c r="J294" s="598" t="str">
        <f>IF(D297&lt;&gt;"",D297,"")</f>
        <v/>
      </c>
      <c r="K294" s="599"/>
      <c r="L294" s="599"/>
      <c r="M294" s="599"/>
      <c r="N294" s="599"/>
      <c r="O294" s="575"/>
      <c r="P294" s="575"/>
      <c r="Q294" s="572"/>
      <c r="R294" s="572"/>
    </row>
    <row r="295" spans="1:18" outlineLevel="1" x14ac:dyDescent="0.2">
      <c r="A295" s="572"/>
      <c r="B295" s="572"/>
      <c r="C295" s="585" t="str">
        <f>TxPhase2Px</f>
        <v/>
      </c>
      <c r="D295" s="607">
        <f t="shared" ref="D295:I295" si="90">IF(TxPhase2&lt;&gt;"",D286*D292,0)</f>
        <v>0</v>
      </c>
      <c r="E295" s="607">
        <f t="shared" si="90"/>
        <v>0</v>
      </c>
      <c r="F295" s="607">
        <f t="shared" si="90"/>
        <v>0</v>
      </c>
      <c r="G295" s="607">
        <f t="shared" si="90"/>
        <v>0</v>
      </c>
      <c r="H295" s="607">
        <f t="shared" si="90"/>
        <v>0</v>
      </c>
      <c r="I295" s="607">
        <f t="shared" si="90"/>
        <v>0</v>
      </c>
      <c r="J295" s="598" t="str">
        <f>IF(D297&lt;&gt;"",D297,"")</f>
        <v/>
      </c>
      <c r="K295" s="572"/>
      <c r="L295" s="572"/>
      <c r="M295" s="597"/>
      <c r="N295" s="572"/>
      <c r="O295" s="575"/>
      <c r="P295" s="575"/>
      <c r="Q295" s="572"/>
      <c r="R295" s="572"/>
    </row>
    <row r="296" spans="1:18" s="570" customFormat="1" outlineLevel="1" x14ac:dyDescent="0.2">
      <c r="A296" s="572"/>
      <c r="B296" s="572"/>
      <c r="C296" s="572"/>
      <c r="D296" s="572"/>
      <c r="E296" s="572"/>
      <c r="F296" s="572"/>
      <c r="G296" s="572"/>
      <c r="H296" s="572"/>
      <c r="I296" s="572"/>
      <c r="J296" s="593"/>
      <c r="K296" s="572"/>
      <c r="L296" s="572"/>
      <c r="M296" s="597"/>
      <c r="N296" s="572"/>
      <c r="O296" s="575"/>
      <c r="P296" s="575"/>
      <c r="Q296" s="572"/>
      <c r="R296" s="572"/>
    </row>
    <row r="297" spans="1:18" s="570" customFormat="1" outlineLevel="1" x14ac:dyDescent="0.2">
      <c r="A297" s="572"/>
      <c r="B297" s="572"/>
      <c r="C297" s="122" t="s">
        <v>817</v>
      </c>
      <c r="D297" s="375"/>
      <c r="E297" s="572"/>
      <c r="F297" s="572"/>
      <c r="G297" s="572"/>
      <c r="H297" s="572"/>
      <c r="I297" s="572"/>
      <c r="J297" s="593"/>
      <c r="K297" s="572"/>
      <c r="L297" s="572"/>
      <c r="M297" s="597"/>
      <c r="N297" s="572"/>
      <c r="O297" s="575"/>
      <c r="P297" s="575"/>
      <c r="Q297" s="572"/>
      <c r="R297" s="572"/>
    </row>
    <row r="298" spans="1:18" outlineLevel="1" collapsed="1" x14ac:dyDescent="0.2">
      <c r="A298" s="572"/>
      <c r="B298" s="572"/>
      <c r="C298" s="572"/>
      <c r="D298" s="572"/>
      <c r="E298" s="572"/>
      <c r="F298" s="572"/>
      <c r="G298" s="572"/>
      <c r="H298" s="572"/>
      <c r="I298" s="572"/>
      <c r="J298" s="593"/>
      <c r="K298" s="572"/>
      <c r="L298" s="572"/>
      <c r="M298" s="597"/>
      <c r="N298" s="572"/>
      <c r="O298" s="575"/>
      <c r="P298" s="575"/>
      <c r="Q298" s="572"/>
      <c r="R298" s="572"/>
    </row>
    <row r="299" spans="1:18" x14ac:dyDescent="0.2">
      <c r="A299" s="572"/>
      <c r="B299" s="572"/>
      <c r="C299" s="572"/>
      <c r="D299" s="572"/>
      <c r="E299" s="572"/>
      <c r="F299" s="572"/>
      <c r="G299" s="572"/>
      <c r="H299" s="572"/>
      <c r="I299" s="572"/>
      <c r="J299" s="593"/>
      <c r="K299" s="572"/>
      <c r="L299" s="572"/>
      <c r="M299" s="572"/>
      <c r="N299" s="572"/>
      <c r="O299" s="575"/>
      <c r="P299" s="575"/>
      <c r="Q299" s="572"/>
      <c r="R299" s="572"/>
    </row>
    <row r="300" spans="1:18" ht="15.75" x14ac:dyDescent="0.2">
      <c r="A300" s="104"/>
      <c r="B300" s="190">
        <v>8</v>
      </c>
      <c r="C300" s="110" t="str">
        <f>IF(D304&lt;&gt;"",CONCATENATE("Prevalent ",B300,": ",F304,I300),MsgNotUsed)</f>
        <v>** NOT USED **</v>
      </c>
      <c r="D300" s="188"/>
      <c r="E300" s="188"/>
      <c r="F300" s="188"/>
      <c r="G300" s="188"/>
      <c r="H300" s="191"/>
      <c r="I300" s="455" t="str">
        <f>IF(R304&lt;&gt;"",CONCATENATE(" (",R304,")"),"")</f>
        <v/>
      </c>
      <c r="J300" s="187"/>
      <c r="K300" s="187"/>
      <c r="L300" s="187"/>
      <c r="M300" s="187"/>
      <c r="N300" s="187"/>
      <c r="O300" s="187"/>
      <c r="P300" s="187"/>
      <c r="Q300" s="189"/>
      <c r="R300" s="189"/>
    </row>
    <row r="301" spans="1:18" outlineLevel="1" x14ac:dyDescent="0.2">
      <c r="A301" s="599"/>
      <c r="B301" s="599"/>
      <c r="C301" s="595"/>
      <c r="D301" s="599"/>
      <c r="E301" s="599"/>
      <c r="F301" s="599"/>
      <c r="G301" s="599"/>
      <c r="H301" s="599"/>
      <c r="I301" s="599"/>
      <c r="J301" s="593"/>
      <c r="K301" s="599"/>
      <c r="L301" s="599"/>
      <c r="M301" s="599"/>
      <c r="N301" s="599"/>
      <c r="O301" s="599"/>
      <c r="P301" s="599"/>
      <c r="Q301" s="599"/>
      <c r="R301" s="599"/>
    </row>
    <row r="302" spans="1:18" outlineLevel="1" x14ac:dyDescent="0.2">
      <c r="A302" s="599"/>
      <c r="B302" s="599"/>
      <c r="C302" s="572" t="s">
        <v>914</v>
      </c>
      <c r="D302" s="599"/>
      <c r="E302" s="599"/>
      <c r="F302" s="599"/>
      <c r="G302" s="599"/>
      <c r="H302" s="599"/>
      <c r="I302" s="599"/>
      <c r="J302" s="593"/>
      <c r="K302" s="599"/>
      <c r="L302" s="599"/>
      <c r="M302" s="599"/>
      <c r="N302" s="599"/>
      <c r="O302" s="599"/>
      <c r="P302" s="599"/>
      <c r="Q302" s="599"/>
      <c r="R302" s="670" t="str">
        <f ca="1">IF(ISERROR($M325)=TRUE,MsgError &amp; VLOOKUP("BadPop",ErrorMessages,2,FALSE),"")</f>
        <v/>
      </c>
    </row>
    <row r="303" spans="1:18" outlineLevel="1" x14ac:dyDescent="0.2">
      <c r="A303" s="599"/>
      <c r="B303" s="599"/>
      <c r="C303" s="595"/>
      <c r="D303" s="599"/>
      <c r="E303" s="599"/>
      <c r="F303" s="599"/>
      <c r="G303" s="599"/>
      <c r="H303" s="599"/>
      <c r="I303" s="599"/>
      <c r="J303" s="593"/>
      <c r="K303" s="599"/>
      <c r="L303" s="599"/>
      <c r="M303" s="599"/>
      <c r="N303" s="599"/>
      <c r="O303" s="599"/>
      <c r="P303" s="599"/>
      <c r="Q303" s="599"/>
      <c r="R303" s="577" t="s">
        <v>470</v>
      </c>
    </row>
    <row r="304" spans="1:18" outlineLevel="1" x14ac:dyDescent="0.2">
      <c r="A304" s="599"/>
      <c r="B304" s="599"/>
      <c r="C304" s="578" t="s">
        <v>131</v>
      </c>
      <c r="D304" s="605"/>
      <c r="E304" s="594"/>
      <c r="F304" s="774"/>
      <c r="G304" s="775"/>
      <c r="H304" s="775"/>
      <c r="I304" s="775"/>
      <c r="J304" s="593"/>
      <c r="K304" s="599"/>
      <c r="L304" s="599"/>
      <c r="M304" s="599"/>
      <c r="N304" s="599"/>
      <c r="O304" s="599"/>
      <c r="P304" s="599"/>
      <c r="Q304" s="599"/>
      <c r="R304" s="606"/>
    </row>
    <row r="305" spans="1:18" outlineLevel="1" x14ac:dyDescent="0.2">
      <c r="A305" s="599"/>
      <c r="B305" s="599"/>
      <c r="C305" s="595"/>
      <c r="D305" s="600">
        <v>1</v>
      </c>
      <c r="E305" s="600">
        <v>2</v>
      </c>
      <c r="F305" s="600">
        <v>3</v>
      </c>
      <c r="G305" s="600">
        <v>4</v>
      </c>
      <c r="H305" s="600">
        <v>5</v>
      </c>
      <c r="I305" s="600">
        <v>6</v>
      </c>
      <c r="J305" s="593"/>
      <c r="K305" s="599"/>
      <c r="L305" s="599"/>
      <c r="M305" s="599"/>
      <c r="N305" s="599"/>
      <c r="O305" s="599"/>
      <c r="P305" s="599"/>
      <c r="Q305" s="599"/>
      <c r="R305" s="599"/>
    </row>
    <row r="306" spans="1:18" outlineLevel="1" x14ac:dyDescent="0.2">
      <c r="A306" s="599"/>
      <c r="B306" s="599"/>
      <c r="C306" s="595"/>
      <c r="D306" s="776" t="s">
        <v>11</v>
      </c>
      <c r="E306" s="776"/>
      <c r="F306" s="776"/>
      <c r="G306" s="776"/>
      <c r="H306" s="776"/>
      <c r="I306" s="776"/>
      <c r="J306" s="593"/>
      <c r="K306" s="599"/>
      <c r="L306" s="599"/>
      <c r="M306" s="599"/>
      <c r="N306" s="599"/>
      <c r="O306" s="599"/>
      <c r="P306" s="599"/>
      <c r="Q306" s="599"/>
      <c r="R306" s="599"/>
    </row>
    <row r="307" spans="1:18" outlineLevel="1" x14ac:dyDescent="0.2">
      <c r="A307" s="599"/>
      <c r="B307" s="599"/>
      <c r="C307" s="573"/>
      <c r="D307" s="588">
        <f>FirstYear</f>
        <v>0</v>
      </c>
      <c r="E307" s="588">
        <f>D307+1</f>
        <v>1</v>
      </c>
      <c r="F307" s="588">
        <f>E307+1</f>
        <v>2</v>
      </c>
      <c r="G307" s="588">
        <f>F307+1</f>
        <v>3</v>
      </c>
      <c r="H307" s="588">
        <f>G307+1</f>
        <v>4</v>
      </c>
      <c r="I307" s="588">
        <f>H307+1</f>
        <v>5</v>
      </c>
      <c r="J307" s="593"/>
      <c r="K307" s="599"/>
      <c r="L307" s="599"/>
      <c r="M307" s="599"/>
      <c r="N307" s="599"/>
      <c r="O307" s="599"/>
      <c r="P307" s="599"/>
      <c r="Q307" s="599"/>
      <c r="R307" s="599"/>
    </row>
    <row r="308" spans="1:18" outlineLevel="1" x14ac:dyDescent="0.2">
      <c r="A308" s="572"/>
      <c r="B308" s="572"/>
      <c r="C308" s="576" t="s">
        <v>110</v>
      </c>
      <c r="D308" s="596">
        <f t="shared" ref="D308:I308" ca="1" si="91">IF(AND(ISERROR($M325)&lt;&gt;TRUE,$F304&lt;&gt;""),INDEX(PxPopNumbers,$M325,D305),0)</f>
        <v>0</v>
      </c>
      <c r="E308" s="596">
        <f t="shared" ca="1" si="91"/>
        <v>0</v>
      </c>
      <c r="F308" s="596">
        <f t="shared" ca="1" si="91"/>
        <v>0</v>
      </c>
      <c r="G308" s="596">
        <f t="shared" ca="1" si="91"/>
        <v>0</v>
      </c>
      <c r="H308" s="596">
        <f t="shared" ca="1" si="91"/>
        <v>0</v>
      </c>
      <c r="I308" s="596">
        <f t="shared" ca="1" si="91"/>
        <v>0</v>
      </c>
      <c r="J308" s="593"/>
      <c r="K308" s="572"/>
      <c r="L308" s="572"/>
      <c r="M308" s="572"/>
      <c r="N308" s="572"/>
      <c r="O308" s="572"/>
      <c r="P308" s="572"/>
      <c r="Q308" s="595"/>
      <c r="R308" s="572"/>
    </row>
    <row r="309" spans="1:18" outlineLevel="1" x14ac:dyDescent="0.2">
      <c r="A309" s="593"/>
      <c r="B309" s="593"/>
      <c r="C309" s="593"/>
      <c r="D309" s="593"/>
      <c r="E309" s="593"/>
      <c r="F309" s="593"/>
      <c r="G309" s="593"/>
      <c r="H309" s="593"/>
      <c r="I309" s="593"/>
      <c r="J309" s="593"/>
      <c r="K309" s="572"/>
      <c r="L309" s="572"/>
      <c r="M309" s="572"/>
      <c r="N309" s="572"/>
      <c r="O309" s="572"/>
      <c r="P309" s="572"/>
      <c r="Q309" s="593"/>
      <c r="R309" s="593"/>
    </row>
    <row r="310" spans="1:18" outlineLevel="1" x14ac:dyDescent="0.2">
      <c r="A310" s="593"/>
      <c r="B310" s="593"/>
      <c r="C310" s="579" t="s">
        <v>238</v>
      </c>
      <c r="D310" s="593"/>
      <c r="E310" s="593"/>
      <c r="F310" s="593"/>
      <c r="G310" s="593"/>
      <c r="H310" s="593"/>
      <c r="I310" s="593"/>
      <c r="J310" s="593"/>
      <c r="K310" s="572"/>
      <c r="L310" s="572"/>
      <c r="M310" s="593"/>
      <c r="N310" s="593"/>
      <c r="O310" s="593"/>
      <c r="P310" s="593"/>
      <c r="Q310" s="593"/>
      <c r="R310" s="577" t="s">
        <v>292</v>
      </c>
    </row>
    <row r="311" spans="1:18" outlineLevel="1" x14ac:dyDescent="0.2">
      <c r="A311" s="572"/>
      <c r="B311" s="572"/>
      <c r="C311" s="589"/>
      <c r="D311" s="610"/>
      <c r="E311" s="610"/>
      <c r="F311" s="610"/>
      <c r="G311" s="610"/>
      <c r="H311" s="610"/>
      <c r="I311" s="610"/>
      <c r="J311" s="593"/>
      <c r="K311" s="581">
        <f t="shared" ref="K311:K319" si="92">IF(D311="",1,D311)</f>
        <v>1</v>
      </c>
      <c r="L311" s="581">
        <f t="shared" ref="L311:L320" si="93">IF(E311="",1,E311)</f>
        <v>1</v>
      </c>
      <c r="M311" s="581">
        <f t="shared" ref="M311:M320" si="94">IF(F311="",1,F311)</f>
        <v>1</v>
      </c>
      <c r="N311" s="581">
        <f t="shared" ref="N311:N320" si="95">IF(G311="",1,G311)</f>
        <v>1</v>
      </c>
      <c r="O311" s="581">
        <f t="shared" ref="O311:O320" si="96">IF(H311="",1,H311)</f>
        <v>1</v>
      </c>
      <c r="P311" s="581">
        <f t="shared" ref="P311:P320" si="97">IF(I311="",1,I311)</f>
        <v>1</v>
      </c>
      <c r="Q311" s="572"/>
      <c r="R311" s="589"/>
    </row>
    <row r="312" spans="1:18" outlineLevel="1" x14ac:dyDescent="0.2">
      <c r="A312" s="572"/>
      <c r="B312" s="572"/>
      <c r="C312" s="589"/>
      <c r="D312" s="610"/>
      <c r="E312" s="610"/>
      <c r="F312" s="610"/>
      <c r="G312" s="610"/>
      <c r="H312" s="610"/>
      <c r="I312" s="610"/>
      <c r="J312" s="593"/>
      <c r="K312" s="581">
        <f t="shared" si="92"/>
        <v>1</v>
      </c>
      <c r="L312" s="581">
        <f t="shared" si="93"/>
        <v>1</v>
      </c>
      <c r="M312" s="581">
        <f t="shared" si="94"/>
        <v>1</v>
      </c>
      <c r="N312" s="581">
        <f t="shared" si="95"/>
        <v>1</v>
      </c>
      <c r="O312" s="581">
        <f t="shared" si="96"/>
        <v>1</v>
      </c>
      <c r="P312" s="581">
        <f t="shared" si="97"/>
        <v>1</v>
      </c>
      <c r="Q312" s="572"/>
      <c r="R312" s="589"/>
    </row>
    <row r="313" spans="1:18" outlineLevel="1" x14ac:dyDescent="0.2">
      <c r="A313" s="572"/>
      <c r="B313" s="572"/>
      <c r="C313" s="589"/>
      <c r="D313" s="610"/>
      <c r="E313" s="610"/>
      <c r="F313" s="610"/>
      <c r="G313" s="610"/>
      <c r="H313" s="610"/>
      <c r="I313" s="610"/>
      <c r="J313" s="593"/>
      <c r="K313" s="581">
        <f t="shared" si="92"/>
        <v>1</v>
      </c>
      <c r="L313" s="581">
        <f t="shared" si="93"/>
        <v>1</v>
      </c>
      <c r="M313" s="581">
        <f t="shared" si="94"/>
        <v>1</v>
      </c>
      <c r="N313" s="581">
        <f t="shared" si="95"/>
        <v>1</v>
      </c>
      <c r="O313" s="581">
        <f t="shared" si="96"/>
        <v>1</v>
      </c>
      <c r="P313" s="581">
        <f t="shared" si="97"/>
        <v>1</v>
      </c>
      <c r="Q313" s="572"/>
      <c r="R313" s="589"/>
    </row>
    <row r="314" spans="1:18" outlineLevel="1" x14ac:dyDescent="0.2">
      <c r="A314" s="572"/>
      <c r="B314" s="572"/>
      <c r="C314" s="589"/>
      <c r="D314" s="610"/>
      <c r="E314" s="610"/>
      <c r="F314" s="610"/>
      <c r="G314" s="610"/>
      <c r="H314" s="610"/>
      <c r="I314" s="610"/>
      <c r="J314" s="593"/>
      <c r="K314" s="581">
        <f t="shared" si="92"/>
        <v>1</v>
      </c>
      <c r="L314" s="581">
        <f t="shared" si="93"/>
        <v>1</v>
      </c>
      <c r="M314" s="581">
        <f t="shared" si="94"/>
        <v>1</v>
      </c>
      <c r="N314" s="581">
        <f t="shared" si="95"/>
        <v>1</v>
      </c>
      <c r="O314" s="581">
        <f t="shared" si="96"/>
        <v>1</v>
      </c>
      <c r="P314" s="581">
        <f t="shared" si="97"/>
        <v>1</v>
      </c>
      <c r="Q314" s="572"/>
      <c r="R314" s="589"/>
    </row>
    <row r="315" spans="1:18" outlineLevel="1" x14ac:dyDescent="0.2">
      <c r="A315" s="572"/>
      <c r="B315" s="572"/>
      <c r="C315" s="589"/>
      <c r="D315" s="610"/>
      <c r="E315" s="610"/>
      <c r="F315" s="610"/>
      <c r="G315" s="610"/>
      <c r="H315" s="610"/>
      <c r="I315" s="610"/>
      <c r="J315" s="593"/>
      <c r="K315" s="581">
        <f t="shared" si="92"/>
        <v>1</v>
      </c>
      <c r="L315" s="581">
        <f t="shared" si="93"/>
        <v>1</v>
      </c>
      <c r="M315" s="581">
        <f t="shared" si="94"/>
        <v>1</v>
      </c>
      <c r="N315" s="581">
        <f t="shared" si="95"/>
        <v>1</v>
      </c>
      <c r="O315" s="581">
        <f t="shared" si="96"/>
        <v>1</v>
      </c>
      <c r="P315" s="581">
        <f t="shared" si="97"/>
        <v>1</v>
      </c>
      <c r="Q315" s="572"/>
      <c r="R315" s="589"/>
    </row>
    <row r="316" spans="1:18" outlineLevel="1" x14ac:dyDescent="0.2">
      <c r="A316" s="572"/>
      <c r="B316" s="572"/>
      <c r="C316" s="589"/>
      <c r="D316" s="610"/>
      <c r="E316" s="610"/>
      <c r="F316" s="610"/>
      <c r="G316" s="610"/>
      <c r="H316" s="610"/>
      <c r="I316" s="610"/>
      <c r="J316" s="593"/>
      <c r="K316" s="581">
        <f t="shared" si="92"/>
        <v>1</v>
      </c>
      <c r="L316" s="581">
        <f t="shared" si="93"/>
        <v>1</v>
      </c>
      <c r="M316" s="581">
        <f t="shared" si="94"/>
        <v>1</v>
      </c>
      <c r="N316" s="581">
        <f t="shared" si="95"/>
        <v>1</v>
      </c>
      <c r="O316" s="581">
        <f t="shared" si="96"/>
        <v>1</v>
      </c>
      <c r="P316" s="581">
        <f t="shared" si="97"/>
        <v>1</v>
      </c>
      <c r="Q316" s="572"/>
      <c r="R316" s="589"/>
    </row>
    <row r="317" spans="1:18" outlineLevel="1" x14ac:dyDescent="0.2">
      <c r="A317" s="572"/>
      <c r="B317" s="572"/>
      <c r="C317" s="589"/>
      <c r="D317" s="610"/>
      <c r="E317" s="610"/>
      <c r="F317" s="610"/>
      <c r="G317" s="610"/>
      <c r="H317" s="610"/>
      <c r="I317" s="610"/>
      <c r="J317" s="593"/>
      <c r="K317" s="581">
        <f t="shared" si="92"/>
        <v>1</v>
      </c>
      <c r="L317" s="581">
        <f t="shared" si="93"/>
        <v>1</v>
      </c>
      <c r="M317" s="581">
        <f t="shared" si="94"/>
        <v>1</v>
      </c>
      <c r="N317" s="581">
        <f t="shared" si="95"/>
        <v>1</v>
      </c>
      <c r="O317" s="581">
        <f t="shared" si="96"/>
        <v>1</v>
      </c>
      <c r="P317" s="581">
        <f t="shared" si="97"/>
        <v>1</v>
      </c>
      <c r="Q317" s="572"/>
      <c r="R317" s="589"/>
    </row>
    <row r="318" spans="1:18" outlineLevel="1" x14ac:dyDescent="0.2">
      <c r="A318" s="572"/>
      <c r="B318" s="572"/>
      <c r="C318" s="589"/>
      <c r="D318" s="610"/>
      <c r="E318" s="610"/>
      <c r="F318" s="610"/>
      <c r="G318" s="610"/>
      <c r="H318" s="610"/>
      <c r="I318" s="610"/>
      <c r="J318" s="593"/>
      <c r="K318" s="581">
        <f t="shared" si="92"/>
        <v>1</v>
      </c>
      <c r="L318" s="581">
        <f t="shared" si="93"/>
        <v>1</v>
      </c>
      <c r="M318" s="581">
        <f t="shared" si="94"/>
        <v>1</v>
      </c>
      <c r="N318" s="581">
        <f t="shared" si="95"/>
        <v>1</v>
      </c>
      <c r="O318" s="581">
        <f t="shared" si="96"/>
        <v>1</v>
      </c>
      <c r="P318" s="581">
        <f t="shared" si="97"/>
        <v>1</v>
      </c>
      <c r="Q318" s="572"/>
      <c r="R318" s="589"/>
    </row>
    <row r="319" spans="1:18" outlineLevel="1" x14ac:dyDescent="0.2">
      <c r="A319" s="572"/>
      <c r="B319" s="572"/>
      <c r="C319" s="589"/>
      <c r="D319" s="610"/>
      <c r="E319" s="610"/>
      <c r="F319" s="610"/>
      <c r="G319" s="610"/>
      <c r="H319" s="610"/>
      <c r="I319" s="610"/>
      <c r="J319" s="593"/>
      <c r="K319" s="581">
        <f t="shared" si="92"/>
        <v>1</v>
      </c>
      <c r="L319" s="581">
        <f t="shared" si="93"/>
        <v>1</v>
      </c>
      <c r="M319" s="581">
        <f t="shared" si="94"/>
        <v>1</v>
      </c>
      <c r="N319" s="581">
        <f t="shared" si="95"/>
        <v>1</v>
      </c>
      <c r="O319" s="581">
        <f t="shared" si="96"/>
        <v>1</v>
      </c>
      <c r="P319" s="581">
        <f t="shared" si="97"/>
        <v>1</v>
      </c>
      <c r="Q319" s="572"/>
      <c r="R319" s="589"/>
    </row>
    <row r="320" spans="1:18" outlineLevel="1" x14ac:dyDescent="0.2">
      <c r="A320" s="572"/>
      <c r="B320" s="572"/>
      <c r="C320" s="589"/>
      <c r="D320" s="610"/>
      <c r="E320" s="610"/>
      <c r="F320" s="610"/>
      <c r="G320" s="610"/>
      <c r="H320" s="610"/>
      <c r="I320" s="610"/>
      <c r="J320" s="593"/>
      <c r="K320" s="581">
        <f>IF(D320="",1,D320)</f>
        <v>1</v>
      </c>
      <c r="L320" s="581">
        <f t="shared" si="93"/>
        <v>1</v>
      </c>
      <c r="M320" s="581">
        <f t="shared" si="94"/>
        <v>1</v>
      </c>
      <c r="N320" s="581">
        <f t="shared" si="95"/>
        <v>1</v>
      </c>
      <c r="O320" s="581">
        <f t="shared" si="96"/>
        <v>1</v>
      </c>
      <c r="P320" s="581">
        <f t="shared" si="97"/>
        <v>1</v>
      </c>
      <c r="Q320" s="572"/>
      <c r="R320" s="589"/>
    </row>
    <row r="321" spans="1:18" outlineLevel="1" x14ac:dyDescent="0.2">
      <c r="A321" s="572"/>
      <c r="B321" s="572"/>
      <c r="C321" s="580" t="s">
        <v>246</v>
      </c>
      <c r="D321" s="611">
        <f t="shared" ref="D321:I321" si="98">K311*K312*K313*K314*K320*K315*K316*K317*K318*K319</f>
        <v>1</v>
      </c>
      <c r="E321" s="611">
        <f t="shared" si="98"/>
        <v>1</v>
      </c>
      <c r="F321" s="611">
        <f t="shared" si="98"/>
        <v>1</v>
      </c>
      <c r="G321" s="611">
        <f t="shared" si="98"/>
        <v>1</v>
      </c>
      <c r="H321" s="611">
        <f t="shared" si="98"/>
        <v>1</v>
      </c>
      <c r="I321" s="611">
        <f t="shared" si="98"/>
        <v>1</v>
      </c>
      <c r="J321" s="593"/>
      <c r="K321" s="572"/>
      <c r="L321" s="572"/>
      <c r="M321" s="597"/>
      <c r="N321" s="572"/>
      <c r="O321" s="572"/>
      <c r="P321" s="572"/>
      <c r="Q321" s="572"/>
      <c r="R321" s="572"/>
    </row>
    <row r="322" spans="1:18" outlineLevel="1" x14ac:dyDescent="0.2">
      <c r="A322" s="597"/>
      <c r="B322" s="597"/>
      <c r="C322" s="574" t="s">
        <v>108</v>
      </c>
      <c r="D322" s="607">
        <f t="shared" ref="D322:I322" ca="1" si="99">IF(ISNUMBER(D308),D308*D321,"")</f>
        <v>0</v>
      </c>
      <c r="E322" s="607">
        <f t="shared" ca="1" si="99"/>
        <v>0</v>
      </c>
      <c r="F322" s="607">
        <f t="shared" ca="1" si="99"/>
        <v>0</v>
      </c>
      <c r="G322" s="607">
        <f t="shared" ca="1" si="99"/>
        <v>0</v>
      </c>
      <c r="H322" s="607">
        <f t="shared" ca="1" si="99"/>
        <v>0</v>
      </c>
      <c r="I322" s="607">
        <f t="shared" ca="1" si="99"/>
        <v>0</v>
      </c>
      <c r="J322" s="593"/>
      <c r="K322" s="597"/>
      <c r="L322" s="572"/>
      <c r="M322" s="572"/>
      <c r="N322" s="572"/>
      <c r="O322" s="572"/>
      <c r="P322" s="572"/>
      <c r="Q322" s="572"/>
      <c r="R322" s="572"/>
    </row>
    <row r="323" spans="1:18" outlineLevel="1" x14ac:dyDescent="0.2">
      <c r="A323" s="593"/>
      <c r="B323" s="593"/>
      <c r="C323" s="593"/>
      <c r="D323" s="593"/>
      <c r="E323" s="593"/>
      <c r="F323" s="593"/>
      <c r="G323" s="593"/>
      <c r="H323" s="593"/>
      <c r="I323" s="593"/>
      <c r="J323" s="593"/>
      <c r="K323" s="593"/>
      <c r="L323" s="593"/>
      <c r="M323" s="593"/>
      <c r="N323" s="593"/>
      <c r="O323" s="575"/>
      <c r="P323" s="575"/>
      <c r="Q323" s="593"/>
      <c r="R323" s="593"/>
    </row>
    <row r="324" spans="1:18" outlineLevel="1" x14ac:dyDescent="0.2">
      <c r="A324" s="593"/>
      <c r="B324" s="593"/>
      <c r="C324" s="585" t="str">
        <f>TxPhase1Tx</f>
        <v/>
      </c>
      <c r="D324" s="591"/>
      <c r="E324" s="572"/>
      <c r="F324" s="572"/>
      <c r="G324" s="593"/>
      <c r="H324" s="593"/>
      <c r="I324" s="593"/>
      <c r="J324" s="593"/>
      <c r="K324" s="604" t="s">
        <v>292</v>
      </c>
      <c r="L324" s="604" t="s">
        <v>52</v>
      </c>
      <c r="M324" s="604" t="s">
        <v>381</v>
      </c>
      <c r="N324" s="593"/>
      <c r="O324" s="575"/>
      <c r="P324" s="575"/>
      <c r="Q324" s="593"/>
      <c r="R324" s="577" t="s">
        <v>292</v>
      </c>
    </row>
    <row r="325" spans="1:18" outlineLevel="1" x14ac:dyDescent="0.2">
      <c r="A325" s="593"/>
      <c r="B325" s="593"/>
      <c r="C325" s="578" t="s">
        <v>109</v>
      </c>
      <c r="D325" s="584"/>
      <c r="E325" s="584"/>
      <c r="F325" s="584"/>
      <c r="G325" s="584"/>
      <c r="H325" s="584"/>
      <c r="I325" s="584"/>
      <c r="J325" s="593"/>
      <c r="K325" s="598">
        <f>IF(D304&lt;&gt;"",MATCH(D304,EPISource,0)-1,0)</f>
        <v>0</v>
      </c>
      <c r="L325" s="598">
        <f ca="1">IF(F304&lt;&gt;"",MATCH(F304,OFFSET(References!$AB$7,0,K325,PxPopCount),0),0)</f>
        <v>0</v>
      </c>
      <c r="M325" s="598">
        <f ca="1">(K325*PxPopCount)+L325</f>
        <v>0</v>
      </c>
      <c r="N325" s="593"/>
      <c r="O325" s="575"/>
      <c r="P325" s="575"/>
      <c r="Q325" s="593"/>
      <c r="R325" s="582"/>
    </row>
    <row r="326" spans="1:18" outlineLevel="1" x14ac:dyDescent="0.2">
      <c r="A326" s="593"/>
      <c r="B326" s="593"/>
      <c r="C326" s="593"/>
      <c r="D326" s="593"/>
      <c r="E326" s="612"/>
      <c r="F326" s="593"/>
      <c r="G326" s="593"/>
      <c r="H326" s="593"/>
      <c r="I326" s="593"/>
      <c r="J326" s="593"/>
      <c r="K326" s="571"/>
      <c r="L326" s="571"/>
      <c r="M326" s="593"/>
      <c r="N326" s="593"/>
      <c r="O326" s="575"/>
      <c r="P326" s="575"/>
      <c r="Q326" s="593"/>
      <c r="R326" s="593"/>
    </row>
    <row r="327" spans="1:18" outlineLevel="1" x14ac:dyDescent="0.2">
      <c r="A327" s="593"/>
      <c r="B327" s="593"/>
      <c r="C327" s="590" t="str">
        <f>TXPhase2Tx</f>
        <v/>
      </c>
      <c r="D327" s="600"/>
      <c r="E327" s="600"/>
      <c r="F327" s="593"/>
      <c r="G327" s="593"/>
      <c r="H327" s="593"/>
      <c r="I327" s="593"/>
      <c r="J327" s="593"/>
      <c r="K327" s="571"/>
      <c r="L327" s="571"/>
      <c r="M327" s="593"/>
      <c r="N327" s="593"/>
      <c r="O327" s="575"/>
      <c r="P327" s="575"/>
      <c r="Q327" s="593"/>
      <c r="R327" s="577" t="s">
        <v>292</v>
      </c>
    </row>
    <row r="328" spans="1:18" outlineLevel="1" x14ac:dyDescent="0.2">
      <c r="A328" s="593"/>
      <c r="B328" s="593"/>
      <c r="C328" s="590" t="str">
        <f>IF(C327&lt;&gt;"","Patients electing treatment (%)","")</f>
        <v/>
      </c>
      <c r="D328" s="584"/>
      <c r="E328" s="584"/>
      <c r="F328" s="584"/>
      <c r="G328" s="584"/>
      <c r="H328" s="584"/>
      <c r="I328" s="584"/>
      <c r="J328" s="593"/>
      <c r="K328" s="572"/>
      <c r="L328" s="575"/>
      <c r="M328" s="593"/>
      <c r="N328" s="593"/>
      <c r="O328" s="575"/>
      <c r="P328" s="575"/>
      <c r="Q328" s="593"/>
      <c r="R328" s="582"/>
    </row>
    <row r="329" spans="1:18" outlineLevel="1" x14ac:dyDescent="0.2">
      <c r="A329" s="593"/>
      <c r="B329" s="593"/>
      <c r="C329" s="593"/>
      <c r="D329" s="593"/>
      <c r="E329" s="593"/>
      <c r="F329" s="593"/>
      <c r="G329" s="593"/>
      <c r="H329" s="593"/>
      <c r="I329" s="593"/>
      <c r="J329" s="593"/>
      <c r="K329" s="593"/>
      <c r="L329" s="593"/>
      <c r="M329" s="593"/>
      <c r="N329" s="593"/>
      <c r="O329" s="575"/>
      <c r="P329" s="575"/>
      <c r="Q329" s="593"/>
      <c r="R329" s="593"/>
    </row>
    <row r="330" spans="1:18" outlineLevel="1" x14ac:dyDescent="0.2">
      <c r="A330" s="572"/>
      <c r="B330" s="572"/>
      <c r="C330" s="585" t="str">
        <f>TxPhase1Px</f>
        <v/>
      </c>
      <c r="D330" s="607">
        <f t="shared" ref="D330:I330" si="100">IF(TxPhase1&lt;&gt;"",D322*D325,0)</f>
        <v>0</v>
      </c>
      <c r="E330" s="607">
        <f t="shared" si="100"/>
        <v>0</v>
      </c>
      <c r="F330" s="607">
        <f t="shared" si="100"/>
        <v>0</v>
      </c>
      <c r="G330" s="607">
        <f t="shared" si="100"/>
        <v>0</v>
      </c>
      <c r="H330" s="607">
        <f t="shared" si="100"/>
        <v>0</v>
      </c>
      <c r="I330" s="607">
        <f t="shared" si="100"/>
        <v>0</v>
      </c>
      <c r="J330" s="598" t="str">
        <f>IF(D333&lt;&gt;"",D333,"")</f>
        <v/>
      </c>
      <c r="K330" s="599"/>
      <c r="L330" s="599"/>
      <c r="M330" s="599"/>
      <c r="N330" s="599"/>
      <c r="O330" s="575"/>
      <c r="P330" s="575"/>
      <c r="Q330" s="572"/>
      <c r="R330" s="572"/>
    </row>
    <row r="331" spans="1:18" outlineLevel="1" x14ac:dyDescent="0.2">
      <c r="A331" s="572"/>
      <c r="B331" s="572"/>
      <c r="C331" s="585" t="str">
        <f>TxPhase2Px</f>
        <v/>
      </c>
      <c r="D331" s="607">
        <f t="shared" ref="D331:I331" si="101">IF(TxPhase2&lt;&gt;"",D322*D328,0)</f>
        <v>0</v>
      </c>
      <c r="E331" s="607">
        <f t="shared" si="101"/>
        <v>0</v>
      </c>
      <c r="F331" s="607">
        <f t="shared" si="101"/>
        <v>0</v>
      </c>
      <c r="G331" s="607">
        <f t="shared" si="101"/>
        <v>0</v>
      </c>
      <c r="H331" s="607">
        <f t="shared" si="101"/>
        <v>0</v>
      </c>
      <c r="I331" s="607">
        <f t="shared" si="101"/>
        <v>0</v>
      </c>
      <c r="J331" s="598" t="str">
        <f>IF(D333&lt;&gt;"",D333,"")</f>
        <v/>
      </c>
      <c r="K331" s="572"/>
      <c r="L331" s="575"/>
      <c r="M331" s="575"/>
      <c r="N331" s="575"/>
      <c r="O331" s="575"/>
      <c r="P331" s="575"/>
      <c r="Q331" s="575"/>
      <c r="R331" s="575"/>
    </row>
    <row r="332" spans="1:18" s="570" customFormat="1" outlineLevel="1" x14ac:dyDescent="0.2">
      <c r="A332" s="572"/>
      <c r="B332" s="572"/>
      <c r="C332" s="572"/>
      <c r="D332" s="572"/>
      <c r="E332" s="572"/>
      <c r="F332" s="572"/>
      <c r="G332" s="572"/>
      <c r="H332" s="572"/>
      <c r="I332" s="572"/>
      <c r="J332" s="593"/>
      <c r="K332" s="572"/>
      <c r="L332" s="572"/>
      <c r="M332" s="597"/>
      <c r="N332" s="572"/>
      <c r="O332" s="575"/>
      <c r="P332" s="575"/>
      <c r="Q332" s="572"/>
      <c r="R332" s="572"/>
    </row>
    <row r="333" spans="1:18" s="570" customFormat="1" outlineLevel="1" x14ac:dyDescent="0.2">
      <c r="A333" s="572"/>
      <c r="B333" s="572"/>
      <c r="C333" s="122" t="s">
        <v>817</v>
      </c>
      <c r="D333" s="375"/>
      <c r="E333" s="572"/>
      <c r="F333" s="572"/>
      <c r="G333" s="572"/>
      <c r="H333" s="572"/>
      <c r="I333" s="572"/>
      <c r="J333" s="593"/>
      <c r="K333" s="572"/>
      <c r="L333" s="572"/>
      <c r="M333" s="597"/>
      <c r="N333" s="572"/>
      <c r="O333" s="575"/>
      <c r="P333" s="575"/>
      <c r="Q333" s="572"/>
      <c r="R333" s="572"/>
    </row>
    <row r="334" spans="1:18" outlineLevel="1" collapsed="1" x14ac:dyDescent="0.2">
      <c r="A334" s="572"/>
      <c r="B334" s="572"/>
      <c r="C334" s="572"/>
      <c r="D334" s="572"/>
      <c r="E334" s="572"/>
      <c r="F334" s="572"/>
      <c r="G334" s="572"/>
      <c r="H334" s="572"/>
      <c r="I334" s="572"/>
      <c r="J334" s="593"/>
      <c r="K334" s="572"/>
      <c r="L334" s="572"/>
      <c r="M334" s="597"/>
      <c r="N334" s="572"/>
      <c r="O334" s="575"/>
      <c r="P334" s="575"/>
      <c r="Q334" s="572"/>
      <c r="R334" s="572"/>
    </row>
    <row r="335" spans="1:18" x14ac:dyDescent="0.2">
      <c r="A335" s="572"/>
      <c r="B335" s="572"/>
      <c r="C335" s="572"/>
      <c r="D335" s="572"/>
      <c r="E335" s="572"/>
      <c r="F335" s="572"/>
      <c r="G335" s="572"/>
      <c r="H335" s="572"/>
      <c r="I335" s="572"/>
      <c r="J335" s="593"/>
      <c r="K335" s="572"/>
      <c r="L335" s="572"/>
      <c r="M335" s="572"/>
      <c r="N335" s="572"/>
      <c r="O335" s="575"/>
      <c r="P335" s="575"/>
      <c r="Q335" s="572"/>
      <c r="R335" s="572"/>
    </row>
    <row r="336" spans="1:18" ht="15.75" x14ac:dyDescent="0.2">
      <c r="A336" s="104"/>
      <c r="B336" s="190">
        <v>9</v>
      </c>
      <c r="C336" s="110" t="str">
        <f>IF(D340&lt;&gt;"",CONCATENATE("Prevalent ",B336,": ",F340,I336),MsgNotUsed)</f>
        <v>** NOT USED **</v>
      </c>
      <c r="D336" s="188"/>
      <c r="E336" s="188"/>
      <c r="F336" s="188"/>
      <c r="G336" s="188"/>
      <c r="H336" s="191"/>
      <c r="I336" s="455" t="str">
        <f>IF(R340&lt;&gt;"",CONCATENATE(" (",R340,")"),"")</f>
        <v/>
      </c>
      <c r="J336" s="187"/>
      <c r="K336" s="187"/>
      <c r="L336" s="187"/>
      <c r="M336" s="187"/>
      <c r="N336" s="187"/>
      <c r="O336" s="187"/>
      <c r="P336" s="187"/>
      <c r="Q336" s="189"/>
      <c r="R336" s="189"/>
    </row>
    <row r="337" spans="1:18" outlineLevel="1" x14ac:dyDescent="0.2">
      <c r="A337" s="599"/>
      <c r="B337" s="599"/>
      <c r="C337" s="595"/>
      <c r="D337" s="599"/>
      <c r="E337" s="599"/>
      <c r="F337" s="599"/>
      <c r="G337" s="599"/>
      <c r="H337" s="599"/>
      <c r="I337" s="599"/>
      <c r="J337" s="593"/>
      <c r="K337" s="599"/>
      <c r="L337" s="599"/>
      <c r="M337" s="599"/>
      <c r="N337" s="599"/>
      <c r="O337" s="599"/>
      <c r="P337" s="599"/>
      <c r="Q337" s="599"/>
      <c r="R337" s="599"/>
    </row>
    <row r="338" spans="1:18" outlineLevel="1" x14ac:dyDescent="0.2">
      <c r="A338" s="599"/>
      <c r="B338" s="599"/>
      <c r="C338" s="572" t="s">
        <v>914</v>
      </c>
      <c r="D338" s="599"/>
      <c r="E338" s="599"/>
      <c r="F338" s="599"/>
      <c r="G338" s="599"/>
      <c r="H338" s="599"/>
      <c r="I338" s="599"/>
      <c r="J338" s="593"/>
      <c r="K338" s="599"/>
      <c r="L338" s="599"/>
      <c r="M338" s="599"/>
      <c r="N338" s="599"/>
      <c r="O338" s="599"/>
      <c r="P338" s="599"/>
      <c r="Q338" s="599"/>
      <c r="R338" s="670" t="str">
        <f ca="1">IF(ISERROR($M361)=TRUE,MsgError &amp; VLOOKUP("BadPop",ErrorMessages,2,FALSE),"")</f>
        <v/>
      </c>
    </row>
    <row r="339" spans="1:18" outlineLevel="1" x14ac:dyDescent="0.2">
      <c r="A339" s="599"/>
      <c r="B339" s="599"/>
      <c r="C339" s="595"/>
      <c r="D339" s="599"/>
      <c r="E339" s="599"/>
      <c r="F339" s="599"/>
      <c r="G339" s="599"/>
      <c r="H339" s="599"/>
      <c r="I339" s="599"/>
      <c r="J339" s="593"/>
      <c r="K339" s="599"/>
      <c r="L339" s="599"/>
      <c r="M339" s="599"/>
      <c r="N339" s="599"/>
      <c r="O339" s="599"/>
      <c r="P339" s="599"/>
      <c r="Q339" s="599"/>
      <c r="R339" s="577" t="s">
        <v>470</v>
      </c>
    </row>
    <row r="340" spans="1:18" outlineLevel="1" x14ac:dyDescent="0.2">
      <c r="A340" s="599"/>
      <c r="B340" s="599"/>
      <c r="C340" s="578" t="s">
        <v>131</v>
      </c>
      <c r="D340" s="605"/>
      <c r="E340" s="594"/>
      <c r="F340" s="774"/>
      <c r="G340" s="775"/>
      <c r="H340" s="775"/>
      <c r="I340" s="775"/>
      <c r="J340" s="593"/>
      <c r="K340" s="599"/>
      <c r="L340" s="599"/>
      <c r="M340" s="599"/>
      <c r="N340" s="599"/>
      <c r="O340" s="599"/>
      <c r="P340" s="599"/>
      <c r="Q340" s="599"/>
      <c r="R340" s="606"/>
    </row>
    <row r="341" spans="1:18" outlineLevel="1" x14ac:dyDescent="0.2">
      <c r="A341" s="599"/>
      <c r="B341" s="599"/>
      <c r="C341" s="595"/>
      <c r="D341" s="600">
        <v>1</v>
      </c>
      <c r="E341" s="600">
        <v>2</v>
      </c>
      <c r="F341" s="600">
        <v>3</v>
      </c>
      <c r="G341" s="600">
        <v>4</v>
      </c>
      <c r="H341" s="600">
        <v>5</v>
      </c>
      <c r="I341" s="600">
        <v>6</v>
      </c>
      <c r="J341" s="593"/>
      <c r="K341" s="599"/>
      <c r="L341" s="599"/>
      <c r="M341" s="599"/>
      <c r="N341" s="599"/>
      <c r="O341" s="599"/>
      <c r="P341" s="599"/>
      <c r="Q341" s="599"/>
      <c r="R341" s="599"/>
    </row>
    <row r="342" spans="1:18" outlineLevel="1" x14ac:dyDescent="0.2">
      <c r="A342" s="599"/>
      <c r="B342" s="599"/>
      <c r="C342" s="595"/>
      <c r="D342" s="776" t="s">
        <v>11</v>
      </c>
      <c r="E342" s="776"/>
      <c r="F342" s="776"/>
      <c r="G342" s="776"/>
      <c r="H342" s="776"/>
      <c r="I342" s="776"/>
      <c r="J342" s="593"/>
      <c r="K342" s="599"/>
      <c r="L342" s="599"/>
      <c r="M342" s="599"/>
      <c r="N342" s="599"/>
      <c r="O342" s="599"/>
      <c r="P342" s="599"/>
      <c r="Q342" s="599"/>
      <c r="R342" s="599"/>
    </row>
    <row r="343" spans="1:18" outlineLevel="1" x14ac:dyDescent="0.2">
      <c r="A343" s="599"/>
      <c r="B343" s="599"/>
      <c r="C343" s="573"/>
      <c r="D343" s="588">
        <f>FirstYear</f>
        <v>0</v>
      </c>
      <c r="E343" s="588">
        <f>D343+1</f>
        <v>1</v>
      </c>
      <c r="F343" s="588">
        <f>E343+1</f>
        <v>2</v>
      </c>
      <c r="G343" s="588">
        <f>F343+1</f>
        <v>3</v>
      </c>
      <c r="H343" s="588">
        <f>G343+1</f>
        <v>4</v>
      </c>
      <c r="I343" s="588">
        <f>H343+1</f>
        <v>5</v>
      </c>
      <c r="J343" s="593"/>
      <c r="K343" s="599"/>
      <c r="L343" s="599"/>
      <c r="M343" s="599"/>
      <c r="N343" s="599"/>
      <c r="O343" s="599"/>
      <c r="P343" s="599"/>
      <c r="Q343" s="599"/>
      <c r="R343" s="599"/>
    </row>
    <row r="344" spans="1:18" outlineLevel="1" x14ac:dyDescent="0.2">
      <c r="A344" s="572"/>
      <c r="B344" s="572"/>
      <c r="C344" s="576" t="s">
        <v>110</v>
      </c>
      <c r="D344" s="596">
        <f t="shared" ref="D344:I344" ca="1" si="102">IF(AND(ISERROR($M361)&lt;&gt;TRUE,$F340&lt;&gt;""),INDEX(PxPopNumbers,$M361,D341),0)</f>
        <v>0</v>
      </c>
      <c r="E344" s="596">
        <f t="shared" ca="1" si="102"/>
        <v>0</v>
      </c>
      <c r="F344" s="596">
        <f t="shared" ca="1" si="102"/>
        <v>0</v>
      </c>
      <c r="G344" s="596">
        <f t="shared" ca="1" si="102"/>
        <v>0</v>
      </c>
      <c r="H344" s="596">
        <f t="shared" ca="1" si="102"/>
        <v>0</v>
      </c>
      <c r="I344" s="596">
        <f t="shared" ca="1" si="102"/>
        <v>0</v>
      </c>
      <c r="J344" s="593"/>
      <c r="K344" s="572"/>
      <c r="L344" s="572"/>
      <c r="M344" s="572"/>
      <c r="N344" s="572"/>
      <c r="O344" s="572"/>
      <c r="P344" s="572"/>
      <c r="Q344" s="595"/>
      <c r="R344" s="572"/>
    </row>
    <row r="345" spans="1:18" outlineLevel="1" x14ac:dyDescent="0.2">
      <c r="A345" s="593"/>
      <c r="B345" s="593"/>
      <c r="C345" s="593"/>
      <c r="D345" s="593"/>
      <c r="E345" s="593"/>
      <c r="F345" s="593"/>
      <c r="G345" s="593"/>
      <c r="H345" s="593"/>
      <c r="I345" s="593"/>
      <c r="J345" s="593"/>
      <c r="K345" s="572"/>
      <c r="L345" s="572"/>
      <c r="M345" s="572"/>
      <c r="N345" s="572"/>
      <c r="O345" s="572"/>
      <c r="P345" s="572"/>
      <c r="Q345" s="593"/>
      <c r="R345" s="593"/>
    </row>
    <row r="346" spans="1:18" outlineLevel="1" x14ac:dyDescent="0.2">
      <c r="A346" s="593"/>
      <c r="B346" s="593"/>
      <c r="C346" s="579" t="s">
        <v>238</v>
      </c>
      <c r="D346" s="593"/>
      <c r="E346" s="593"/>
      <c r="F346" s="593"/>
      <c r="G346" s="593"/>
      <c r="H346" s="593"/>
      <c r="I346" s="593"/>
      <c r="J346" s="593"/>
      <c r="K346" s="572"/>
      <c r="L346" s="572"/>
      <c r="M346" s="593"/>
      <c r="N346" s="593"/>
      <c r="O346" s="593"/>
      <c r="P346" s="593"/>
      <c r="Q346" s="593"/>
      <c r="R346" s="577" t="s">
        <v>292</v>
      </c>
    </row>
    <row r="347" spans="1:18" outlineLevel="1" x14ac:dyDescent="0.2">
      <c r="A347" s="572"/>
      <c r="B347" s="572"/>
      <c r="C347" s="589"/>
      <c r="D347" s="610"/>
      <c r="E347" s="610"/>
      <c r="F347" s="610"/>
      <c r="G347" s="610"/>
      <c r="H347" s="610"/>
      <c r="I347" s="610"/>
      <c r="J347" s="593"/>
      <c r="K347" s="581">
        <f t="shared" ref="K347:K355" si="103">IF(D347="",1,D347)</f>
        <v>1</v>
      </c>
      <c r="L347" s="581">
        <f t="shared" ref="L347:L356" si="104">IF(E347="",1,E347)</f>
        <v>1</v>
      </c>
      <c r="M347" s="581">
        <f t="shared" ref="M347:M356" si="105">IF(F347="",1,F347)</f>
        <v>1</v>
      </c>
      <c r="N347" s="581">
        <f t="shared" ref="N347:N356" si="106">IF(G347="",1,G347)</f>
        <v>1</v>
      </c>
      <c r="O347" s="581">
        <f t="shared" ref="O347:O356" si="107">IF(H347="",1,H347)</f>
        <v>1</v>
      </c>
      <c r="P347" s="581">
        <f t="shared" ref="P347:P356" si="108">IF(I347="",1,I347)</f>
        <v>1</v>
      </c>
      <c r="Q347" s="572"/>
      <c r="R347" s="589"/>
    </row>
    <row r="348" spans="1:18" outlineLevel="1" x14ac:dyDescent="0.2">
      <c r="A348" s="572"/>
      <c r="B348" s="572"/>
      <c r="C348" s="589"/>
      <c r="D348" s="610"/>
      <c r="E348" s="610"/>
      <c r="F348" s="610"/>
      <c r="G348" s="610"/>
      <c r="H348" s="610"/>
      <c r="I348" s="610"/>
      <c r="J348" s="593"/>
      <c r="K348" s="581">
        <f t="shared" si="103"/>
        <v>1</v>
      </c>
      <c r="L348" s="581">
        <f t="shared" si="104"/>
        <v>1</v>
      </c>
      <c r="M348" s="581">
        <f t="shared" si="105"/>
        <v>1</v>
      </c>
      <c r="N348" s="581">
        <f t="shared" si="106"/>
        <v>1</v>
      </c>
      <c r="O348" s="581">
        <f t="shared" si="107"/>
        <v>1</v>
      </c>
      <c r="P348" s="581">
        <f t="shared" si="108"/>
        <v>1</v>
      </c>
      <c r="Q348" s="572"/>
      <c r="R348" s="589"/>
    </row>
    <row r="349" spans="1:18" outlineLevel="1" x14ac:dyDescent="0.2">
      <c r="A349" s="572"/>
      <c r="B349" s="572"/>
      <c r="C349" s="589"/>
      <c r="D349" s="610"/>
      <c r="E349" s="610"/>
      <c r="F349" s="610"/>
      <c r="G349" s="610"/>
      <c r="H349" s="610"/>
      <c r="I349" s="610"/>
      <c r="J349" s="593"/>
      <c r="K349" s="581">
        <f t="shared" si="103"/>
        <v>1</v>
      </c>
      <c r="L349" s="581">
        <f t="shared" si="104"/>
        <v>1</v>
      </c>
      <c r="M349" s="581">
        <f t="shared" si="105"/>
        <v>1</v>
      </c>
      <c r="N349" s="581">
        <f t="shared" si="106"/>
        <v>1</v>
      </c>
      <c r="O349" s="581">
        <f t="shared" si="107"/>
        <v>1</v>
      </c>
      <c r="P349" s="581">
        <f t="shared" si="108"/>
        <v>1</v>
      </c>
      <c r="Q349" s="572"/>
      <c r="R349" s="589"/>
    </row>
    <row r="350" spans="1:18" outlineLevel="1" x14ac:dyDescent="0.2">
      <c r="A350" s="572"/>
      <c r="B350" s="572"/>
      <c r="C350" s="589"/>
      <c r="D350" s="610"/>
      <c r="E350" s="610"/>
      <c r="F350" s="610"/>
      <c r="G350" s="610"/>
      <c r="H350" s="610"/>
      <c r="I350" s="610"/>
      <c r="J350" s="593"/>
      <c r="K350" s="581">
        <f t="shared" si="103"/>
        <v>1</v>
      </c>
      <c r="L350" s="581">
        <f t="shared" si="104"/>
        <v>1</v>
      </c>
      <c r="M350" s="581">
        <f t="shared" si="105"/>
        <v>1</v>
      </c>
      <c r="N350" s="581">
        <f t="shared" si="106"/>
        <v>1</v>
      </c>
      <c r="O350" s="581">
        <f t="shared" si="107"/>
        <v>1</v>
      </c>
      <c r="P350" s="581">
        <f t="shared" si="108"/>
        <v>1</v>
      </c>
      <c r="Q350" s="572"/>
      <c r="R350" s="589"/>
    </row>
    <row r="351" spans="1:18" outlineLevel="1" x14ac:dyDescent="0.2">
      <c r="A351" s="572"/>
      <c r="B351" s="572"/>
      <c r="C351" s="589"/>
      <c r="D351" s="610"/>
      <c r="E351" s="610"/>
      <c r="F351" s="610"/>
      <c r="G351" s="610"/>
      <c r="H351" s="610"/>
      <c r="I351" s="610"/>
      <c r="J351" s="593"/>
      <c r="K351" s="581">
        <f t="shared" si="103"/>
        <v>1</v>
      </c>
      <c r="L351" s="581">
        <f t="shared" si="104"/>
        <v>1</v>
      </c>
      <c r="M351" s="581">
        <f t="shared" si="105"/>
        <v>1</v>
      </c>
      <c r="N351" s="581">
        <f t="shared" si="106"/>
        <v>1</v>
      </c>
      <c r="O351" s="581">
        <f t="shared" si="107"/>
        <v>1</v>
      </c>
      <c r="P351" s="581">
        <f t="shared" si="108"/>
        <v>1</v>
      </c>
      <c r="Q351" s="572"/>
      <c r="R351" s="589"/>
    </row>
    <row r="352" spans="1:18" outlineLevel="1" x14ac:dyDescent="0.2">
      <c r="A352" s="572"/>
      <c r="B352" s="572"/>
      <c r="C352" s="589"/>
      <c r="D352" s="610"/>
      <c r="E352" s="610"/>
      <c r="F352" s="610"/>
      <c r="G352" s="610"/>
      <c r="H352" s="610"/>
      <c r="I352" s="610"/>
      <c r="J352" s="593"/>
      <c r="K352" s="581">
        <f t="shared" si="103"/>
        <v>1</v>
      </c>
      <c r="L352" s="581">
        <f t="shared" si="104"/>
        <v>1</v>
      </c>
      <c r="M352" s="581">
        <f t="shared" si="105"/>
        <v>1</v>
      </c>
      <c r="N352" s="581">
        <f t="shared" si="106"/>
        <v>1</v>
      </c>
      <c r="O352" s="581">
        <f t="shared" si="107"/>
        <v>1</v>
      </c>
      <c r="P352" s="581">
        <f t="shared" si="108"/>
        <v>1</v>
      </c>
      <c r="Q352" s="572"/>
      <c r="R352" s="589"/>
    </row>
    <row r="353" spans="1:18" outlineLevel="1" x14ac:dyDescent="0.2">
      <c r="A353" s="572"/>
      <c r="B353" s="572"/>
      <c r="C353" s="589"/>
      <c r="D353" s="610"/>
      <c r="E353" s="610"/>
      <c r="F353" s="610"/>
      <c r="G353" s="610"/>
      <c r="H353" s="610"/>
      <c r="I353" s="610"/>
      <c r="J353" s="593"/>
      <c r="K353" s="581">
        <f t="shared" si="103"/>
        <v>1</v>
      </c>
      <c r="L353" s="581">
        <f t="shared" si="104"/>
        <v>1</v>
      </c>
      <c r="M353" s="581">
        <f t="shared" si="105"/>
        <v>1</v>
      </c>
      <c r="N353" s="581">
        <f t="shared" si="106"/>
        <v>1</v>
      </c>
      <c r="O353" s="581">
        <f t="shared" si="107"/>
        <v>1</v>
      </c>
      <c r="P353" s="581">
        <f t="shared" si="108"/>
        <v>1</v>
      </c>
      <c r="Q353" s="572"/>
      <c r="R353" s="589"/>
    </row>
    <row r="354" spans="1:18" outlineLevel="1" x14ac:dyDescent="0.2">
      <c r="A354" s="572"/>
      <c r="B354" s="572"/>
      <c r="C354" s="589"/>
      <c r="D354" s="610"/>
      <c r="E354" s="610"/>
      <c r="F354" s="610"/>
      <c r="G354" s="610"/>
      <c r="H354" s="610"/>
      <c r="I354" s="610"/>
      <c r="J354" s="593"/>
      <c r="K354" s="581">
        <f t="shared" si="103"/>
        <v>1</v>
      </c>
      <c r="L354" s="581">
        <f t="shared" si="104"/>
        <v>1</v>
      </c>
      <c r="M354" s="581">
        <f t="shared" si="105"/>
        <v>1</v>
      </c>
      <c r="N354" s="581">
        <f t="shared" si="106"/>
        <v>1</v>
      </c>
      <c r="O354" s="581">
        <f t="shared" si="107"/>
        <v>1</v>
      </c>
      <c r="P354" s="581">
        <f t="shared" si="108"/>
        <v>1</v>
      </c>
      <c r="Q354" s="572"/>
      <c r="R354" s="589"/>
    </row>
    <row r="355" spans="1:18" outlineLevel="1" x14ac:dyDescent="0.2">
      <c r="A355" s="572"/>
      <c r="B355" s="572"/>
      <c r="C355" s="589"/>
      <c r="D355" s="610"/>
      <c r="E355" s="610"/>
      <c r="F355" s="610"/>
      <c r="G355" s="610"/>
      <c r="H355" s="610"/>
      <c r="I355" s="610"/>
      <c r="J355" s="593"/>
      <c r="K355" s="581">
        <f t="shared" si="103"/>
        <v>1</v>
      </c>
      <c r="L355" s="581">
        <f t="shared" si="104"/>
        <v>1</v>
      </c>
      <c r="M355" s="581">
        <f t="shared" si="105"/>
        <v>1</v>
      </c>
      <c r="N355" s="581">
        <f t="shared" si="106"/>
        <v>1</v>
      </c>
      <c r="O355" s="581">
        <f t="shared" si="107"/>
        <v>1</v>
      </c>
      <c r="P355" s="581">
        <f t="shared" si="108"/>
        <v>1</v>
      </c>
      <c r="Q355" s="572"/>
      <c r="R355" s="589"/>
    </row>
    <row r="356" spans="1:18" outlineLevel="1" x14ac:dyDescent="0.2">
      <c r="A356" s="572"/>
      <c r="B356" s="572"/>
      <c r="C356" s="589"/>
      <c r="D356" s="610"/>
      <c r="E356" s="610"/>
      <c r="F356" s="610"/>
      <c r="G356" s="610"/>
      <c r="H356" s="610"/>
      <c r="I356" s="610"/>
      <c r="J356" s="593"/>
      <c r="K356" s="581">
        <f>IF(D356="",1,D356)</f>
        <v>1</v>
      </c>
      <c r="L356" s="581">
        <f t="shared" si="104"/>
        <v>1</v>
      </c>
      <c r="M356" s="581">
        <f t="shared" si="105"/>
        <v>1</v>
      </c>
      <c r="N356" s="581">
        <f t="shared" si="106"/>
        <v>1</v>
      </c>
      <c r="O356" s="581">
        <f t="shared" si="107"/>
        <v>1</v>
      </c>
      <c r="P356" s="581">
        <f t="shared" si="108"/>
        <v>1</v>
      </c>
      <c r="Q356" s="572"/>
      <c r="R356" s="589"/>
    </row>
    <row r="357" spans="1:18" outlineLevel="1" x14ac:dyDescent="0.2">
      <c r="A357" s="572"/>
      <c r="B357" s="572"/>
      <c r="C357" s="580" t="s">
        <v>246</v>
      </c>
      <c r="D357" s="611">
        <f t="shared" ref="D357:I357" si="109">K347*K348*K349*K350*K356*K351*K352*K353*K354*K355</f>
        <v>1</v>
      </c>
      <c r="E357" s="611">
        <f t="shared" si="109"/>
        <v>1</v>
      </c>
      <c r="F357" s="611">
        <f t="shared" si="109"/>
        <v>1</v>
      </c>
      <c r="G357" s="611">
        <f t="shared" si="109"/>
        <v>1</v>
      </c>
      <c r="H357" s="611">
        <f t="shared" si="109"/>
        <v>1</v>
      </c>
      <c r="I357" s="611">
        <f t="shared" si="109"/>
        <v>1</v>
      </c>
      <c r="J357" s="593"/>
      <c r="K357" s="572"/>
      <c r="L357" s="572"/>
      <c r="M357" s="597"/>
      <c r="N357" s="572"/>
      <c r="O357" s="572"/>
      <c r="P357" s="572"/>
      <c r="Q357" s="572"/>
      <c r="R357" s="572"/>
    </row>
    <row r="358" spans="1:18" outlineLevel="1" x14ac:dyDescent="0.2">
      <c r="A358" s="597"/>
      <c r="B358" s="597"/>
      <c r="C358" s="574" t="s">
        <v>108</v>
      </c>
      <c r="D358" s="607">
        <f t="shared" ref="D358:I358" ca="1" si="110">IF(ISNUMBER(D344),D344*D357,"")</f>
        <v>0</v>
      </c>
      <c r="E358" s="607">
        <f t="shared" ca="1" si="110"/>
        <v>0</v>
      </c>
      <c r="F358" s="607">
        <f t="shared" ca="1" si="110"/>
        <v>0</v>
      </c>
      <c r="G358" s="607">
        <f t="shared" ca="1" si="110"/>
        <v>0</v>
      </c>
      <c r="H358" s="607">
        <f t="shared" ca="1" si="110"/>
        <v>0</v>
      </c>
      <c r="I358" s="607">
        <f t="shared" ca="1" si="110"/>
        <v>0</v>
      </c>
      <c r="J358" s="593"/>
      <c r="K358" s="597"/>
      <c r="L358" s="572"/>
      <c r="M358" s="572"/>
      <c r="N358" s="572"/>
      <c r="O358" s="572"/>
      <c r="P358" s="572"/>
      <c r="Q358" s="572"/>
      <c r="R358" s="572"/>
    </row>
    <row r="359" spans="1:18" outlineLevel="1" x14ac:dyDescent="0.2">
      <c r="A359" s="593"/>
      <c r="B359" s="593"/>
      <c r="C359" s="593"/>
      <c r="D359" s="593"/>
      <c r="E359" s="593"/>
      <c r="F359" s="593"/>
      <c r="G359" s="593"/>
      <c r="H359" s="593"/>
      <c r="I359" s="593"/>
      <c r="J359" s="593"/>
      <c r="K359" s="593"/>
      <c r="L359" s="593"/>
      <c r="M359" s="593"/>
      <c r="N359" s="593"/>
      <c r="O359" s="575"/>
      <c r="P359" s="575"/>
      <c r="Q359" s="593"/>
      <c r="R359" s="593"/>
    </row>
    <row r="360" spans="1:18" outlineLevel="1" x14ac:dyDescent="0.2">
      <c r="A360" s="593"/>
      <c r="B360" s="593"/>
      <c r="C360" s="585" t="str">
        <f>TxPhase1Tx</f>
        <v/>
      </c>
      <c r="D360" s="591"/>
      <c r="E360" s="572"/>
      <c r="F360" s="572"/>
      <c r="G360" s="593"/>
      <c r="H360" s="593"/>
      <c r="I360" s="593"/>
      <c r="J360" s="593"/>
      <c r="K360" s="604" t="s">
        <v>292</v>
      </c>
      <c r="L360" s="604" t="s">
        <v>52</v>
      </c>
      <c r="M360" s="604" t="s">
        <v>381</v>
      </c>
      <c r="N360" s="593"/>
      <c r="O360" s="575"/>
      <c r="P360" s="575"/>
      <c r="Q360" s="593"/>
      <c r="R360" s="577" t="s">
        <v>292</v>
      </c>
    </row>
    <row r="361" spans="1:18" outlineLevel="1" x14ac:dyDescent="0.2">
      <c r="A361" s="593"/>
      <c r="B361" s="593"/>
      <c r="C361" s="578" t="s">
        <v>109</v>
      </c>
      <c r="D361" s="584"/>
      <c r="E361" s="584"/>
      <c r="F361" s="584"/>
      <c r="G361" s="584"/>
      <c r="H361" s="584"/>
      <c r="I361" s="584"/>
      <c r="J361" s="593"/>
      <c r="K361" s="598">
        <f>IF(D340&lt;&gt;"",MATCH(D340,EPISource,0)-1,0)</f>
        <v>0</v>
      </c>
      <c r="L361" s="598">
        <f ca="1">IF(F340&lt;&gt;"",MATCH(F340,OFFSET(References!$AB$7,0,K361,PxPopCount),0),0)</f>
        <v>0</v>
      </c>
      <c r="M361" s="598">
        <f ca="1">(K361*PxPopCount)+L361</f>
        <v>0</v>
      </c>
      <c r="N361" s="593"/>
      <c r="O361" s="575"/>
      <c r="P361" s="575"/>
      <c r="Q361" s="593"/>
      <c r="R361" s="582"/>
    </row>
    <row r="362" spans="1:18" outlineLevel="1" x14ac:dyDescent="0.2">
      <c r="A362" s="593"/>
      <c r="B362" s="593"/>
      <c r="C362" s="593"/>
      <c r="D362" s="593"/>
      <c r="E362" s="612"/>
      <c r="F362" s="593"/>
      <c r="G362" s="593"/>
      <c r="H362" s="593"/>
      <c r="I362" s="593"/>
      <c r="J362" s="593"/>
      <c r="K362" s="571"/>
      <c r="L362" s="571"/>
      <c r="M362" s="593"/>
      <c r="N362" s="593"/>
      <c r="O362" s="575"/>
      <c r="P362" s="575"/>
      <c r="Q362" s="593"/>
      <c r="R362" s="593"/>
    </row>
    <row r="363" spans="1:18" outlineLevel="1" x14ac:dyDescent="0.2">
      <c r="A363" s="593"/>
      <c r="B363" s="593"/>
      <c r="C363" s="590" t="str">
        <f>TXPhase2Tx</f>
        <v/>
      </c>
      <c r="D363" s="600"/>
      <c r="E363" s="600"/>
      <c r="F363" s="593"/>
      <c r="G363" s="593"/>
      <c r="H363" s="593"/>
      <c r="I363" s="593"/>
      <c r="J363" s="593"/>
      <c r="K363" s="571"/>
      <c r="L363" s="571"/>
      <c r="M363" s="593"/>
      <c r="N363" s="593"/>
      <c r="O363" s="575"/>
      <c r="P363" s="575"/>
      <c r="Q363" s="593"/>
      <c r="R363" s="577" t="s">
        <v>292</v>
      </c>
    </row>
    <row r="364" spans="1:18" outlineLevel="1" x14ac:dyDescent="0.2">
      <c r="A364" s="593"/>
      <c r="B364" s="593"/>
      <c r="C364" s="590" t="str">
        <f>IF(C363&lt;&gt;"","Patients electing treatment (%)","")</f>
        <v/>
      </c>
      <c r="D364" s="584"/>
      <c r="E364" s="584"/>
      <c r="F364" s="584"/>
      <c r="G364" s="584"/>
      <c r="H364" s="584"/>
      <c r="I364" s="584"/>
      <c r="J364" s="593"/>
      <c r="K364" s="572"/>
      <c r="L364" s="575"/>
      <c r="M364" s="593"/>
      <c r="N364" s="593"/>
      <c r="O364" s="575"/>
      <c r="P364" s="575"/>
      <c r="Q364" s="593"/>
      <c r="R364" s="582"/>
    </row>
    <row r="365" spans="1:18" outlineLevel="1" x14ac:dyDescent="0.2">
      <c r="A365" s="593"/>
      <c r="B365" s="593"/>
      <c r="C365" s="593"/>
      <c r="D365" s="593"/>
      <c r="E365" s="593"/>
      <c r="F365" s="593"/>
      <c r="G365" s="593"/>
      <c r="H365" s="593"/>
      <c r="I365" s="593"/>
      <c r="J365" s="593"/>
      <c r="K365" s="593"/>
      <c r="L365" s="593"/>
      <c r="M365" s="593"/>
      <c r="N365" s="593"/>
      <c r="O365" s="575"/>
      <c r="P365" s="575"/>
      <c r="Q365" s="593"/>
      <c r="R365" s="593"/>
    </row>
    <row r="366" spans="1:18" outlineLevel="1" x14ac:dyDescent="0.2">
      <c r="A366" s="572"/>
      <c r="B366" s="572"/>
      <c r="C366" s="585" t="str">
        <f>TxPhase1Px</f>
        <v/>
      </c>
      <c r="D366" s="607">
        <f t="shared" ref="D366:I366" si="111">IF(TxPhase1&lt;&gt;"",D358*D361,0)</f>
        <v>0</v>
      </c>
      <c r="E366" s="607">
        <f t="shared" si="111"/>
        <v>0</v>
      </c>
      <c r="F366" s="607">
        <f t="shared" si="111"/>
        <v>0</v>
      </c>
      <c r="G366" s="607">
        <f t="shared" si="111"/>
        <v>0</v>
      </c>
      <c r="H366" s="607">
        <f t="shared" si="111"/>
        <v>0</v>
      </c>
      <c r="I366" s="607">
        <f t="shared" si="111"/>
        <v>0</v>
      </c>
      <c r="J366" s="598" t="str">
        <f>IF(D369&lt;&gt;"",D369,"")</f>
        <v/>
      </c>
      <c r="K366" s="599"/>
      <c r="L366" s="599"/>
      <c r="M366" s="599"/>
      <c r="N366" s="599"/>
      <c r="O366" s="575"/>
      <c r="P366" s="575"/>
      <c r="Q366" s="572"/>
      <c r="R366" s="572"/>
    </row>
    <row r="367" spans="1:18" outlineLevel="1" x14ac:dyDescent="0.2">
      <c r="A367" s="572"/>
      <c r="B367" s="572"/>
      <c r="C367" s="585" t="str">
        <f>TxPhase2Px</f>
        <v/>
      </c>
      <c r="D367" s="607">
        <f t="shared" ref="D367:I367" si="112">IF(TxPhase2&lt;&gt;"",D358*D364,0)</f>
        <v>0</v>
      </c>
      <c r="E367" s="607">
        <f t="shared" si="112"/>
        <v>0</v>
      </c>
      <c r="F367" s="607">
        <f t="shared" si="112"/>
        <v>0</v>
      </c>
      <c r="G367" s="607">
        <f t="shared" si="112"/>
        <v>0</v>
      </c>
      <c r="H367" s="607">
        <f t="shared" si="112"/>
        <v>0</v>
      </c>
      <c r="I367" s="607">
        <f t="shared" si="112"/>
        <v>0</v>
      </c>
      <c r="J367" s="598" t="str">
        <f>IF(D369&lt;&gt;"",D369,"")</f>
        <v/>
      </c>
      <c r="K367" s="572"/>
      <c r="L367" s="572"/>
      <c r="M367" s="597"/>
      <c r="N367" s="572"/>
      <c r="O367" s="575"/>
      <c r="P367" s="575"/>
      <c r="Q367" s="572"/>
      <c r="R367" s="572"/>
    </row>
    <row r="368" spans="1:18" s="570" customFormat="1" outlineLevel="1" x14ac:dyDescent="0.2">
      <c r="A368" s="572"/>
      <c r="B368" s="572"/>
      <c r="C368" s="572"/>
      <c r="D368" s="572"/>
      <c r="E368" s="572"/>
      <c r="F368" s="572"/>
      <c r="G368" s="572"/>
      <c r="H368" s="572"/>
      <c r="I368" s="572"/>
      <c r="J368" s="593"/>
      <c r="K368" s="572"/>
      <c r="L368" s="572"/>
      <c r="M368" s="597"/>
      <c r="N368" s="572"/>
      <c r="O368" s="575"/>
      <c r="P368" s="575"/>
      <c r="Q368" s="572"/>
      <c r="R368" s="572"/>
    </row>
    <row r="369" spans="1:18" s="570" customFormat="1" outlineLevel="1" x14ac:dyDescent="0.2">
      <c r="A369" s="572"/>
      <c r="B369" s="572"/>
      <c r="C369" s="122" t="s">
        <v>817</v>
      </c>
      <c r="D369" s="375"/>
      <c r="E369" s="572"/>
      <c r="F369" s="572"/>
      <c r="G369" s="572"/>
      <c r="H369" s="572"/>
      <c r="I369" s="572"/>
      <c r="J369" s="593"/>
      <c r="K369" s="572"/>
      <c r="L369" s="572"/>
      <c r="M369" s="597"/>
      <c r="N369" s="572"/>
      <c r="O369" s="575"/>
      <c r="P369" s="575"/>
      <c r="Q369" s="572"/>
      <c r="R369" s="572"/>
    </row>
    <row r="370" spans="1:18" outlineLevel="1" collapsed="1" x14ac:dyDescent="0.2">
      <c r="A370" s="572"/>
      <c r="B370" s="572"/>
      <c r="C370" s="572"/>
      <c r="D370" s="572"/>
      <c r="E370" s="572"/>
      <c r="F370" s="572"/>
      <c r="G370" s="572"/>
      <c r="H370" s="572"/>
      <c r="I370" s="572"/>
      <c r="J370" s="593"/>
      <c r="K370" s="572"/>
      <c r="L370" s="572"/>
      <c r="M370" s="597"/>
      <c r="N370" s="572"/>
      <c r="O370" s="575"/>
      <c r="P370" s="575"/>
      <c r="Q370" s="572"/>
      <c r="R370" s="572"/>
    </row>
    <row r="371" spans="1:18" x14ac:dyDescent="0.2">
      <c r="A371" s="572"/>
      <c r="B371" s="572"/>
      <c r="C371" s="572"/>
      <c r="D371" s="572"/>
      <c r="E371" s="572"/>
      <c r="F371" s="572"/>
      <c r="G371" s="572"/>
      <c r="H371" s="572"/>
      <c r="I371" s="572"/>
      <c r="J371" s="593"/>
      <c r="K371" s="572"/>
      <c r="L371" s="572"/>
      <c r="M371" s="572"/>
      <c r="N371" s="572"/>
      <c r="O371" s="575"/>
      <c r="P371" s="575"/>
      <c r="Q371" s="572"/>
      <c r="R371" s="572"/>
    </row>
    <row r="372" spans="1:18" ht="15.75" x14ac:dyDescent="0.2">
      <c r="A372" s="104"/>
      <c r="B372" s="190">
        <v>10</v>
      </c>
      <c r="C372" s="110" t="str">
        <f>IF(D376&lt;&gt;"",CONCATENATE("Prevalent ",B372,": ",F376,I372),MsgNotUsed)</f>
        <v>** NOT USED **</v>
      </c>
      <c r="D372" s="188"/>
      <c r="E372" s="188"/>
      <c r="F372" s="188"/>
      <c r="G372" s="188"/>
      <c r="H372" s="191"/>
      <c r="I372" s="455" t="str">
        <f>IF(R376&lt;&gt;"",CONCATENATE(" (",R376,")"),"")</f>
        <v/>
      </c>
      <c r="J372" s="187"/>
      <c r="K372" s="187"/>
      <c r="L372" s="187"/>
      <c r="M372" s="187"/>
      <c r="N372" s="187"/>
      <c r="O372" s="187"/>
      <c r="P372" s="187"/>
      <c r="Q372" s="189"/>
      <c r="R372" s="189"/>
    </row>
    <row r="373" spans="1:18" outlineLevel="1" x14ac:dyDescent="0.2">
      <c r="A373" s="599"/>
      <c r="B373" s="599"/>
      <c r="C373" s="595"/>
      <c r="D373" s="599"/>
      <c r="E373" s="599"/>
      <c r="F373" s="599"/>
      <c r="G373" s="599"/>
      <c r="H373" s="599"/>
      <c r="I373" s="599"/>
      <c r="J373" s="593"/>
      <c r="K373" s="599"/>
      <c r="L373" s="599"/>
      <c r="M373" s="599"/>
      <c r="N373" s="599"/>
      <c r="O373" s="599"/>
      <c r="P373" s="599"/>
      <c r="Q373" s="599"/>
      <c r="R373" s="599"/>
    </row>
    <row r="374" spans="1:18" outlineLevel="1" x14ac:dyDescent="0.2">
      <c r="A374" s="599"/>
      <c r="B374" s="599"/>
      <c r="C374" s="572" t="s">
        <v>914</v>
      </c>
      <c r="D374" s="599"/>
      <c r="E374" s="599"/>
      <c r="F374" s="599"/>
      <c r="G374" s="599"/>
      <c r="H374" s="599"/>
      <c r="I374" s="599"/>
      <c r="J374" s="593"/>
      <c r="K374" s="599"/>
      <c r="L374" s="599"/>
      <c r="M374" s="599"/>
      <c r="N374" s="599"/>
      <c r="O374" s="599"/>
      <c r="P374" s="599"/>
      <c r="Q374" s="599"/>
      <c r="R374" s="670" t="str">
        <f ca="1">IF(ISERROR($M397)=TRUE,MsgError &amp; VLOOKUP("BadPop",ErrorMessages,2,FALSE),"")</f>
        <v/>
      </c>
    </row>
    <row r="375" spans="1:18" outlineLevel="1" x14ac:dyDescent="0.2">
      <c r="A375" s="599"/>
      <c r="B375" s="599"/>
      <c r="C375" s="595"/>
      <c r="D375" s="599"/>
      <c r="E375" s="599"/>
      <c r="F375" s="599"/>
      <c r="G375" s="599"/>
      <c r="H375" s="599"/>
      <c r="I375" s="599"/>
      <c r="J375" s="593"/>
      <c r="K375" s="599"/>
      <c r="L375" s="599"/>
      <c r="M375" s="599"/>
      <c r="N375" s="599"/>
      <c r="O375" s="599"/>
      <c r="P375" s="599"/>
      <c r="Q375" s="599"/>
      <c r="R375" s="577" t="s">
        <v>470</v>
      </c>
    </row>
    <row r="376" spans="1:18" outlineLevel="1" x14ac:dyDescent="0.2">
      <c r="A376" s="599"/>
      <c r="B376" s="599"/>
      <c r="C376" s="578" t="s">
        <v>131</v>
      </c>
      <c r="D376" s="605"/>
      <c r="E376" s="594"/>
      <c r="F376" s="774"/>
      <c r="G376" s="775"/>
      <c r="H376" s="775"/>
      <c r="I376" s="775"/>
      <c r="J376" s="593"/>
      <c r="K376" s="599"/>
      <c r="L376" s="599"/>
      <c r="M376" s="599"/>
      <c r="N376" s="599"/>
      <c r="O376" s="599"/>
      <c r="P376" s="599"/>
      <c r="Q376" s="599"/>
      <c r="R376" s="606"/>
    </row>
    <row r="377" spans="1:18" outlineLevel="1" x14ac:dyDescent="0.2">
      <c r="A377" s="599"/>
      <c r="B377" s="599"/>
      <c r="C377" s="595"/>
      <c r="D377" s="600">
        <v>1</v>
      </c>
      <c r="E377" s="600">
        <v>2</v>
      </c>
      <c r="F377" s="600">
        <v>3</v>
      </c>
      <c r="G377" s="600">
        <v>4</v>
      </c>
      <c r="H377" s="600">
        <v>5</v>
      </c>
      <c r="I377" s="600">
        <v>6</v>
      </c>
      <c r="J377" s="593"/>
      <c r="K377" s="599"/>
      <c r="L377" s="599"/>
      <c r="M377" s="599"/>
      <c r="N377" s="599"/>
      <c r="O377" s="599"/>
      <c r="P377" s="599"/>
      <c r="Q377" s="599"/>
      <c r="R377" s="599"/>
    </row>
    <row r="378" spans="1:18" outlineLevel="1" x14ac:dyDescent="0.2">
      <c r="A378" s="599"/>
      <c r="B378" s="599"/>
      <c r="C378" s="595"/>
      <c r="D378" s="776" t="s">
        <v>11</v>
      </c>
      <c r="E378" s="776"/>
      <c r="F378" s="776"/>
      <c r="G378" s="776"/>
      <c r="H378" s="776"/>
      <c r="I378" s="776"/>
      <c r="J378" s="593"/>
      <c r="K378" s="599"/>
      <c r="L378" s="599"/>
      <c r="M378" s="599"/>
      <c r="N378" s="599"/>
      <c r="O378" s="599"/>
      <c r="P378" s="599"/>
      <c r="Q378" s="599"/>
      <c r="R378" s="599"/>
    </row>
    <row r="379" spans="1:18" outlineLevel="1" x14ac:dyDescent="0.2">
      <c r="A379" s="599"/>
      <c r="B379" s="599"/>
      <c r="C379" s="573"/>
      <c r="D379" s="588">
        <f>FirstYear</f>
        <v>0</v>
      </c>
      <c r="E379" s="588">
        <f>D379+1</f>
        <v>1</v>
      </c>
      <c r="F379" s="588">
        <f>E379+1</f>
        <v>2</v>
      </c>
      <c r="G379" s="588">
        <f>F379+1</f>
        <v>3</v>
      </c>
      <c r="H379" s="588">
        <f>G379+1</f>
        <v>4</v>
      </c>
      <c r="I379" s="588">
        <f>H379+1</f>
        <v>5</v>
      </c>
      <c r="J379" s="593"/>
      <c r="K379" s="599"/>
      <c r="L379" s="599"/>
      <c r="M379" s="599"/>
      <c r="N379" s="599"/>
      <c r="O379" s="599"/>
      <c r="P379" s="599"/>
      <c r="Q379" s="599"/>
      <c r="R379" s="599"/>
    </row>
    <row r="380" spans="1:18" outlineLevel="1" x14ac:dyDescent="0.2">
      <c r="A380" s="572"/>
      <c r="B380" s="572"/>
      <c r="C380" s="576" t="s">
        <v>110</v>
      </c>
      <c r="D380" s="596">
        <f t="shared" ref="D380:I380" ca="1" si="113">IF(AND(ISERROR($M397)&lt;&gt;TRUE,$F376&lt;&gt;""),INDEX(PxPopNumbers,$M397,D377),0)</f>
        <v>0</v>
      </c>
      <c r="E380" s="596">
        <f t="shared" ca="1" si="113"/>
        <v>0</v>
      </c>
      <c r="F380" s="596">
        <f t="shared" ca="1" si="113"/>
        <v>0</v>
      </c>
      <c r="G380" s="596">
        <f t="shared" ca="1" si="113"/>
        <v>0</v>
      </c>
      <c r="H380" s="596">
        <f t="shared" ca="1" si="113"/>
        <v>0</v>
      </c>
      <c r="I380" s="596">
        <f t="shared" ca="1" si="113"/>
        <v>0</v>
      </c>
      <c r="J380" s="593"/>
      <c r="K380" s="572"/>
      <c r="L380" s="572"/>
      <c r="M380" s="572"/>
      <c r="N380" s="572"/>
      <c r="O380" s="572"/>
      <c r="P380" s="572"/>
      <c r="Q380" s="595"/>
      <c r="R380" s="572"/>
    </row>
    <row r="381" spans="1:18" outlineLevel="1" x14ac:dyDescent="0.2">
      <c r="A381" s="593"/>
      <c r="B381" s="593"/>
      <c r="C381" s="593"/>
      <c r="D381" s="593"/>
      <c r="E381" s="593"/>
      <c r="F381" s="593"/>
      <c r="G381" s="593"/>
      <c r="H381" s="593"/>
      <c r="I381" s="593"/>
      <c r="J381" s="593"/>
      <c r="K381" s="572"/>
      <c r="L381" s="572"/>
      <c r="M381" s="572"/>
      <c r="N381" s="572"/>
      <c r="O381" s="572"/>
      <c r="P381" s="572"/>
      <c r="Q381" s="593"/>
      <c r="R381" s="593"/>
    </row>
    <row r="382" spans="1:18" outlineLevel="1" x14ac:dyDescent="0.2">
      <c r="A382" s="593"/>
      <c r="B382" s="593"/>
      <c r="C382" s="579" t="s">
        <v>238</v>
      </c>
      <c r="D382" s="593"/>
      <c r="E382" s="593"/>
      <c r="F382" s="593"/>
      <c r="G382" s="593"/>
      <c r="H382" s="593"/>
      <c r="I382" s="593"/>
      <c r="J382" s="593"/>
      <c r="K382" s="572"/>
      <c r="L382" s="572"/>
      <c r="M382" s="593"/>
      <c r="N382" s="593"/>
      <c r="O382" s="593"/>
      <c r="P382" s="593"/>
      <c r="Q382" s="593"/>
      <c r="R382" s="577" t="s">
        <v>292</v>
      </c>
    </row>
    <row r="383" spans="1:18" outlineLevel="1" x14ac:dyDescent="0.2">
      <c r="A383" s="572"/>
      <c r="B383" s="572"/>
      <c r="C383" s="589"/>
      <c r="D383" s="610"/>
      <c r="E383" s="610"/>
      <c r="F383" s="610"/>
      <c r="G383" s="610"/>
      <c r="H383" s="610"/>
      <c r="I383" s="610"/>
      <c r="J383" s="593"/>
      <c r="K383" s="581">
        <f t="shared" ref="K383:K391" si="114">IF(D383="",1,D383)</f>
        <v>1</v>
      </c>
      <c r="L383" s="581">
        <f t="shared" ref="L383:L392" si="115">IF(E383="",1,E383)</f>
        <v>1</v>
      </c>
      <c r="M383" s="581">
        <f t="shared" ref="M383:M392" si="116">IF(F383="",1,F383)</f>
        <v>1</v>
      </c>
      <c r="N383" s="581">
        <f t="shared" ref="N383:N392" si="117">IF(G383="",1,G383)</f>
        <v>1</v>
      </c>
      <c r="O383" s="581">
        <f t="shared" ref="O383:O392" si="118">IF(H383="",1,H383)</f>
        <v>1</v>
      </c>
      <c r="P383" s="581">
        <f t="shared" ref="P383:P392" si="119">IF(I383="",1,I383)</f>
        <v>1</v>
      </c>
      <c r="Q383" s="572"/>
      <c r="R383" s="589"/>
    </row>
    <row r="384" spans="1:18" outlineLevel="1" x14ac:dyDescent="0.2">
      <c r="A384" s="572"/>
      <c r="B384" s="572"/>
      <c r="C384" s="589"/>
      <c r="D384" s="610"/>
      <c r="E384" s="610"/>
      <c r="F384" s="610"/>
      <c r="G384" s="610"/>
      <c r="H384" s="610"/>
      <c r="I384" s="610"/>
      <c r="J384" s="593"/>
      <c r="K384" s="581">
        <f t="shared" si="114"/>
        <v>1</v>
      </c>
      <c r="L384" s="581">
        <f t="shared" si="115"/>
        <v>1</v>
      </c>
      <c r="M384" s="581">
        <f t="shared" si="116"/>
        <v>1</v>
      </c>
      <c r="N384" s="581">
        <f t="shared" si="117"/>
        <v>1</v>
      </c>
      <c r="O384" s="581">
        <f t="shared" si="118"/>
        <v>1</v>
      </c>
      <c r="P384" s="581">
        <f t="shared" si="119"/>
        <v>1</v>
      </c>
      <c r="Q384" s="572"/>
      <c r="R384" s="589"/>
    </row>
    <row r="385" spans="1:18" outlineLevel="1" x14ac:dyDescent="0.2">
      <c r="A385" s="572"/>
      <c r="B385" s="572"/>
      <c r="C385" s="589"/>
      <c r="D385" s="610"/>
      <c r="E385" s="610"/>
      <c r="F385" s="610"/>
      <c r="G385" s="610"/>
      <c r="H385" s="610"/>
      <c r="I385" s="610"/>
      <c r="J385" s="593"/>
      <c r="K385" s="581">
        <f t="shared" si="114"/>
        <v>1</v>
      </c>
      <c r="L385" s="581">
        <f t="shared" si="115"/>
        <v>1</v>
      </c>
      <c r="M385" s="581">
        <f t="shared" si="116"/>
        <v>1</v>
      </c>
      <c r="N385" s="581">
        <f t="shared" si="117"/>
        <v>1</v>
      </c>
      <c r="O385" s="581">
        <f t="shared" si="118"/>
        <v>1</v>
      </c>
      <c r="P385" s="581">
        <f t="shared" si="119"/>
        <v>1</v>
      </c>
      <c r="Q385" s="572"/>
      <c r="R385" s="589"/>
    </row>
    <row r="386" spans="1:18" outlineLevel="1" x14ac:dyDescent="0.2">
      <c r="A386" s="572"/>
      <c r="B386" s="572"/>
      <c r="C386" s="589"/>
      <c r="D386" s="610"/>
      <c r="E386" s="610"/>
      <c r="F386" s="610"/>
      <c r="G386" s="610"/>
      <c r="H386" s="610"/>
      <c r="I386" s="610"/>
      <c r="J386" s="593"/>
      <c r="K386" s="581">
        <f t="shared" si="114"/>
        <v>1</v>
      </c>
      <c r="L386" s="581">
        <f t="shared" si="115"/>
        <v>1</v>
      </c>
      <c r="M386" s="581">
        <f t="shared" si="116"/>
        <v>1</v>
      </c>
      <c r="N386" s="581">
        <f t="shared" si="117"/>
        <v>1</v>
      </c>
      <c r="O386" s="581">
        <f t="shared" si="118"/>
        <v>1</v>
      </c>
      <c r="P386" s="581">
        <f t="shared" si="119"/>
        <v>1</v>
      </c>
      <c r="Q386" s="572"/>
      <c r="R386" s="589"/>
    </row>
    <row r="387" spans="1:18" outlineLevel="1" x14ac:dyDescent="0.2">
      <c r="A387" s="572"/>
      <c r="B387" s="572"/>
      <c r="C387" s="589"/>
      <c r="D387" s="610"/>
      <c r="E387" s="610"/>
      <c r="F387" s="610"/>
      <c r="G387" s="610"/>
      <c r="H387" s="610"/>
      <c r="I387" s="610"/>
      <c r="J387" s="593"/>
      <c r="K387" s="581">
        <f t="shared" si="114"/>
        <v>1</v>
      </c>
      <c r="L387" s="581">
        <f t="shared" si="115"/>
        <v>1</v>
      </c>
      <c r="M387" s="581">
        <f t="shared" si="116"/>
        <v>1</v>
      </c>
      <c r="N387" s="581">
        <f t="shared" si="117"/>
        <v>1</v>
      </c>
      <c r="O387" s="581">
        <f t="shared" si="118"/>
        <v>1</v>
      </c>
      <c r="P387" s="581">
        <f t="shared" si="119"/>
        <v>1</v>
      </c>
      <c r="Q387" s="572"/>
      <c r="R387" s="589"/>
    </row>
    <row r="388" spans="1:18" outlineLevel="1" x14ac:dyDescent="0.2">
      <c r="A388" s="572"/>
      <c r="B388" s="572"/>
      <c r="C388" s="589"/>
      <c r="D388" s="610"/>
      <c r="E388" s="610"/>
      <c r="F388" s="610"/>
      <c r="G388" s="610"/>
      <c r="H388" s="610"/>
      <c r="I388" s="610"/>
      <c r="J388" s="593"/>
      <c r="K388" s="581">
        <f t="shared" si="114"/>
        <v>1</v>
      </c>
      <c r="L388" s="581">
        <f t="shared" si="115"/>
        <v>1</v>
      </c>
      <c r="M388" s="581">
        <f t="shared" si="116"/>
        <v>1</v>
      </c>
      <c r="N388" s="581">
        <f t="shared" si="117"/>
        <v>1</v>
      </c>
      <c r="O388" s="581">
        <f t="shared" si="118"/>
        <v>1</v>
      </c>
      <c r="P388" s="581">
        <f t="shared" si="119"/>
        <v>1</v>
      </c>
      <c r="Q388" s="572"/>
      <c r="R388" s="589"/>
    </row>
    <row r="389" spans="1:18" outlineLevel="1" x14ac:dyDescent="0.2">
      <c r="A389" s="572"/>
      <c r="B389" s="572"/>
      <c r="C389" s="589"/>
      <c r="D389" s="610"/>
      <c r="E389" s="610"/>
      <c r="F389" s="610"/>
      <c r="G389" s="610"/>
      <c r="H389" s="610"/>
      <c r="I389" s="610"/>
      <c r="J389" s="593"/>
      <c r="K389" s="581">
        <f t="shared" si="114"/>
        <v>1</v>
      </c>
      <c r="L389" s="581">
        <f t="shared" si="115"/>
        <v>1</v>
      </c>
      <c r="M389" s="581">
        <f t="shared" si="116"/>
        <v>1</v>
      </c>
      <c r="N389" s="581">
        <f t="shared" si="117"/>
        <v>1</v>
      </c>
      <c r="O389" s="581">
        <f t="shared" si="118"/>
        <v>1</v>
      </c>
      <c r="P389" s="581">
        <f t="shared" si="119"/>
        <v>1</v>
      </c>
      <c r="Q389" s="572"/>
      <c r="R389" s="589"/>
    </row>
    <row r="390" spans="1:18" outlineLevel="1" x14ac:dyDescent="0.2">
      <c r="A390" s="572"/>
      <c r="B390" s="572"/>
      <c r="C390" s="589"/>
      <c r="D390" s="610"/>
      <c r="E390" s="610"/>
      <c r="F390" s="610"/>
      <c r="G390" s="610"/>
      <c r="H390" s="610"/>
      <c r="I390" s="610"/>
      <c r="J390" s="593"/>
      <c r="K390" s="581">
        <f t="shared" si="114"/>
        <v>1</v>
      </c>
      <c r="L390" s="581">
        <f t="shared" si="115"/>
        <v>1</v>
      </c>
      <c r="M390" s="581">
        <f t="shared" si="116"/>
        <v>1</v>
      </c>
      <c r="N390" s="581">
        <f t="shared" si="117"/>
        <v>1</v>
      </c>
      <c r="O390" s="581">
        <f t="shared" si="118"/>
        <v>1</v>
      </c>
      <c r="P390" s="581">
        <f t="shared" si="119"/>
        <v>1</v>
      </c>
      <c r="Q390" s="572"/>
      <c r="R390" s="589"/>
    </row>
    <row r="391" spans="1:18" outlineLevel="1" x14ac:dyDescent="0.2">
      <c r="A391" s="572"/>
      <c r="B391" s="572"/>
      <c r="C391" s="589"/>
      <c r="D391" s="610"/>
      <c r="E391" s="610"/>
      <c r="F391" s="610"/>
      <c r="G391" s="610"/>
      <c r="H391" s="610"/>
      <c r="I391" s="610"/>
      <c r="J391" s="593"/>
      <c r="K391" s="581">
        <f t="shared" si="114"/>
        <v>1</v>
      </c>
      <c r="L391" s="581">
        <f t="shared" si="115"/>
        <v>1</v>
      </c>
      <c r="M391" s="581">
        <f t="shared" si="116"/>
        <v>1</v>
      </c>
      <c r="N391" s="581">
        <f t="shared" si="117"/>
        <v>1</v>
      </c>
      <c r="O391" s="581">
        <f t="shared" si="118"/>
        <v>1</v>
      </c>
      <c r="P391" s="581">
        <f t="shared" si="119"/>
        <v>1</v>
      </c>
      <c r="Q391" s="572"/>
      <c r="R391" s="589"/>
    </row>
    <row r="392" spans="1:18" outlineLevel="1" x14ac:dyDescent="0.2">
      <c r="A392" s="572"/>
      <c r="B392" s="572"/>
      <c r="C392" s="589"/>
      <c r="D392" s="610"/>
      <c r="E392" s="610"/>
      <c r="F392" s="610"/>
      <c r="G392" s="610"/>
      <c r="H392" s="610"/>
      <c r="I392" s="610"/>
      <c r="J392" s="593"/>
      <c r="K392" s="581">
        <f>IF(D392="",1,D392)</f>
        <v>1</v>
      </c>
      <c r="L392" s="581">
        <f t="shared" si="115"/>
        <v>1</v>
      </c>
      <c r="M392" s="581">
        <f t="shared" si="116"/>
        <v>1</v>
      </c>
      <c r="N392" s="581">
        <f t="shared" si="117"/>
        <v>1</v>
      </c>
      <c r="O392" s="581">
        <f t="shared" si="118"/>
        <v>1</v>
      </c>
      <c r="P392" s="581">
        <f t="shared" si="119"/>
        <v>1</v>
      </c>
      <c r="Q392" s="572"/>
      <c r="R392" s="589"/>
    </row>
    <row r="393" spans="1:18" outlineLevel="1" x14ac:dyDescent="0.2">
      <c r="A393" s="572"/>
      <c r="B393" s="572"/>
      <c r="C393" s="580" t="s">
        <v>246</v>
      </c>
      <c r="D393" s="611">
        <f t="shared" ref="D393:I393" si="120">K383*K384*K385*K386*K392*K387*K388*K389*K390*K391</f>
        <v>1</v>
      </c>
      <c r="E393" s="611">
        <f t="shared" si="120"/>
        <v>1</v>
      </c>
      <c r="F393" s="611">
        <f t="shared" si="120"/>
        <v>1</v>
      </c>
      <c r="G393" s="611">
        <f t="shared" si="120"/>
        <v>1</v>
      </c>
      <c r="H393" s="611">
        <f t="shared" si="120"/>
        <v>1</v>
      </c>
      <c r="I393" s="611">
        <f t="shared" si="120"/>
        <v>1</v>
      </c>
      <c r="J393" s="593"/>
      <c r="K393" s="572"/>
      <c r="L393" s="572"/>
      <c r="M393" s="597"/>
      <c r="N393" s="572"/>
      <c r="O393" s="572"/>
      <c r="P393" s="572"/>
      <c r="Q393" s="572"/>
      <c r="R393" s="572"/>
    </row>
    <row r="394" spans="1:18" outlineLevel="1" x14ac:dyDescent="0.2">
      <c r="A394" s="597"/>
      <c r="B394" s="597"/>
      <c r="C394" s="574" t="s">
        <v>108</v>
      </c>
      <c r="D394" s="607">
        <f t="shared" ref="D394:I394" ca="1" si="121">IF(ISNUMBER(D380),D380*D393,"")</f>
        <v>0</v>
      </c>
      <c r="E394" s="607">
        <f t="shared" ca="1" si="121"/>
        <v>0</v>
      </c>
      <c r="F394" s="607">
        <f t="shared" ca="1" si="121"/>
        <v>0</v>
      </c>
      <c r="G394" s="607">
        <f t="shared" ca="1" si="121"/>
        <v>0</v>
      </c>
      <c r="H394" s="607">
        <f t="shared" ca="1" si="121"/>
        <v>0</v>
      </c>
      <c r="I394" s="607">
        <f t="shared" ca="1" si="121"/>
        <v>0</v>
      </c>
      <c r="J394" s="593"/>
      <c r="K394" s="597"/>
      <c r="L394" s="572"/>
      <c r="M394" s="572"/>
      <c r="N394" s="572"/>
      <c r="O394" s="572"/>
      <c r="P394" s="572"/>
      <c r="Q394" s="572"/>
      <c r="R394" s="572"/>
    </row>
    <row r="395" spans="1:18" outlineLevel="1" x14ac:dyDescent="0.2">
      <c r="A395" s="593"/>
      <c r="B395" s="593"/>
      <c r="C395" s="593"/>
      <c r="D395" s="593"/>
      <c r="E395" s="593"/>
      <c r="F395" s="593"/>
      <c r="G395" s="593"/>
      <c r="H395" s="593"/>
      <c r="I395" s="593"/>
      <c r="J395" s="593"/>
      <c r="K395" s="593"/>
      <c r="L395" s="593"/>
      <c r="M395" s="593"/>
      <c r="N395" s="593"/>
      <c r="O395" s="575"/>
      <c r="P395" s="575"/>
      <c r="Q395" s="593"/>
      <c r="R395" s="593"/>
    </row>
    <row r="396" spans="1:18" outlineLevel="1" x14ac:dyDescent="0.2">
      <c r="A396" s="593"/>
      <c r="B396" s="593"/>
      <c r="C396" s="585" t="str">
        <f>TxPhase1Tx</f>
        <v/>
      </c>
      <c r="D396" s="591"/>
      <c r="E396" s="572"/>
      <c r="F396" s="572"/>
      <c r="G396" s="593"/>
      <c r="H396" s="593"/>
      <c r="I396" s="593"/>
      <c r="J396" s="593"/>
      <c r="K396" s="604" t="s">
        <v>292</v>
      </c>
      <c r="L396" s="604" t="s">
        <v>52</v>
      </c>
      <c r="M396" s="604" t="s">
        <v>381</v>
      </c>
      <c r="N396" s="593"/>
      <c r="O396" s="575"/>
      <c r="P396" s="575"/>
      <c r="Q396" s="593"/>
      <c r="R396" s="577" t="s">
        <v>292</v>
      </c>
    </row>
    <row r="397" spans="1:18" outlineLevel="1" x14ac:dyDescent="0.2">
      <c r="A397" s="593"/>
      <c r="B397" s="593"/>
      <c r="C397" s="578" t="s">
        <v>109</v>
      </c>
      <c r="D397" s="584"/>
      <c r="E397" s="584"/>
      <c r="F397" s="584"/>
      <c r="G397" s="584"/>
      <c r="H397" s="584"/>
      <c r="I397" s="584"/>
      <c r="J397" s="593"/>
      <c r="K397" s="598">
        <f>IF(D376&lt;&gt;"",MATCH(D376,EPISource,0)-1,0)</f>
        <v>0</v>
      </c>
      <c r="L397" s="598">
        <f ca="1">IF(F376&lt;&gt;"",MATCH(F376,OFFSET(References!$AB$7,0,K397,PxPopCount),0),0)</f>
        <v>0</v>
      </c>
      <c r="M397" s="598">
        <f ca="1">(K397*PxPopCount)+L397</f>
        <v>0</v>
      </c>
      <c r="N397" s="593"/>
      <c r="O397" s="575"/>
      <c r="P397" s="575"/>
      <c r="Q397" s="593"/>
      <c r="R397" s="582"/>
    </row>
    <row r="398" spans="1:18" outlineLevel="1" x14ac:dyDescent="0.2">
      <c r="A398" s="593"/>
      <c r="B398" s="593"/>
      <c r="C398" s="593"/>
      <c r="D398" s="593"/>
      <c r="E398" s="612"/>
      <c r="F398" s="593"/>
      <c r="G398" s="593"/>
      <c r="H398" s="593"/>
      <c r="I398" s="593"/>
      <c r="J398" s="593"/>
      <c r="K398" s="571"/>
      <c r="L398" s="571"/>
      <c r="M398" s="593"/>
      <c r="N398" s="593"/>
      <c r="O398" s="575"/>
      <c r="P398" s="575"/>
      <c r="Q398" s="593"/>
      <c r="R398" s="593"/>
    </row>
    <row r="399" spans="1:18" outlineLevel="1" x14ac:dyDescent="0.2">
      <c r="A399" s="593"/>
      <c r="B399" s="593"/>
      <c r="C399" s="590" t="str">
        <f>TXPhase2Tx</f>
        <v/>
      </c>
      <c r="D399" s="600"/>
      <c r="E399" s="600"/>
      <c r="F399" s="593"/>
      <c r="G399" s="593"/>
      <c r="H399" s="593"/>
      <c r="I399" s="593"/>
      <c r="J399" s="593"/>
      <c r="K399" s="571"/>
      <c r="L399" s="571"/>
      <c r="M399" s="593"/>
      <c r="N399" s="593"/>
      <c r="O399" s="575"/>
      <c r="P399" s="575"/>
      <c r="Q399" s="593"/>
      <c r="R399" s="577" t="s">
        <v>292</v>
      </c>
    </row>
    <row r="400" spans="1:18" outlineLevel="1" x14ac:dyDescent="0.2">
      <c r="A400" s="593"/>
      <c r="B400" s="593"/>
      <c r="C400" s="590" t="str">
        <f>IF(C399&lt;&gt;"","Patients electing treatment (%)","")</f>
        <v/>
      </c>
      <c r="D400" s="584"/>
      <c r="E400" s="584"/>
      <c r="F400" s="584"/>
      <c r="G400" s="584"/>
      <c r="H400" s="584"/>
      <c r="I400" s="584"/>
      <c r="J400" s="593"/>
      <c r="K400" s="572"/>
      <c r="L400" s="575"/>
      <c r="M400" s="593"/>
      <c r="N400" s="593"/>
      <c r="O400" s="575"/>
      <c r="P400" s="575"/>
      <c r="Q400" s="593"/>
      <c r="R400" s="582"/>
    </row>
    <row r="401" spans="1:18" outlineLevel="1" x14ac:dyDescent="0.2">
      <c r="A401" s="593"/>
      <c r="B401" s="593"/>
      <c r="C401" s="593"/>
      <c r="D401" s="593"/>
      <c r="E401" s="593"/>
      <c r="F401" s="593"/>
      <c r="G401" s="593"/>
      <c r="H401" s="593"/>
      <c r="I401" s="593"/>
      <c r="J401" s="593"/>
      <c r="K401" s="593"/>
      <c r="L401" s="593"/>
      <c r="M401" s="593"/>
      <c r="N401" s="593"/>
      <c r="O401" s="575"/>
      <c r="P401" s="575"/>
      <c r="Q401" s="593"/>
      <c r="R401" s="593"/>
    </row>
    <row r="402" spans="1:18" outlineLevel="1" x14ac:dyDescent="0.2">
      <c r="A402" s="572"/>
      <c r="B402" s="572"/>
      <c r="C402" s="585" t="str">
        <f>TxPhase1Px</f>
        <v/>
      </c>
      <c r="D402" s="607">
        <f t="shared" ref="D402:I402" si="122">IF(TxPhase1&lt;&gt;"",D394*D397,0)</f>
        <v>0</v>
      </c>
      <c r="E402" s="607">
        <f t="shared" si="122"/>
        <v>0</v>
      </c>
      <c r="F402" s="607">
        <f t="shared" si="122"/>
        <v>0</v>
      </c>
      <c r="G402" s="607">
        <f t="shared" si="122"/>
        <v>0</v>
      </c>
      <c r="H402" s="607">
        <f t="shared" si="122"/>
        <v>0</v>
      </c>
      <c r="I402" s="607">
        <f t="shared" si="122"/>
        <v>0</v>
      </c>
      <c r="J402" s="598" t="str">
        <f>IF(D405&lt;&gt;"",D405,"")</f>
        <v/>
      </c>
      <c r="K402" s="599"/>
      <c r="L402" s="599"/>
      <c r="M402" s="599"/>
      <c r="N402" s="599"/>
      <c r="O402" s="575"/>
      <c r="P402" s="575"/>
      <c r="Q402" s="572"/>
      <c r="R402" s="572"/>
    </row>
    <row r="403" spans="1:18" outlineLevel="1" x14ac:dyDescent="0.2">
      <c r="A403" s="572"/>
      <c r="B403" s="572"/>
      <c r="C403" s="585" t="str">
        <f>TxPhase2Px</f>
        <v/>
      </c>
      <c r="D403" s="607">
        <f t="shared" ref="D403:I403" si="123">IF(TxPhase2&lt;&gt;"",D394*D400,0)</f>
        <v>0</v>
      </c>
      <c r="E403" s="607">
        <f t="shared" si="123"/>
        <v>0</v>
      </c>
      <c r="F403" s="607">
        <f t="shared" si="123"/>
        <v>0</v>
      </c>
      <c r="G403" s="607">
        <f t="shared" si="123"/>
        <v>0</v>
      </c>
      <c r="H403" s="607">
        <f t="shared" si="123"/>
        <v>0</v>
      </c>
      <c r="I403" s="607">
        <f t="shared" si="123"/>
        <v>0</v>
      </c>
      <c r="J403" s="598" t="str">
        <f>IF(D405&lt;&gt;"",D405,"")</f>
        <v/>
      </c>
      <c r="K403" s="572"/>
      <c r="L403" s="572"/>
      <c r="M403" s="597"/>
      <c r="N403" s="572"/>
      <c r="O403" s="575"/>
      <c r="P403" s="575"/>
      <c r="Q403" s="572"/>
      <c r="R403" s="572"/>
    </row>
    <row r="404" spans="1:18" s="570" customFormat="1" outlineLevel="1" x14ac:dyDescent="0.2">
      <c r="A404" s="572"/>
      <c r="B404" s="572"/>
      <c r="C404" s="572"/>
      <c r="D404" s="572"/>
      <c r="E404" s="572"/>
      <c r="F404" s="572"/>
      <c r="G404" s="572"/>
      <c r="H404" s="572"/>
      <c r="I404" s="572"/>
      <c r="J404" s="593"/>
      <c r="K404" s="572"/>
      <c r="L404" s="572"/>
      <c r="M404" s="572"/>
      <c r="N404" s="572"/>
      <c r="O404" s="602"/>
      <c r="P404" s="601"/>
      <c r="Q404" s="572"/>
      <c r="R404" s="572"/>
    </row>
    <row r="405" spans="1:18" s="570" customFormat="1" outlineLevel="1" x14ac:dyDescent="0.2">
      <c r="A405" s="572"/>
      <c r="B405" s="572"/>
      <c r="C405" s="122" t="s">
        <v>817</v>
      </c>
      <c r="D405" s="375"/>
      <c r="E405" s="572"/>
      <c r="F405" s="572"/>
      <c r="G405" s="572"/>
      <c r="H405" s="572"/>
      <c r="I405" s="572"/>
      <c r="J405" s="593"/>
      <c r="K405" s="572"/>
      <c r="L405" s="572"/>
      <c r="M405" s="572"/>
      <c r="N405" s="572"/>
      <c r="O405" s="602"/>
      <c r="P405" s="601"/>
      <c r="Q405" s="572"/>
      <c r="R405" s="572"/>
    </row>
    <row r="406" spans="1:18" outlineLevel="1" x14ac:dyDescent="0.2">
      <c r="A406" s="572"/>
      <c r="B406" s="572"/>
      <c r="C406" s="572"/>
      <c r="D406" s="572"/>
      <c r="E406" s="572"/>
      <c r="F406" s="572"/>
      <c r="G406" s="572"/>
      <c r="H406" s="572"/>
      <c r="I406" s="572"/>
      <c r="J406" s="593"/>
      <c r="K406" s="572"/>
      <c r="L406" s="572"/>
      <c r="M406" s="572"/>
      <c r="N406" s="572"/>
      <c r="O406" s="602"/>
      <c r="P406" s="601"/>
      <c r="Q406" s="572"/>
      <c r="R406" s="572"/>
    </row>
    <row r="407" spans="1:18" x14ac:dyDescent="0.2">
      <c r="A407" s="572"/>
      <c r="B407" s="572"/>
      <c r="C407" s="572"/>
      <c r="D407" s="572"/>
      <c r="E407" s="572"/>
      <c r="F407" s="572"/>
      <c r="G407" s="572"/>
      <c r="H407" s="572"/>
      <c r="I407" s="572"/>
      <c r="J407" s="593"/>
      <c r="K407" s="572"/>
      <c r="L407" s="572"/>
      <c r="M407" s="572"/>
      <c r="N407" s="572"/>
      <c r="O407" s="602"/>
      <c r="P407" s="601"/>
      <c r="Q407" s="572"/>
      <c r="R407" s="572"/>
    </row>
    <row r="408" spans="1:18" ht="15.75" x14ac:dyDescent="0.2">
      <c r="A408" s="104"/>
      <c r="B408" s="104"/>
      <c r="C408" s="174" t="s">
        <v>28</v>
      </c>
      <c r="D408" s="177"/>
      <c r="E408" s="177"/>
      <c r="F408" s="177"/>
      <c r="G408" s="177"/>
      <c r="H408" s="177"/>
      <c r="I408" s="177"/>
      <c r="J408" s="179"/>
      <c r="K408" s="104"/>
      <c r="L408" s="104"/>
      <c r="M408" s="104"/>
      <c r="N408" s="104"/>
      <c r="O408" s="104"/>
      <c r="P408" s="104"/>
      <c r="Q408" s="177"/>
      <c r="R408" s="177"/>
    </row>
    <row r="409" spans="1:18" x14ac:dyDescent="0.2">
      <c r="A409" s="6"/>
      <c r="B409" s="6"/>
      <c r="C409" s="6"/>
      <c r="D409" s="6"/>
      <c r="E409" s="6"/>
      <c r="F409" s="6"/>
      <c r="G409" s="6"/>
      <c r="H409" s="6"/>
      <c r="I409" s="6"/>
      <c r="J409" s="179"/>
      <c r="K409" s="6"/>
      <c r="L409" s="6"/>
      <c r="M409" s="6"/>
      <c r="N409" s="6"/>
      <c r="O409" s="6"/>
      <c r="P409" s="6"/>
      <c r="Q409" s="6"/>
      <c r="R409" s="6"/>
    </row>
    <row r="410" spans="1:18" x14ac:dyDescent="0.2">
      <c r="A410" s="6"/>
      <c r="B410" s="6"/>
      <c r="C410" s="6" t="s">
        <v>912</v>
      </c>
      <c r="D410" s="6"/>
      <c r="E410" s="6"/>
      <c r="F410" s="6"/>
      <c r="G410" s="6"/>
      <c r="H410" s="6"/>
      <c r="I410" s="6"/>
      <c r="J410" s="179"/>
      <c r="K410" s="6"/>
      <c r="L410" s="6"/>
      <c r="M410" s="6"/>
      <c r="N410" s="6"/>
      <c r="O410" s="6"/>
      <c r="P410" s="6"/>
      <c r="Q410" s="6"/>
      <c r="R410" s="6"/>
    </row>
    <row r="411" spans="1:18" x14ac:dyDescent="0.2">
      <c r="A411" s="6"/>
      <c r="B411" s="6"/>
      <c r="C411" s="6" t="s">
        <v>252</v>
      </c>
      <c r="D411" s="6"/>
      <c r="E411" s="6"/>
      <c r="F411" s="6"/>
      <c r="G411" s="6"/>
      <c r="H411" s="6"/>
      <c r="I411" s="6"/>
      <c r="J411" s="179"/>
      <c r="K411" s="6"/>
      <c r="L411" s="6"/>
      <c r="M411" s="6"/>
      <c r="N411" s="6"/>
      <c r="O411" s="6"/>
      <c r="P411" s="6"/>
      <c r="Q411" s="6"/>
      <c r="R411" s="6"/>
    </row>
    <row r="412" spans="1:18" x14ac:dyDescent="0.2">
      <c r="A412" s="6"/>
      <c r="B412" s="6"/>
      <c r="C412" s="6"/>
      <c r="D412" s="6"/>
      <c r="E412" s="6"/>
      <c r="F412" s="6"/>
      <c r="G412" s="6"/>
      <c r="H412" s="6"/>
      <c r="I412" s="6"/>
      <c r="J412" s="179"/>
      <c r="K412" s="6"/>
      <c r="L412" s="6"/>
      <c r="M412" s="6"/>
      <c r="N412" s="6"/>
      <c r="O412" s="6"/>
      <c r="P412" s="6"/>
      <c r="Q412" s="6"/>
      <c r="R412" s="6"/>
    </row>
    <row r="413" spans="1:18" x14ac:dyDescent="0.2">
      <c r="A413" s="104"/>
      <c r="B413" s="104"/>
      <c r="C413" s="204" t="s">
        <v>933</v>
      </c>
      <c r="D413" s="177"/>
      <c r="E413" s="177"/>
      <c r="F413" s="177"/>
      <c r="G413" s="177"/>
      <c r="H413" s="177"/>
      <c r="I413" s="177"/>
      <c r="J413" s="179"/>
      <c r="K413" s="104"/>
      <c r="L413" s="104"/>
      <c r="M413" s="104"/>
      <c r="N413" s="104"/>
      <c r="O413" s="104"/>
      <c r="P413" s="104"/>
      <c r="Q413" s="177"/>
      <c r="R413" s="177"/>
    </row>
    <row r="414" spans="1:18" x14ac:dyDescent="0.2">
      <c r="A414" s="6"/>
      <c r="B414" s="6"/>
      <c r="C414" s="195"/>
      <c r="D414" s="6"/>
      <c r="E414" s="6"/>
      <c r="F414" s="6"/>
      <c r="G414" s="6"/>
      <c r="H414" s="6"/>
      <c r="I414" s="6"/>
      <c r="J414" s="179"/>
      <c r="K414" s="6"/>
      <c r="L414" s="6"/>
      <c r="M414" s="6"/>
      <c r="N414" s="6"/>
      <c r="O414" s="6"/>
      <c r="P414" s="6"/>
      <c r="Q414" s="6"/>
      <c r="R414" s="6"/>
    </row>
    <row r="415" spans="1:18" x14ac:dyDescent="0.2">
      <c r="A415" s="6"/>
      <c r="B415" s="6"/>
      <c r="C415" s="6"/>
      <c r="D415" s="6"/>
      <c r="E415" s="6"/>
      <c r="F415" s="6"/>
      <c r="G415" s="6"/>
      <c r="H415" s="6"/>
      <c r="I415" s="6"/>
      <c r="J415" s="179"/>
      <c r="K415" s="6"/>
      <c r="L415" s="6"/>
      <c r="M415" s="6"/>
      <c r="N415" s="6"/>
      <c r="O415" s="6"/>
      <c r="P415" s="6"/>
      <c r="Q415" s="6"/>
      <c r="R415" s="6"/>
    </row>
    <row r="416" spans="1:18" x14ac:dyDescent="0.2">
      <c r="A416" s="104"/>
      <c r="B416" s="104"/>
      <c r="C416" s="204" t="s">
        <v>934</v>
      </c>
      <c r="D416" s="177"/>
      <c r="E416" s="177"/>
      <c r="F416" s="177"/>
      <c r="G416" s="177"/>
      <c r="H416" s="177"/>
      <c r="I416" s="177"/>
      <c r="J416" s="179"/>
      <c r="K416" s="104"/>
      <c r="L416" s="104"/>
      <c r="M416" s="104"/>
      <c r="N416" s="104"/>
      <c r="O416" s="104"/>
      <c r="P416" s="104"/>
      <c r="Q416" s="177"/>
      <c r="R416" s="177"/>
    </row>
    <row r="417" spans="1:18" x14ac:dyDescent="0.2">
      <c r="A417" s="6"/>
      <c r="B417" s="6"/>
      <c r="C417" s="195"/>
      <c r="D417" s="6"/>
      <c r="E417" s="6"/>
      <c r="F417" s="6"/>
      <c r="G417" s="6"/>
      <c r="H417" s="6"/>
      <c r="I417" s="6"/>
      <c r="J417" s="179"/>
      <c r="K417" s="6"/>
      <c r="L417" s="6"/>
      <c r="M417" s="6"/>
      <c r="N417" s="6"/>
      <c r="O417" s="6"/>
      <c r="P417" s="6"/>
      <c r="Q417" s="6"/>
      <c r="R417" s="6"/>
    </row>
    <row r="418" spans="1:18" x14ac:dyDescent="0.2">
      <c r="A418" s="6"/>
      <c r="B418" s="6"/>
      <c r="C418" s="195"/>
      <c r="D418" s="6"/>
      <c r="E418" s="6"/>
      <c r="F418" s="6"/>
      <c r="G418" s="6"/>
      <c r="H418" s="6"/>
      <c r="I418" s="6"/>
      <c r="J418" s="179"/>
      <c r="K418" s="6"/>
      <c r="L418" s="6"/>
      <c r="M418" s="6"/>
      <c r="N418" s="6"/>
      <c r="O418" s="6"/>
      <c r="P418" s="6"/>
      <c r="Q418" s="6"/>
      <c r="R418" s="6"/>
    </row>
    <row r="419" spans="1:18" x14ac:dyDescent="0.2">
      <c r="A419" s="104"/>
      <c r="B419" s="104"/>
      <c r="C419" s="204" t="s">
        <v>935</v>
      </c>
      <c r="D419" s="177"/>
      <c r="E419" s="177"/>
      <c r="F419" s="177"/>
      <c r="G419" s="177"/>
      <c r="H419" s="177"/>
      <c r="I419" s="177"/>
      <c r="J419" s="179"/>
      <c r="K419" s="104"/>
      <c r="L419" s="104"/>
      <c r="M419" s="104"/>
      <c r="N419" s="104"/>
      <c r="O419" s="104"/>
      <c r="P419" s="104"/>
      <c r="Q419" s="177"/>
      <c r="R419" s="177"/>
    </row>
  </sheetData>
  <mergeCells count="22">
    <mergeCell ref="D126:I126"/>
    <mergeCell ref="D90:I90"/>
    <mergeCell ref="F124:I124"/>
    <mergeCell ref="H1:I1"/>
    <mergeCell ref="F52:I52"/>
    <mergeCell ref="F88:I88"/>
    <mergeCell ref="D54:I54"/>
    <mergeCell ref="F7:I7"/>
    <mergeCell ref="F232:I232"/>
    <mergeCell ref="D234:I234"/>
    <mergeCell ref="F268:I268"/>
    <mergeCell ref="F160:I160"/>
    <mergeCell ref="D162:I162"/>
    <mergeCell ref="F196:I196"/>
    <mergeCell ref="D198:I198"/>
    <mergeCell ref="F340:I340"/>
    <mergeCell ref="D342:I342"/>
    <mergeCell ref="F376:I376"/>
    <mergeCell ref="D378:I378"/>
    <mergeCell ref="D270:I270"/>
    <mergeCell ref="F304:I304"/>
    <mergeCell ref="D306:I306"/>
  </mergeCells>
  <conditionalFormatting sqref="R59:R68 C59:I68 D52 F52 D73:I73 D76:I76 R73 R76 R52 D81">
    <cfRule type="expression" dxfId="974" priority="327">
      <formula>PxPrevalent&lt;&gt;1</formula>
    </cfRule>
  </conditionalFormatting>
  <conditionalFormatting sqref="D59:I59 R59">
    <cfRule type="expression" dxfId="973" priority="352">
      <formula>$C59=""</formula>
    </cfRule>
  </conditionalFormatting>
  <conditionalFormatting sqref="D60:I60 R60">
    <cfRule type="expression" dxfId="972" priority="326">
      <formula>$C60=""</formula>
    </cfRule>
  </conditionalFormatting>
  <conditionalFormatting sqref="D37:I37 C43:I43">
    <cfRule type="expression" dxfId="971" priority="292">
      <formula>$C$43=""</formula>
    </cfRule>
  </conditionalFormatting>
  <conditionalFormatting sqref="D15:I15">
    <cfRule type="expression" dxfId="970" priority="274">
      <formula>$C$43=""</formula>
    </cfRule>
  </conditionalFormatting>
  <conditionalFormatting sqref="D61:I61 R61">
    <cfRule type="expression" dxfId="969" priority="264">
      <formula>$C61=""</formula>
    </cfRule>
  </conditionalFormatting>
  <conditionalFormatting sqref="D62:I62 R62">
    <cfRule type="expression" dxfId="968" priority="262">
      <formula>$C62=""</formula>
    </cfRule>
  </conditionalFormatting>
  <conditionalFormatting sqref="D63:I63 R63">
    <cfRule type="expression" dxfId="967" priority="261">
      <formula>$C63=""</formula>
    </cfRule>
  </conditionalFormatting>
  <conditionalFormatting sqref="D64:I64 R64">
    <cfRule type="expression" dxfId="966" priority="260">
      <formula>$C64=""</formula>
    </cfRule>
  </conditionalFormatting>
  <conditionalFormatting sqref="D65:I65 R65">
    <cfRule type="expression" dxfId="965" priority="259">
      <formula>$C65=""</formula>
    </cfRule>
  </conditionalFormatting>
  <conditionalFormatting sqref="D66:I66 R66">
    <cfRule type="expression" dxfId="964" priority="258">
      <formula>$C66=""</formula>
    </cfRule>
  </conditionalFormatting>
  <conditionalFormatting sqref="D67:I67 R67">
    <cfRule type="expression" dxfId="963" priority="257">
      <formula>$C67=""</formula>
    </cfRule>
  </conditionalFormatting>
  <conditionalFormatting sqref="D68:I68 R68">
    <cfRule type="expression" dxfId="962" priority="256">
      <formula>$C68=""</formula>
    </cfRule>
  </conditionalFormatting>
  <conditionalFormatting sqref="R95:R104 C95:I104 D88 F88 D109:I109 R109 D112:I112 R112 R88 D117">
    <cfRule type="expression" dxfId="961" priority="253">
      <formula>PxPrevalent&lt;&gt;1</formula>
    </cfRule>
  </conditionalFormatting>
  <conditionalFormatting sqref="D95:I95 R95">
    <cfRule type="expression" dxfId="960" priority="252">
      <formula>$C95=""</formula>
    </cfRule>
  </conditionalFormatting>
  <conditionalFormatting sqref="D96:I96 R96">
    <cfRule type="expression" dxfId="959" priority="251">
      <formula>$C96=""</formula>
    </cfRule>
  </conditionalFormatting>
  <conditionalFormatting sqref="D97:I97 R97">
    <cfRule type="expression" dxfId="958" priority="249">
      <formula>$C97=""</formula>
    </cfRule>
  </conditionalFormatting>
  <conditionalFormatting sqref="D98:I98 R98">
    <cfRule type="expression" dxfId="957" priority="248">
      <formula>$C98=""</formula>
    </cfRule>
  </conditionalFormatting>
  <conditionalFormatting sqref="D99:I99 R99">
    <cfRule type="expression" dxfId="956" priority="247">
      <formula>$C99=""</formula>
    </cfRule>
  </conditionalFormatting>
  <conditionalFormatting sqref="D100:I100 R100">
    <cfRule type="expression" dxfId="955" priority="246">
      <formula>$C100=""</formula>
    </cfRule>
  </conditionalFormatting>
  <conditionalFormatting sqref="D101:I101 R101">
    <cfRule type="expression" dxfId="954" priority="245">
      <formula>$C101=""</formula>
    </cfRule>
  </conditionalFormatting>
  <conditionalFormatting sqref="D102:I102 R102">
    <cfRule type="expression" dxfId="953" priority="244">
      <formula>$C102=""</formula>
    </cfRule>
  </conditionalFormatting>
  <conditionalFormatting sqref="D103:I103 R103">
    <cfRule type="expression" dxfId="952" priority="243">
      <formula>$C103=""</formula>
    </cfRule>
  </conditionalFormatting>
  <conditionalFormatting sqref="D104:I104 R104">
    <cfRule type="expression" dxfId="951" priority="242">
      <formula>$C104=""</formula>
    </cfRule>
  </conditionalFormatting>
  <conditionalFormatting sqref="R131:R140 C131:I140 D124 F124 D145:I145 R145 D148:I148 R148 R124 D153">
    <cfRule type="expression" dxfId="950" priority="239">
      <formula>PxPrevalent&lt;&gt;1</formula>
    </cfRule>
  </conditionalFormatting>
  <conditionalFormatting sqref="D131:I131 R131">
    <cfRule type="expression" dxfId="949" priority="238">
      <formula>$C131=""</formula>
    </cfRule>
  </conditionalFormatting>
  <conditionalFormatting sqref="D132:I132 R132">
    <cfRule type="expression" dxfId="948" priority="237">
      <formula>$C132=""</formula>
    </cfRule>
  </conditionalFormatting>
  <conditionalFormatting sqref="D133:I133 R133">
    <cfRule type="expression" dxfId="947" priority="235">
      <formula>$C133=""</formula>
    </cfRule>
  </conditionalFormatting>
  <conditionalFormatting sqref="D134:I134 R134">
    <cfRule type="expression" dxfId="946" priority="234">
      <formula>$C134=""</formula>
    </cfRule>
  </conditionalFormatting>
  <conditionalFormatting sqref="D135:I135 R135">
    <cfRule type="expression" dxfId="945" priority="233">
      <formula>$C135=""</formula>
    </cfRule>
  </conditionalFormatting>
  <conditionalFormatting sqref="D136:I136 R136">
    <cfRule type="expression" dxfId="944" priority="232">
      <formula>$C136=""</formula>
    </cfRule>
  </conditionalFormatting>
  <conditionalFormatting sqref="D137:I137 R137">
    <cfRule type="expression" dxfId="943" priority="231">
      <formula>$C137=""</formula>
    </cfRule>
  </conditionalFormatting>
  <conditionalFormatting sqref="D138:I138 R138">
    <cfRule type="expression" dxfId="942" priority="230">
      <formula>$C138=""</formula>
    </cfRule>
  </conditionalFormatting>
  <conditionalFormatting sqref="D139:I139 R139">
    <cfRule type="expression" dxfId="941" priority="229">
      <formula>$C139=""</formula>
    </cfRule>
  </conditionalFormatting>
  <conditionalFormatting sqref="D140:I140 R140">
    <cfRule type="expression" dxfId="940" priority="228">
      <formula>$C140=""</formula>
    </cfRule>
  </conditionalFormatting>
  <conditionalFormatting sqref="R167:R176 C167:I176 D160 F160 D181:I181 R181 D184:I184 R184 R160 D189">
    <cfRule type="expression" dxfId="939" priority="225">
      <formula>PxPrevalent&lt;&gt;1</formula>
    </cfRule>
  </conditionalFormatting>
  <conditionalFormatting sqref="D167:I167 R167">
    <cfRule type="expression" dxfId="938" priority="224">
      <formula>$C167=""</formula>
    </cfRule>
  </conditionalFormatting>
  <conditionalFormatting sqref="D168:I168 R168">
    <cfRule type="expression" dxfId="937" priority="223">
      <formula>$C168=""</formula>
    </cfRule>
  </conditionalFormatting>
  <conditionalFormatting sqref="D169:I169 R169">
    <cfRule type="expression" dxfId="936" priority="221">
      <formula>$C169=""</formula>
    </cfRule>
  </conditionalFormatting>
  <conditionalFormatting sqref="D170:I170 R170">
    <cfRule type="expression" dxfId="935" priority="220">
      <formula>$C170=""</formula>
    </cfRule>
  </conditionalFormatting>
  <conditionalFormatting sqref="D171:I171 R171">
    <cfRule type="expression" dxfId="934" priority="219">
      <formula>$C171=""</formula>
    </cfRule>
  </conditionalFormatting>
  <conditionalFormatting sqref="D172:I172 R172">
    <cfRule type="expression" dxfId="933" priority="218">
      <formula>$C172=""</formula>
    </cfRule>
  </conditionalFormatting>
  <conditionalFormatting sqref="D173:I173 R173">
    <cfRule type="expression" dxfId="932" priority="217">
      <formula>$C173=""</formula>
    </cfRule>
  </conditionalFormatting>
  <conditionalFormatting sqref="D174:I174 R174">
    <cfRule type="expression" dxfId="931" priority="216">
      <formula>$C174=""</formula>
    </cfRule>
  </conditionalFormatting>
  <conditionalFormatting sqref="D175:I175 R175">
    <cfRule type="expression" dxfId="930" priority="215">
      <formula>$C175=""</formula>
    </cfRule>
  </conditionalFormatting>
  <conditionalFormatting sqref="D176:I176 R176">
    <cfRule type="expression" dxfId="929" priority="214">
      <formula>$C176=""</formula>
    </cfRule>
  </conditionalFormatting>
  <conditionalFormatting sqref="R203:R212 C203:I212 D196 F196 D217:I217 R217 D220:I220 R220 R196 D225">
    <cfRule type="expression" dxfId="928" priority="211">
      <formula>PxPrevalent&lt;&gt;1</formula>
    </cfRule>
  </conditionalFormatting>
  <conditionalFormatting sqref="D203:I203 R203">
    <cfRule type="expression" dxfId="927" priority="210">
      <formula>$C203=""</formula>
    </cfRule>
  </conditionalFormatting>
  <conditionalFormatting sqref="D204:I204 R204">
    <cfRule type="expression" dxfId="926" priority="209">
      <formula>$C204=""</formula>
    </cfRule>
  </conditionalFormatting>
  <conditionalFormatting sqref="D205:I205 R205">
    <cfRule type="expression" dxfId="925" priority="207">
      <formula>$C205=""</formula>
    </cfRule>
  </conditionalFormatting>
  <conditionalFormatting sqref="D206:I206 R206">
    <cfRule type="expression" dxfId="924" priority="206">
      <formula>$C206=""</formula>
    </cfRule>
  </conditionalFormatting>
  <conditionalFormatting sqref="D207:I207 R207">
    <cfRule type="expression" dxfId="923" priority="205">
      <formula>$C207=""</formula>
    </cfRule>
  </conditionalFormatting>
  <conditionalFormatting sqref="D208:I208 R208">
    <cfRule type="expression" dxfId="922" priority="204">
      <formula>$C208=""</formula>
    </cfRule>
  </conditionalFormatting>
  <conditionalFormatting sqref="D209:I209 R209">
    <cfRule type="expression" dxfId="921" priority="203">
      <formula>$C209=""</formula>
    </cfRule>
  </conditionalFormatting>
  <conditionalFormatting sqref="D210:I210 R210">
    <cfRule type="expression" dxfId="920" priority="202">
      <formula>$C210=""</formula>
    </cfRule>
  </conditionalFormatting>
  <conditionalFormatting sqref="D211:I211 R211">
    <cfRule type="expression" dxfId="919" priority="201">
      <formula>$C211=""</formula>
    </cfRule>
  </conditionalFormatting>
  <conditionalFormatting sqref="D212:I212 R212">
    <cfRule type="expression" dxfId="918" priority="200">
      <formula>$C212=""</formula>
    </cfRule>
  </conditionalFormatting>
  <conditionalFormatting sqref="C75 C76:I76 R76">
    <cfRule type="expression" dxfId="917" priority="195">
      <formula>TPCont=0</formula>
    </cfRule>
  </conditionalFormatting>
  <conditionalFormatting sqref="C79">
    <cfRule type="expression" dxfId="916" priority="192">
      <formula>$C$79=""</formula>
    </cfRule>
  </conditionalFormatting>
  <conditionalFormatting sqref="C112:I112 R112">
    <cfRule type="expression" dxfId="915" priority="188">
      <formula>TPCont=0</formula>
    </cfRule>
  </conditionalFormatting>
  <conditionalFormatting sqref="C148:I148 R148">
    <cfRule type="expression" dxfId="914" priority="184">
      <formula>TPCont=0</formula>
    </cfRule>
  </conditionalFormatting>
  <conditionalFormatting sqref="C184:I184 R184">
    <cfRule type="expression" dxfId="913" priority="180">
      <formula>TPCont=0</formula>
    </cfRule>
  </conditionalFormatting>
  <conditionalFormatting sqref="C220:I220 R220">
    <cfRule type="expression" dxfId="912" priority="176">
      <formula>TPCont=0</formula>
    </cfRule>
  </conditionalFormatting>
  <conditionalFormatting sqref="R239:R248 C239:I248 D232 F232 D253:I253 R253 D256:I256 R256 R232 D261">
    <cfRule type="expression" dxfId="911" priority="170">
      <formula>PxPrevalent&lt;&gt;1</formula>
    </cfRule>
  </conditionalFormatting>
  <conditionalFormatting sqref="D239:I239 R239">
    <cfRule type="expression" dxfId="910" priority="169">
      <formula>$C239=""</formula>
    </cfRule>
  </conditionalFormatting>
  <conditionalFormatting sqref="D240:I240 R240">
    <cfRule type="expression" dxfId="909" priority="168">
      <formula>$C240=""</formula>
    </cfRule>
  </conditionalFormatting>
  <conditionalFormatting sqref="D241:I241 R241">
    <cfRule type="expression" dxfId="908" priority="167">
      <formula>$C241=""</formula>
    </cfRule>
  </conditionalFormatting>
  <conditionalFormatting sqref="D242:I242 R242">
    <cfRule type="expression" dxfId="907" priority="166">
      <formula>$C242=""</formula>
    </cfRule>
  </conditionalFormatting>
  <conditionalFormatting sqref="D243:I243 R243">
    <cfRule type="expression" dxfId="906" priority="165">
      <formula>$C243=""</formula>
    </cfRule>
  </conditionalFormatting>
  <conditionalFormatting sqref="D244:I244 R244">
    <cfRule type="expression" dxfId="905" priority="164">
      <formula>$C244=""</formula>
    </cfRule>
  </conditionalFormatting>
  <conditionalFormatting sqref="D245:I245 R245">
    <cfRule type="expression" dxfId="904" priority="163">
      <formula>$C245=""</formula>
    </cfRule>
  </conditionalFormatting>
  <conditionalFormatting sqref="D246:I246 R246">
    <cfRule type="expression" dxfId="903" priority="162">
      <formula>$C246=""</formula>
    </cfRule>
  </conditionalFormatting>
  <conditionalFormatting sqref="D247:I247 R247">
    <cfRule type="expression" dxfId="902" priority="161">
      <formula>$C247=""</formula>
    </cfRule>
  </conditionalFormatting>
  <conditionalFormatting sqref="D248:I248 R248">
    <cfRule type="expression" dxfId="901" priority="160">
      <formula>$C248=""</formula>
    </cfRule>
  </conditionalFormatting>
  <conditionalFormatting sqref="C256:I256 R256">
    <cfRule type="expression" dxfId="900" priority="159">
      <formula>TPCont=0</formula>
    </cfRule>
  </conditionalFormatting>
  <conditionalFormatting sqref="R275:R284 C275:I284 D268 F268 D289:I289 R289 D292:I292 R292 R268 D297">
    <cfRule type="expression" dxfId="899" priority="157">
      <formula>PxPrevalent&lt;&gt;1</formula>
    </cfRule>
  </conditionalFormatting>
  <conditionalFormatting sqref="D275:I275 R275">
    <cfRule type="expression" dxfId="898" priority="156">
      <formula>$C275=""</formula>
    </cfRule>
  </conditionalFormatting>
  <conditionalFormatting sqref="D276:I276 R276">
    <cfRule type="expression" dxfId="897" priority="155">
      <formula>$C276=""</formula>
    </cfRule>
  </conditionalFormatting>
  <conditionalFormatting sqref="D277:I277 R277">
    <cfRule type="expression" dxfId="896" priority="154">
      <formula>$C277=""</formula>
    </cfRule>
  </conditionalFormatting>
  <conditionalFormatting sqref="D278:I278 R278">
    <cfRule type="expression" dxfId="895" priority="153">
      <formula>$C278=""</formula>
    </cfRule>
  </conditionalFormatting>
  <conditionalFormatting sqref="D279:I279 R279">
    <cfRule type="expression" dxfId="894" priority="152">
      <formula>$C279=""</formula>
    </cfRule>
  </conditionalFormatting>
  <conditionalFormatting sqref="D280:I280 R280">
    <cfRule type="expression" dxfId="893" priority="151">
      <formula>$C280=""</formula>
    </cfRule>
  </conditionalFormatting>
  <conditionalFormatting sqref="D281:I281 R281">
    <cfRule type="expression" dxfId="892" priority="150">
      <formula>$C281=""</formula>
    </cfRule>
  </conditionalFormatting>
  <conditionalFormatting sqref="D282:I282 R282">
    <cfRule type="expression" dxfId="891" priority="149">
      <formula>$C282=""</formula>
    </cfRule>
  </conditionalFormatting>
  <conditionalFormatting sqref="D283:I283 R283">
    <cfRule type="expression" dxfId="890" priority="148">
      <formula>$C283=""</formula>
    </cfRule>
  </conditionalFormatting>
  <conditionalFormatting sqref="D284:I284 R284">
    <cfRule type="expression" dxfId="889" priority="147">
      <formula>$C284=""</formula>
    </cfRule>
  </conditionalFormatting>
  <conditionalFormatting sqref="C292:I292 R292">
    <cfRule type="expression" dxfId="888" priority="146">
      <formula>TPCont=0</formula>
    </cfRule>
  </conditionalFormatting>
  <conditionalFormatting sqref="R311:R320 C311:I320 D304 F304 D325:I325 R325 D328:I328 R328 R304 D333">
    <cfRule type="expression" dxfId="887" priority="144">
      <formula>PxPrevalent&lt;&gt;1</formula>
    </cfRule>
  </conditionalFormatting>
  <conditionalFormatting sqref="D311:I311 R311">
    <cfRule type="expression" dxfId="886" priority="143">
      <formula>$C311=""</formula>
    </cfRule>
  </conditionalFormatting>
  <conditionalFormatting sqref="D312:I312 R312">
    <cfRule type="expression" dxfId="885" priority="142">
      <formula>$C312=""</formula>
    </cfRule>
  </conditionalFormatting>
  <conditionalFormatting sqref="D313:I313 R313">
    <cfRule type="expression" dxfId="884" priority="141">
      <formula>$C313=""</formula>
    </cfRule>
  </conditionalFormatting>
  <conditionalFormatting sqref="D314:I314 R314">
    <cfRule type="expression" dxfId="883" priority="140">
      <formula>$C314=""</formula>
    </cfRule>
  </conditionalFormatting>
  <conditionalFormatting sqref="D315:I315 R315">
    <cfRule type="expression" dxfId="882" priority="139">
      <formula>$C315=""</formula>
    </cfRule>
  </conditionalFormatting>
  <conditionalFormatting sqref="D316:I316 R316">
    <cfRule type="expression" dxfId="881" priority="138">
      <formula>$C316=""</formula>
    </cfRule>
  </conditionalFormatting>
  <conditionalFormatting sqref="D317:I317 R317">
    <cfRule type="expression" dxfId="880" priority="137">
      <formula>$C317=""</formula>
    </cfRule>
  </conditionalFormatting>
  <conditionalFormatting sqref="D318:I318 R318">
    <cfRule type="expression" dxfId="879" priority="136">
      <formula>$C318=""</formula>
    </cfRule>
  </conditionalFormatting>
  <conditionalFormatting sqref="D319:I319 R319">
    <cfRule type="expression" dxfId="878" priority="135">
      <formula>$C319=""</formula>
    </cfRule>
  </conditionalFormatting>
  <conditionalFormatting sqref="D320:I320 R320">
    <cfRule type="expression" dxfId="877" priority="134">
      <formula>$C320=""</formula>
    </cfRule>
  </conditionalFormatting>
  <conditionalFormatting sqref="C328:I328 R328">
    <cfRule type="expression" dxfId="876" priority="133">
      <formula>TPCont=0</formula>
    </cfRule>
  </conditionalFormatting>
  <conditionalFormatting sqref="R347:R356 C347:I356 D340 F340 D361:I361 R361 D364:I364 R364 R340 D369">
    <cfRule type="expression" dxfId="875" priority="131">
      <formula>PxPrevalent&lt;&gt;1</formula>
    </cfRule>
  </conditionalFormatting>
  <conditionalFormatting sqref="D347:I347 R347">
    <cfRule type="expression" dxfId="874" priority="130">
      <formula>$C347=""</formula>
    </cfRule>
  </conditionalFormatting>
  <conditionalFormatting sqref="D348:I348 R348">
    <cfRule type="expression" dxfId="873" priority="129">
      <formula>$C348=""</formula>
    </cfRule>
  </conditionalFormatting>
  <conditionalFormatting sqref="D349:I349 R349">
    <cfRule type="expression" dxfId="872" priority="128">
      <formula>$C349=""</formula>
    </cfRule>
  </conditionalFormatting>
  <conditionalFormatting sqref="D350:I350 R350">
    <cfRule type="expression" dxfId="871" priority="127">
      <formula>$C350=""</formula>
    </cfRule>
  </conditionalFormatting>
  <conditionalFormatting sqref="D351:I351 R351">
    <cfRule type="expression" dxfId="870" priority="126">
      <formula>$C351=""</formula>
    </cfRule>
  </conditionalFormatting>
  <conditionalFormatting sqref="D352:I352 R352">
    <cfRule type="expression" dxfId="869" priority="125">
      <formula>$C352=""</formula>
    </cfRule>
  </conditionalFormatting>
  <conditionalFormatting sqref="D353:I353 R353">
    <cfRule type="expression" dxfId="868" priority="124">
      <formula>$C353=""</formula>
    </cfRule>
  </conditionalFormatting>
  <conditionalFormatting sqref="D354:I354 R354">
    <cfRule type="expression" dxfId="867" priority="123">
      <formula>$C354=""</formula>
    </cfRule>
  </conditionalFormatting>
  <conditionalFormatting sqref="D355:I355 R355">
    <cfRule type="expression" dxfId="866" priority="122">
      <formula>$C355=""</formula>
    </cfRule>
  </conditionalFormatting>
  <conditionalFormatting sqref="D356:I356 R356">
    <cfRule type="expression" dxfId="865" priority="121">
      <formula>$C356=""</formula>
    </cfRule>
  </conditionalFormatting>
  <conditionalFormatting sqref="C364:I364 R364">
    <cfRule type="expression" dxfId="864" priority="120">
      <formula>TPCont=0</formula>
    </cfRule>
  </conditionalFormatting>
  <conditionalFormatting sqref="R383:R392 C383:I392 D376 F376 D397:I397 R397 D400:I400 R400 R376 D405">
    <cfRule type="expression" dxfId="863" priority="118">
      <formula>PxPrevalent&lt;&gt;1</formula>
    </cfRule>
  </conditionalFormatting>
  <conditionalFormatting sqref="D383:I383 R383">
    <cfRule type="expression" dxfId="862" priority="117">
      <formula>$C383=""</formula>
    </cfRule>
  </conditionalFormatting>
  <conditionalFormatting sqref="D384:I384 R384">
    <cfRule type="expression" dxfId="861" priority="116">
      <formula>$C384=""</formula>
    </cfRule>
  </conditionalFormatting>
  <conditionalFormatting sqref="D385:I385 R385">
    <cfRule type="expression" dxfId="860" priority="115">
      <formula>$C385=""</formula>
    </cfRule>
  </conditionalFormatting>
  <conditionalFormatting sqref="D386:I386 R386">
    <cfRule type="expression" dxfId="859" priority="114">
      <formula>$C386=""</formula>
    </cfRule>
  </conditionalFormatting>
  <conditionalFormatting sqref="D387:I387 R387">
    <cfRule type="expression" dxfId="858" priority="113">
      <formula>$C387=""</formula>
    </cfRule>
  </conditionalFormatting>
  <conditionalFormatting sqref="D388:I388 R388">
    <cfRule type="expression" dxfId="857" priority="112">
      <formula>$C388=""</formula>
    </cfRule>
  </conditionalFormatting>
  <conditionalFormatting sqref="D389:I389 R389">
    <cfRule type="expression" dxfId="856" priority="111">
      <formula>$C389=""</formula>
    </cfRule>
  </conditionalFormatting>
  <conditionalFormatting sqref="D390:I390 R390">
    <cfRule type="expression" dxfId="855" priority="110">
      <formula>$C390=""</formula>
    </cfRule>
  </conditionalFormatting>
  <conditionalFormatting sqref="D391:I391 R391">
    <cfRule type="expression" dxfId="854" priority="109">
      <formula>$C391=""</formula>
    </cfRule>
  </conditionalFormatting>
  <conditionalFormatting sqref="D392:I392 R392">
    <cfRule type="expression" dxfId="853" priority="108">
      <formula>$C392=""</formula>
    </cfRule>
  </conditionalFormatting>
  <conditionalFormatting sqref="C400:I400 R400">
    <cfRule type="expression" dxfId="852" priority="107">
      <formula>TPCont=0</formula>
    </cfRule>
  </conditionalFormatting>
  <conditionalFormatting sqref="R52">
    <cfRule type="expression" dxfId="851" priority="105">
      <formula>F52=""</formula>
    </cfRule>
  </conditionalFormatting>
  <conditionalFormatting sqref="R88">
    <cfRule type="expression" dxfId="850" priority="103">
      <formula>F88=""</formula>
    </cfRule>
  </conditionalFormatting>
  <conditionalFormatting sqref="R124">
    <cfRule type="expression" dxfId="849" priority="101">
      <formula>F124=""</formula>
    </cfRule>
  </conditionalFormatting>
  <conditionalFormatting sqref="R160">
    <cfRule type="expression" dxfId="848" priority="99">
      <formula>F160=""</formula>
    </cfRule>
  </conditionalFormatting>
  <conditionalFormatting sqref="R196">
    <cfRule type="expression" dxfId="847" priority="97">
      <formula>F196=""</formula>
    </cfRule>
  </conditionalFormatting>
  <conditionalFormatting sqref="R232">
    <cfRule type="expression" dxfId="846" priority="95">
      <formula>F232=""</formula>
    </cfRule>
  </conditionalFormatting>
  <conditionalFormatting sqref="R268">
    <cfRule type="expression" dxfId="845" priority="93">
      <formula>F268=""</formula>
    </cfRule>
  </conditionalFormatting>
  <conditionalFormatting sqref="R304">
    <cfRule type="expression" dxfId="844" priority="91">
      <formula>F304=""</formula>
    </cfRule>
  </conditionalFormatting>
  <conditionalFormatting sqref="R340">
    <cfRule type="expression" dxfId="843" priority="89">
      <formula>F340=""</formula>
    </cfRule>
  </conditionalFormatting>
  <conditionalFormatting sqref="R376">
    <cfRule type="expression" dxfId="842" priority="87">
      <formula>F376=""</formula>
    </cfRule>
  </conditionalFormatting>
  <conditionalFormatting sqref="C15">
    <cfRule type="expression" dxfId="841" priority="85">
      <formula>$C$43=""</formula>
    </cfRule>
  </conditionalFormatting>
  <conditionalFormatting sqref="C183">
    <cfRule type="expression" dxfId="840" priority="76">
      <formula>TPCont=0</formula>
    </cfRule>
  </conditionalFormatting>
  <conditionalFormatting sqref="C147">
    <cfRule type="expression" dxfId="839" priority="77">
      <formula>TPCont=0</formula>
    </cfRule>
  </conditionalFormatting>
  <conditionalFormatting sqref="C111">
    <cfRule type="expression" dxfId="838" priority="78">
      <formula>TPCont=0</formula>
    </cfRule>
  </conditionalFormatting>
  <conditionalFormatting sqref="C219">
    <cfRule type="expression" dxfId="837" priority="75">
      <formula>TPCont=0</formula>
    </cfRule>
  </conditionalFormatting>
  <conditionalFormatting sqref="C255">
    <cfRule type="expression" dxfId="836" priority="74">
      <formula>TPCont=0</formula>
    </cfRule>
  </conditionalFormatting>
  <conditionalFormatting sqref="C291">
    <cfRule type="expression" dxfId="835" priority="73">
      <formula>TPCont=0</formula>
    </cfRule>
  </conditionalFormatting>
  <conditionalFormatting sqref="C327">
    <cfRule type="expression" dxfId="834" priority="72">
      <formula>TPCont=0</formula>
    </cfRule>
  </conditionalFormatting>
  <conditionalFormatting sqref="C363">
    <cfRule type="expression" dxfId="833" priority="71">
      <formula>TPCont=0</formula>
    </cfRule>
  </conditionalFormatting>
  <conditionalFormatting sqref="C399">
    <cfRule type="expression" dxfId="832" priority="70">
      <formula>TPCont=0</formula>
    </cfRule>
  </conditionalFormatting>
  <conditionalFormatting sqref="C115">
    <cfRule type="expression" dxfId="831" priority="69">
      <formula>$C$79=""</formula>
    </cfRule>
  </conditionalFormatting>
  <conditionalFormatting sqref="C151">
    <cfRule type="expression" dxfId="830" priority="68">
      <formula>$C$79=""</formula>
    </cfRule>
  </conditionalFormatting>
  <conditionalFormatting sqref="C187">
    <cfRule type="expression" dxfId="829" priority="67">
      <formula>$C$79=""</formula>
    </cfRule>
  </conditionalFormatting>
  <conditionalFormatting sqref="C223">
    <cfRule type="expression" dxfId="828" priority="66">
      <formula>$C$79=""</formula>
    </cfRule>
  </conditionalFormatting>
  <conditionalFormatting sqref="C259">
    <cfRule type="expression" dxfId="827" priority="65">
      <formula>$C$79=""</formula>
    </cfRule>
  </conditionalFormatting>
  <conditionalFormatting sqref="C295">
    <cfRule type="expression" dxfId="826" priority="64">
      <formula>$C$79=""</formula>
    </cfRule>
  </conditionalFormatting>
  <conditionalFormatting sqref="C331">
    <cfRule type="expression" dxfId="825" priority="63">
      <formula>$C$79=""</formula>
    </cfRule>
  </conditionalFormatting>
  <conditionalFormatting sqref="C367">
    <cfRule type="expression" dxfId="824" priority="62">
      <formula>$C$79=""</formula>
    </cfRule>
  </conditionalFormatting>
  <conditionalFormatting sqref="C403">
    <cfRule type="expression" dxfId="823" priority="61">
      <formula>$C$79=""</formula>
    </cfRule>
  </conditionalFormatting>
  <conditionalFormatting sqref="D79:I79">
    <cfRule type="expression" dxfId="822" priority="60">
      <formula>$C$79=""</formula>
    </cfRule>
  </conditionalFormatting>
  <conditionalFormatting sqref="D115:I115">
    <cfRule type="expression" dxfId="821" priority="59">
      <formula>$C$79=""</formula>
    </cfRule>
  </conditionalFormatting>
  <conditionalFormatting sqref="D151:I151">
    <cfRule type="expression" dxfId="820" priority="58">
      <formula>$C$79=""</formula>
    </cfRule>
  </conditionalFormatting>
  <conditionalFormatting sqref="D187:I187">
    <cfRule type="expression" dxfId="819" priority="57">
      <formula>$C$79=""</formula>
    </cfRule>
  </conditionalFormatting>
  <conditionalFormatting sqref="D223:I223">
    <cfRule type="expression" dxfId="818" priority="56">
      <formula>$C$79=""</formula>
    </cfRule>
  </conditionalFormatting>
  <conditionalFormatting sqref="D259:I259">
    <cfRule type="expression" dxfId="817" priority="55">
      <formula>$C$79=""</formula>
    </cfRule>
  </conditionalFormatting>
  <conditionalFormatting sqref="D295:I295">
    <cfRule type="expression" dxfId="816" priority="54">
      <formula>$C$79=""</formula>
    </cfRule>
  </conditionalFormatting>
  <conditionalFormatting sqref="D331:I331">
    <cfRule type="expression" dxfId="815" priority="53">
      <formula>$C$79=""</formula>
    </cfRule>
  </conditionalFormatting>
  <conditionalFormatting sqref="D367:I367">
    <cfRule type="expression" dxfId="814" priority="52">
      <formula>$C$79=""</formula>
    </cfRule>
  </conditionalFormatting>
  <conditionalFormatting sqref="D403:I403">
    <cfRule type="expression" dxfId="813" priority="51">
      <formula>$C$79=""</formula>
    </cfRule>
  </conditionalFormatting>
  <conditionalFormatting sqref="D31:I36">
    <cfRule type="expression" dxfId="812" priority="49">
      <formula>$C$43=""</formula>
    </cfRule>
  </conditionalFormatting>
  <conditionalFormatting sqref="F7:I7">
    <cfRule type="notContainsBlanks" dxfId="811" priority="48">
      <formula>LEN(TRIM(F7))&gt;0</formula>
    </cfRule>
  </conditionalFormatting>
  <conditionalFormatting sqref="R50">
    <cfRule type="notContainsBlanks" dxfId="810" priority="47">
      <formula>LEN(TRIM(R50))&gt;0</formula>
    </cfRule>
  </conditionalFormatting>
  <conditionalFormatting sqref="R86">
    <cfRule type="notContainsBlanks" dxfId="809" priority="46">
      <formula>LEN(TRIM(R86))&gt;0</formula>
    </cfRule>
  </conditionalFormatting>
  <conditionalFormatting sqref="R122">
    <cfRule type="notContainsBlanks" dxfId="808" priority="45">
      <formula>LEN(TRIM(R122))&gt;0</formula>
    </cfRule>
  </conditionalFormatting>
  <conditionalFormatting sqref="R158">
    <cfRule type="notContainsBlanks" dxfId="807" priority="44">
      <formula>LEN(TRIM(R158))&gt;0</formula>
    </cfRule>
  </conditionalFormatting>
  <conditionalFormatting sqref="R194">
    <cfRule type="notContainsBlanks" dxfId="806" priority="43">
      <formula>LEN(TRIM(R194))&gt;0</formula>
    </cfRule>
  </conditionalFormatting>
  <conditionalFormatting sqref="R230">
    <cfRule type="notContainsBlanks" dxfId="805" priority="42">
      <formula>LEN(TRIM(R230))&gt;0</formula>
    </cfRule>
  </conditionalFormatting>
  <conditionalFormatting sqref="R266">
    <cfRule type="notContainsBlanks" dxfId="804" priority="41">
      <formula>LEN(TRIM(R266))&gt;0</formula>
    </cfRule>
  </conditionalFormatting>
  <conditionalFormatting sqref="R302">
    <cfRule type="notContainsBlanks" dxfId="803" priority="40">
      <formula>LEN(TRIM(R302))&gt;0</formula>
    </cfRule>
  </conditionalFormatting>
  <conditionalFormatting sqref="R338">
    <cfRule type="notContainsBlanks" dxfId="802" priority="39">
      <formula>LEN(TRIM(R338))&gt;0</formula>
    </cfRule>
  </conditionalFormatting>
  <conditionalFormatting sqref="R374">
    <cfRule type="notContainsBlanks" dxfId="801" priority="38">
      <formula>LEN(TRIM(R374))&gt;0</formula>
    </cfRule>
  </conditionalFormatting>
  <conditionalFormatting sqref="D56:I56">
    <cfRule type="expression" dxfId="800" priority="37">
      <formula>PxPrevalent&lt;&gt;1</formula>
    </cfRule>
  </conditionalFormatting>
  <conditionalFormatting sqref="D92:I92">
    <cfRule type="expression" dxfId="799" priority="9">
      <formula>PxPrevalent&lt;&gt;1</formula>
    </cfRule>
  </conditionalFormatting>
  <conditionalFormatting sqref="D128:I128">
    <cfRule type="expression" dxfId="798" priority="8">
      <formula>PxPrevalent&lt;&gt;1</formula>
    </cfRule>
  </conditionalFormatting>
  <conditionalFormatting sqref="D164:I164">
    <cfRule type="expression" dxfId="797" priority="7">
      <formula>PxPrevalent&lt;&gt;1</formula>
    </cfRule>
  </conditionalFormatting>
  <conditionalFormatting sqref="D200:I200">
    <cfRule type="expression" dxfId="796" priority="6">
      <formula>PxPrevalent&lt;&gt;1</formula>
    </cfRule>
  </conditionalFormatting>
  <conditionalFormatting sqref="D236:I236">
    <cfRule type="expression" dxfId="795" priority="5">
      <formula>PxPrevalent&lt;&gt;1</formula>
    </cfRule>
  </conditionalFormatting>
  <conditionalFormatting sqref="D272:I272">
    <cfRule type="expression" dxfId="794" priority="4">
      <formula>PxPrevalent&lt;&gt;1</formula>
    </cfRule>
  </conditionalFormatting>
  <conditionalFormatting sqref="D308:I308">
    <cfRule type="expression" dxfId="793" priority="3">
      <formula>PxPrevalent&lt;&gt;1</formula>
    </cfRule>
  </conditionalFormatting>
  <conditionalFormatting sqref="D344:I344">
    <cfRule type="expression" dxfId="792" priority="2">
      <formula>PxPrevalent&lt;&gt;1</formula>
    </cfRule>
  </conditionalFormatting>
  <conditionalFormatting sqref="D380:I380">
    <cfRule type="expression" dxfId="791" priority="1">
      <formula>PxPrevalent&lt;&gt;1</formula>
    </cfRule>
  </conditionalFormatting>
  <dataValidations count="12">
    <dataValidation type="list" allowBlank="1" showInputMessage="1" showErrorMessage="1" sqref="F376:I376">
      <formula1>PPops10</formula1>
    </dataValidation>
    <dataValidation type="list" allowBlank="1" showInputMessage="1" showErrorMessage="1" sqref="D52 D88 D124 D160 D196 D232 D268 D304 D340 D376">
      <formula1>EPISource</formula1>
    </dataValidation>
    <dataValidation type="list" allowBlank="1" showInputMessage="1" showErrorMessage="1" sqref="F52:I52">
      <formula1>PPops01</formula1>
    </dataValidation>
    <dataValidation type="list" allowBlank="1" showInputMessage="1" showErrorMessage="1" sqref="F88:I88">
      <formula1>PPops02</formula1>
    </dataValidation>
    <dataValidation type="list" allowBlank="1" showInputMessage="1" showErrorMessage="1" sqref="F124:I124">
      <formula1>PPops03</formula1>
    </dataValidation>
    <dataValidation type="list" allowBlank="1" showInputMessage="1" showErrorMessage="1" sqref="F160:I160">
      <formula1>PPops04</formula1>
    </dataValidation>
    <dataValidation type="list" allowBlank="1" showInputMessage="1" showErrorMessage="1" sqref="F232:I232">
      <formula1>PPops06</formula1>
    </dataValidation>
    <dataValidation type="list" allowBlank="1" showInputMessage="1" showErrorMessage="1" sqref="F196:I196">
      <formula1>PPops05</formula1>
    </dataValidation>
    <dataValidation type="list" allowBlank="1" showInputMessage="1" showErrorMessage="1" sqref="F268:I268">
      <formula1>PPops07</formula1>
    </dataValidation>
    <dataValidation type="list" allowBlank="1" showInputMessage="1" showErrorMessage="1" sqref="F304:I304">
      <formula1>PPops08</formula1>
    </dataValidation>
    <dataValidation type="list" allowBlank="1" showInputMessage="1" showErrorMessage="1" sqref="F340:I340">
      <formula1>PPops09</formula1>
    </dataValidation>
    <dataValidation type="list" allowBlank="1" showInputMessage="1" showErrorMessage="1" sqref="D81 D117 D153 D189 D225 D261 D297 D333 D369 D405">
      <formula1>CoPayBands</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pageSetUpPr fitToPage="1"/>
  </sheetPr>
  <dimension ref="A1:O18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35.7109375" customWidth="1"/>
    <col min="4" max="9" width="15.7109375" customWidth="1"/>
    <col min="10" max="10" width="3.7109375" hidden="1" customWidth="1"/>
    <col min="11" max="13" width="12.7109375" hidden="1" customWidth="1"/>
    <col min="14" max="14" width="3.7109375" customWidth="1"/>
    <col min="15" max="15" width="50.7109375" customWidth="1"/>
    <col min="16" max="18" width="9.140625" customWidth="1"/>
  </cols>
  <sheetData>
    <row r="1" spans="1:15" ht="23.25" x14ac:dyDescent="0.2">
      <c r="A1" s="144">
        <f>IF((SUM(D42:I42)+SUM(D43:I43)&lt;&gt;0),2,0)</f>
        <v>0</v>
      </c>
      <c r="B1" s="144"/>
      <c r="C1" s="167" t="s">
        <v>746</v>
      </c>
      <c r="D1" s="168"/>
      <c r="E1" s="168"/>
      <c r="F1" s="168"/>
      <c r="G1" s="168"/>
      <c r="H1" s="168"/>
      <c r="I1" s="168"/>
      <c r="J1" s="168"/>
      <c r="K1" s="168"/>
      <c r="L1" s="168"/>
      <c r="M1" s="168"/>
      <c r="N1" s="168"/>
      <c r="O1" s="170" t="str">
        <f>IF(PxGrandfathered&lt;&gt;1,MsgNotRequired,"")</f>
        <v>** NOT REQUIRED **</v>
      </c>
    </row>
    <row r="2" spans="1:15" ht="15.75" x14ac:dyDescent="0.2">
      <c r="A2" s="168"/>
      <c r="B2" s="168"/>
      <c r="C2" s="147" t="str">
        <f>CONCATENATE("Name of medicine: ",MedicineBrand)</f>
        <v>Name of medicine:  (®)</v>
      </c>
      <c r="D2" s="168"/>
      <c r="E2" s="168"/>
      <c r="F2" s="168"/>
      <c r="G2" s="168"/>
      <c r="H2" s="168"/>
      <c r="I2" s="168"/>
      <c r="J2" s="168"/>
      <c r="K2" s="168"/>
      <c r="L2" s="168"/>
      <c r="M2" s="168"/>
      <c r="N2" s="168"/>
      <c r="O2" s="168"/>
    </row>
    <row r="3" spans="1:15" ht="15.75" x14ac:dyDescent="0.2">
      <c r="A3" s="168"/>
      <c r="B3" s="168"/>
      <c r="C3" s="147" t="str">
        <f>CONCATENATE("Indication: ", Indication)</f>
        <v xml:space="preserve">Indication: </v>
      </c>
      <c r="D3" s="168"/>
      <c r="E3" s="168"/>
      <c r="F3" s="168"/>
      <c r="G3" s="168"/>
      <c r="H3" s="168"/>
      <c r="I3" s="168"/>
      <c r="J3" s="168"/>
      <c r="K3" s="168"/>
      <c r="L3" s="168"/>
      <c r="M3" s="168"/>
      <c r="N3" s="168"/>
      <c r="O3" s="168"/>
    </row>
    <row r="4" spans="1:15" x14ac:dyDescent="0.2">
      <c r="A4" s="171"/>
      <c r="B4" s="171"/>
      <c r="C4" s="171"/>
      <c r="D4" s="6"/>
      <c r="E4" s="6"/>
      <c r="F4" s="6"/>
      <c r="G4" s="6"/>
      <c r="H4" s="6"/>
      <c r="I4" s="6"/>
      <c r="J4" s="171"/>
      <c r="K4" s="171"/>
      <c r="L4" s="171"/>
      <c r="M4" s="171"/>
      <c r="N4" s="171"/>
      <c r="O4" s="171"/>
    </row>
    <row r="5" spans="1:15" ht="15.75" x14ac:dyDescent="0.2">
      <c r="A5" s="173"/>
      <c r="B5" s="173"/>
      <c r="C5" s="174" t="s">
        <v>2</v>
      </c>
      <c r="D5" s="175"/>
      <c r="E5" s="175"/>
      <c r="F5" s="175"/>
      <c r="G5" s="175"/>
      <c r="H5" s="175"/>
      <c r="I5" s="175"/>
      <c r="J5" s="206"/>
      <c r="K5" s="173"/>
      <c r="L5" s="173"/>
      <c r="M5" s="173"/>
      <c r="N5" s="175"/>
      <c r="O5" s="175"/>
    </row>
    <row r="6" spans="1:15" x14ac:dyDescent="0.2">
      <c r="A6" s="171"/>
      <c r="B6" s="171"/>
      <c r="C6" s="171"/>
      <c r="D6" s="6"/>
      <c r="E6" s="6"/>
      <c r="F6" s="6"/>
      <c r="G6" s="6"/>
      <c r="H6" s="6"/>
      <c r="I6" s="6"/>
      <c r="J6" s="176"/>
      <c r="K6" s="171"/>
      <c r="L6" s="171"/>
      <c r="M6" s="171"/>
      <c r="N6" s="171"/>
      <c r="O6" s="171"/>
    </row>
    <row r="7" spans="1:15" x14ac:dyDescent="0.2">
      <c r="A7" s="171"/>
      <c r="B7" s="171"/>
      <c r="C7" s="6" t="s">
        <v>917</v>
      </c>
      <c r="D7" s="6"/>
      <c r="E7" s="6"/>
      <c r="F7" s="770" t="str">
        <f>IF(OR(K17&lt;&gt;0,K28&lt;&gt;0),MsgNote &amp; VLOOKUP("PerRate",WarningMessages,2,FALSE),"")</f>
        <v/>
      </c>
      <c r="G7" s="770"/>
      <c r="H7" s="770"/>
      <c r="I7" s="770"/>
      <c r="J7" s="104"/>
      <c r="K7" s="6"/>
      <c r="L7" s="6"/>
      <c r="M7" s="6"/>
      <c r="N7" s="171"/>
      <c r="O7" s="171"/>
    </row>
    <row r="8" spans="1:15" x14ac:dyDescent="0.2">
      <c r="A8" s="171"/>
      <c r="B8" s="171"/>
      <c r="C8" s="6"/>
      <c r="D8" s="6"/>
      <c r="E8" s="6"/>
      <c r="F8" s="6"/>
      <c r="G8" s="6"/>
      <c r="H8" s="6"/>
      <c r="I8" s="171"/>
      <c r="J8" s="176"/>
      <c r="K8" s="171"/>
      <c r="L8" s="171"/>
      <c r="M8" s="171"/>
      <c r="N8" s="171"/>
      <c r="O8" s="171"/>
    </row>
    <row r="9" spans="1:15" ht="15.75" x14ac:dyDescent="0.2">
      <c r="A9" s="176"/>
      <c r="B9" s="176"/>
      <c r="C9" s="174" t="s">
        <v>936</v>
      </c>
      <c r="D9" s="177"/>
      <c r="E9" s="177"/>
      <c r="F9" s="177"/>
      <c r="G9" s="177"/>
      <c r="H9" s="177"/>
      <c r="I9" s="178"/>
      <c r="J9" s="206"/>
      <c r="K9" s="176"/>
      <c r="L9" s="176"/>
      <c r="M9" s="176"/>
      <c r="N9" s="175"/>
      <c r="O9" s="175"/>
    </row>
    <row r="10" spans="1:15" x14ac:dyDescent="0.2">
      <c r="A10" s="6"/>
      <c r="B10" s="6"/>
      <c r="C10" s="6"/>
      <c r="D10" s="6"/>
      <c r="E10" s="6"/>
      <c r="F10" s="6"/>
      <c r="G10" s="6"/>
      <c r="H10" s="6"/>
      <c r="I10" s="6"/>
      <c r="J10" s="104"/>
      <c r="K10" s="6"/>
      <c r="L10" s="6"/>
      <c r="M10" s="6"/>
      <c r="N10" s="6"/>
      <c r="O10" s="6"/>
    </row>
    <row r="11" spans="1:15" x14ac:dyDescent="0.2">
      <c r="A11" s="6"/>
      <c r="B11" s="6"/>
      <c r="C11" s="6" t="s">
        <v>360</v>
      </c>
      <c r="D11" s="6"/>
      <c r="E11" s="6"/>
      <c r="F11" s="6"/>
      <c r="G11" s="6"/>
      <c r="H11" s="6"/>
      <c r="I11" s="6"/>
      <c r="J11" s="104"/>
      <c r="K11" s="6"/>
      <c r="L11" s="6"/>
      <c r="M11" s="6"/>
      <c r="N11" s="6"/>
      <c r="O11" s="6"/>
    </row>
    <row r="12" spans="1:15" x14ac:dyDescent="0.2">
      <c r="A12" s="6"/>
      <c r="B12" s="6"/>
      <c r="C12" s="155"/>
      <c r="D12" s="6"/>
      <c r="E12" s="6"/>
      <c r="F12" s="6"/>
      <c r="G12" s="6"/>
      <c r="H12" s="6"/>
      <c r="I12" s="6"/>
      <c r="J12" s="104"/>
      <c r="K12" s="6"/>
      <c r="L12" s="6"/>
      <c r="M12" s="6"/>
      <c r="N12" s="6"/>
      <c r="O12" s="6"/>
    </row>
    <row r="13" spans="1:15" x14ac:dyDescent="0.2">
      <c r="A13" s="6"/>
      <c r="B13" s="6"/>
      <c r="C13" s="155"/>
      <c r="D13" s="112">
        <f>FirstYear</f>
        <v>0</v>
      </c>
      <c r="E13" s="112">
        <f>D13+1</f>
        <v>1</v>
      </c>
      <c r="F13" s="112">
        <f>E13+1</f>
        <v>2</v>
      </c>
      <c r="G13" s="112">
        <f>F13+1</f>
        <v>3</v>
      </c>
      <c r="H13" s="112">
        <f>G13+1</f>
        <v>4</v>
      </c>
      <c r="I13" s="112">
        <f>H13+1</f>
        <v>5</v>
      </c>
      <c r="J13" s="104"/>
      <c r="K13" s="6"/>
      <c r="L13" s="6"/>
      <c r="M13" s="6"/>
      <c r="N13" s="6"/>
      <c r="O13" s="6"/>
    </row>
    <row r="14" spans="1:15" x14ac:dyDescent="0.2">
      <c r="A14" s="6"/>
      <c r="B14" s="6"/>
      <c r="C14" s="80" t="str">
        <f>TxPhase1PxTotal</f>
        <v/>
      </c>
      <c r="D14" s="47">
        <f t="shared" ref="D14:I14" si="0">IF(OR(ScriptSourceCode=1,ScriptSourceCode=3),D69+D96+D123+D150+D177,0)</f>
        <v>0</v>
      </c>
      <c r="E14" s="47">
        <f t="shared" si="0"/>
        <v>0</v>
      </c>
      <c r="F14" s="47">
        <f t="shared" si="0"/>
        <v>0</v>
      </c>
      <c r="G14" s="47">
        <f t="shared" si="0"/>
        <v>0</v>
      </c>
      <c r="H14" s="47">
        <f t="shared" si="0"/>
        <v>0</v>
      </c>
      <c r="I14" s="47">
        <f t="shared" si="0"/>
        <v>0</v>
      </c>
      <c r="J14" s="104"/>
      <c r="K14" s="6"/>
      <c r="L14" s="6"/>
      <c r="M14" s="6"/>
      <c r="N14" s="6"/>
      <c r="O14" s="6"/>
    </row>
    <row r="15" spans="1:15" x14ac:dyDescent="0.2">
      <c r="A15" s="6"/>
      <c r="B15" s="6"/>
      <c r="C15" s="80" t="str">
        <f>TxPhase2PxTotal</f>
        <v/>
      </c>
      <c r="D15" s="47">
        <f t="shared" ref="D15:I15" si="1">IF(OR(ScriptSourceCode=1,ScriptSourceCode=3),IF(TPAll=0,D70+D97+D124+D151+D178,0),0)</f>
        <v>0</v>
      </c>
      <c r="E15" s="47">
        <f t="shared" si="1"/>
        <v>0</v>
      </c>
      <c r="F15" s="47">
        <f t="shared" si="1"/>
        <v>0</v>
      </c>
      <c r="G15" s="47">
        <f t="shared" si="1"/>
        <v>0</v>
      </c>
      <c r="H15" s="47">
        <f t="shared" si="1"/>
        <v>0</v>
      </c>
      <c r="I15" s="47">
        <f t="shared" si="1"/>
        <v>0</v>
      </c>
      <c r="J15" s="181"/>
      <c r="K15" s="181"/>
      <c r="L15" s="181"/>
      <c r="M15" s="181"/>
      <c r="N15" s="181"/>
      <c r="O15" s="6"/>
    </row>
    <row r="16" spans="1:15" x14ac:dyDescent="0.2">
      <c r="A16" s="6"/>
      <c r="B16" s="6"/>
      <c r="C16" s="6"/>
      <c r="D16" s="182"/>
      <c r="E16" s="182"/>
      <c r="F16" s="182"/>
      <c r="G16" s="182"/>
      <c r="H16" s="182"/>
      <c r="I16" s="182"/>
      <c r="J16" s="104"/>
      <c r="K16" s="6"/>
      <c r="L16" s="6"/>
      <c r="M16" s="6"/>
      <c r="N16" s="6"/>
      <c r="O16" s="6"/>
    </row>
    <row r="17" spans="1:15" outlineLevel="1" x14ac:dyDescent="0.2">
      <c r="A17" s="6"/>
      <c r="B17" s="6"/>
      <c r="C17" s="590" t="s">
        <v>864</v>
      </c>
      <c r="D17" s="184"/>
      <c r="E17" s="182"/>
      <c r="F17" s="182"/>
      <c r="G17" s="182"/>
      <c r="H17" s="182"/>
      <c r="I17" s="182"/>
      <c r="J17" s="104"/>
      <c r="K17" s="666">
        <f>IF(D17&lt;&gt;"",D17,0)</f>
        <v>0</v>
      </c>
      <c r="L17" s="6"/>
      <c r="M17" s="6"/>
      <c r="N17" s="6"/>
      <c r="O17" s="6"/>
    </row>
    <row r="18" spans="1:15" s="570" customFormat="1" outlineLevel="1" x14ac:dyDescent="0.2">
      <c r="A18" s="572"/>
      <c r="B18" s="572"/>
      <c r="C18"/>
      <c r="D18"/>
      <c r="E18" s="182"/>
      <c r="F18" s="182"/>
      <c r="G18" s="182"/>
      <c r="H18" s="182"/>
      <c r="I18" s="182"/>
      <c r="J18" s="247"/>
      <c r="K18" s="572"/>
      <c r="L18" s="572"/>
      <c r="M18" s="572"/>
      <c r="N18" s="572"/>
      <c r="O18" s="572"/>
    </row>
    <row r="19" spans="1:15" outlineLevel="1" x14ac:dyDescent="0.2">
      <c r="A19" s="6"/>
      <c r="B19" s="6"/>
      <c r="C19" s="183" t="str">
        <f>C14</f>
        <v/>
      </c>
      <c r="D19" s="182"/>
      <c r="E19" s="182"/>
      <c r="F19" s="182"/>
      <c r="G19" s="182"/>
      <c r="H19" s="182"/>
      <c r="I19" s="182"/>
      <c r="J19" s="104"/>
      <c r="K19" s="6"/>
      <c r="L19" s="6"/>
      <c r="M19" s="6"/>
      <c r="N19" s="6"/>
      <c r="O19" s="6"/>
    </row>
    <row r="20" spans="1:15" outlineLevel="1" x14ac:dyDescent="0.2">
      <c r="A20" s="6"/>
      <c r="B20" s="6"/>
      <c r="C20" s="122" t="s">
        <v>317</v>
      </c>
      <c r="D20" s="86">
        <f>D14</f>
        <v>0</v>
      </c>
      <c r="E20" s="86">
        <f>D20*$K$17</f>
        <v>0</v>
      </c>
      <c r="F20" s="86">
        <f>E20*$K$17</f>
        <v>0</v>
      </c>
      <c r="G20" s="86">
        <f>F20*$K$17</f>
        <v>0</v>
      </c>
      <c r="H20" s="86">
        <f>G20*$K$17</f>
        <v>0</v>
      </c>
      <c r="I20" s="86">
        <f>H20*$K$17</f>
        <v>0</v>
      </c>
      <c r="J20" s="104"/>
      <c r="K20" s="6"/>
      <c r="L20" s="6"/>
      <c r="M20" s="6"/>
      <c r="N20" s="6"/>
      <c r="O20" s="6"/>
    </row>
    <row r="21" spans="1:15" outlineLevel="1" x14ac:dyDescent="0.2">
      <c r="A21" s="6"/>
      <c r="B21" s="6"/>
      <c r="C21" s="122" t="s">
        <v>318</v>
      </c>
      <c r="D21" s="185"/>
      <c r="E21" s="86">
        <f>E14</f>
        <v>0</v>
      </c>
      <c r="F21" s="86">
        <f>E21*$K$17</f>
        <v>0</v>
      </c>
      <c r="G21" s="86">
        <f>F21*$K$17</f>
        <v>0</v>
      </c>
      <c r="H21" s="86">
        <f>G21*$K$17</f>
        <v>0</v>
      </c>
      <c r="I21" s="86">
        <f>H21*$K$17</f>
        <v>0</v>
      </c>
      <c r="J21" s="104"/>
      <c r="K21" s="6"/>
      <c r="L21" s="6"/>
      <c r="M21" s="6"/>
      <c r="N21" s="6"/>
      <c r="O21" s="6"/>
    </row>
    <row r="22" spans="1:15" outlineLevel="1" x14ac:dyDescent="0.2">
      <c r="A22" s="6"/>
      <c r="B22" s="6"/>
      <c r="C22" s="122" t="s">
        <v>319</v>
      </c>
      <c r="D22" s="185"/>
      <c r="E22" s="185"/>
      <c r="F22" s="86">
        <f>F14</f>
        <v>0</v>
      </c>
      <c r="G22" s="86">
        <f>F22*$K$17</f>
        <v>0</v>
      </c>
      <c r="H22" s="86">
        <f>G22*$K$17</f>
        <v>0</v>
      </c>
      <c r="I22" s="86">
        <f>H22*$K$17</f>
        <v>0</v>
      </c>
      <c r="J22" s="104"/>
      <c r="K22" s="6"/>
      <c r="L22" s="6"/>
      <c r="M22" s="6"/>
      <c r="N22" s="6"/>
      <c r="O22" s="6"/>
    </row>
    <row r="23" spans="1:15" outlineLevel="1" x14ac:dyDescent="0.2">
      <c r="A23" s="6"/>
      <c r="B23" s="6"/>
      <c r="C23" s="122" t="s">
        <v>320</v>
      </c>
      <c r="D23" s="185"/>
      <c r="E23" s="185"/>
      <c r="F23" s="185"/>
      <c r="G23" s="86">
        <f>G14</f>
        <v>0</v>
      </c>
      <c r="H23" s="86">
        <f>G23*$K$17</f>
        <v>0</v>
      </c>
      <c r="I23" s="86">
        <f>H23*$K$17</f>
        <v>0</v>
      </c>
      <c r="J23" s="104"/>
      <c r="K23" s="6"/>
      <c r="L23" s="6"/>
      <c r="M23" s="6"/>
      <c r="N23" s="6"/>
      <c r="O23" s="6"/>
    </row>
    <row r="24" spans="1:15" outlineLevel="1" x14ac:dyDescent="0.2">
      <c r="A24" s="6"/>
      <c r="B24" s="6"/>
      <c r="C24" s="122" t="s">
        <v>321</v>
      </c>
      <c r="D24" s="185"/>
      <c r="E24" s="185"/>
      <c r="F24" s="185"/>
      <c r="G24" s="185"/>
      <c r="H24" s="86">
        <f>H14</f>
        <v>0</v>
      </c>
      <c r="I24" s="86">
        <f>H24*$K$17</f>
        <v>0</v>
      </c>
      <c r="J24" s="104"/>
      <c r="K24" s="6"/>
      <c r="L24" s="6"/>
      <c r="M24" s="6"/>
      <c r="N24" s="6"/>
      <c r="O24" s="6"/>
    </row>
    <row r="25" spans="1:15" outlineLevel="1" x14ac:dyDescent="0.2">
      <c r="A25" s="6"/>
      <c r="B25" s="6"/>
      <c r="C25" s="122" t="s">
        <v>322</v>
      </c>
      <c r="D25" s="185"/>
      <c r="E25" s="185"/>
      <c r="F25" s="185"/>
      <c r="G25" s="185"/>
      <c r="H25" s="185"/>
      <c r="I25" s="86">
        <f>I14</f>
        <v>0</v>
      </c>
      <c r="J25" s="104"/>
      <c r="K25" s="6"/>
      <c r="L25" s="6"/>
      <c r="M25" s="6"/>
      <c r="N25" s="6"/>
      <c r="O25" s="6"/>
    </row>
    <row r="26" spans="1:15" outlineLevel="1" x14ac:dyDescent="0.2">
      <c r="A26" s="6"/>
      <c r="B26" s="6"/>
      <c r="C26" s="122" t="s">
        <v>76</v>
      </c>
      <c r="D26" s="186">
        <f t="shared" ref="D26:I26" si="2">SUM(D20:D25)</f>
        <v>0</v>
      </c>
      <c r="E26" s="186">
        <f t="shared" si="2"/>
        <v>0</v>
      </c>
      <c r="F26" s="186">
        <f t="shared" si="2"/>
        <v>0</v>
      </c>
      <c r="G26" s="186">
        <f t="shared" si="2"/>
        <v>0</v>
      </c>
      <c r="H26" s="186">
        <f t="shared" si="2"/>
        <v>0</v>
      </c>
      <c r="I26" s="186">
        <f t="shared" si="2"/>
        <v>0</v>
      </c>
      <c r="J26" s="104"/>
      <c r="K26" s="6"/>
      <c r="L26" s="6"/>
      <c r="M26" s="6"/>
      <c r="N26" s="6"/>
      <c r="O26" s="6"/>
    </row>
    <row r="27" spans="1:15" x14ac:dyDescent="0.2">
      <c r="A27" s="6"/>
      <c r="B27" s="6"/>
      <c r="C27" s="6"/>
      <c r="D27" s="182"/>
      <c r="E27" s="182"/>
      <c r="F27" s="182"/>
      <c r="G27" s="182"/>
      <c r="H27" s="182"/>
      <c r="I27" s="182"/>
      <c r="J27" s="104"/>
      <c r="K27" s="6"/>
      <c r="L27" s="6"/>
      <c r="M27" s="6"/>
      <c r="N27" s="6"/>
      <c r="O27" s="6"/>
    </row>
    <row r="28" spans="1:15" s="570" customFormat="1" outlineLevel="1" x14ac:dyDescent="0.2">
      <c r="A28" s="572"/>
      <c r="B28" s="572"/>
      <c r="C28" s="590" t="s">
        <v>864</v>
      </c>
      <c r="D28" s="184"/>
      <c r="E28" s="182"/>
      <c r="F28" s="182"/>
      <c r="G28" s="182"/>
      <c r="H28" s="182"/>
      <c r="I28" s="182"/>
      <c r="J28" s="247"/>
      <c r="K28" s="666">
        <f>IF(D28&lt;&gt;"",D28,0)</f>
        <v>0</v>
      </c>
      <c r="L28" s="572"/>
      <c r="M28" s="572"/>
      <c r="N28" s="572"/>
      <c r="O28" s="572"/>
    </row>
    <row r="29" spans="1:15" s="570" customFormat="1" outlineLevel="1" x14ac:dyDescent="0.2">
      <c r="A29" s="572"/>
      <c r="B29" s="572"/>
      <c r="C29" s="572"/>
      <c r="D29" s="182"/>
      <c r="E29" s="182"/>
      <c r="F29" s="182"/>
      <c r="G29" s="182"/>
      <c r="H29" s="182"/>
      <c r="I29" s="182"/>
      <c r="J29" s="247"/>
      <c r="K29" s="572"/>
      <c r="L29" s="572"/>
      <c r="M29" s="572"/>
      <c r="N29" s="572"/>
      <c r="O29" s="572"/>
    </row>
    <row r="30" spans="1:15" outlineLevel="1" x14ac:dyDescent="0.2">
      <c r="A30" s="6"/>
      <c r="B30" s="6"/>
      <c r="C30" s="183" t="str">
        <f>C15</f>
        <v/>
      </c>
      <c r="D30" s="182"/>
      <c r="E30" s="182"/>
      <c r="F30" s="182"/>
      <c r="G30" s="182"/>
      <c r="H30" s="182"/>
      <c r="I30" s="182"/>
      <c r="J30" s="104"/>
      <c r="K30" s="6"/>
      <c r="L30" s="6"/>
      <c r="M30" s="6"/>
      <c r="N30" s="6"/>
      <c r="O30" s="6"/>
    </row>
    <row r="31" spans="1:15" outlineLevel="1" x14ac:dyDescent="0.2">
      <c r="A31" s="6"/>
      <c r="B31" s="6"/>
      <c r="C31" s="122" t="s">
        <v>317</v>
      </c>
      <c r="D31" s="86">
        <f>D15</f>
        <v>0</v>
      </c>
      <c r="E31" s="86">
        <f>D31*$K$28</f>
        <v>0</v>
      </c>
      <c r="F31" s="86">
        <f>E31*$K$28</f>
        <v>0</v>
      </c>
      <c r="G31" s="86">
        <f>F31*$K$28</f>
        <v>0</v>
      </c>
      <c r="H31" s="86">
        <f>G31*$K$28</f>
        <v>0</v>
      </c>
      <c r="I31" s="86">
        <f>H31*$K$28</f>
        <v>0</v>
      </c>
      <c r="J31" s="104"/>
      <c r="K31" s="6"/>
      <c r="L31" s="6"/>
      <c r="M31" s="6"/>
      <c r="N31" s="6"/>
      <c r="O31" s="6"/>
    </row>
    <row r="32" spans="1:15" outlineLevel="1" x14ac:dyDescent="0.2">
      <c r="A32" s="6"/>
      <c r="B32" s="6"/>
      <c r="C32" s="122" t="s">
        <v>318</v>
      </c>
      <c r="D32" s="185"/>
      <c r="E32" s="86">
        <f>E15</f>
        <v>0</v>
      </c>
      <c r="F32" s="86">
        <f>E32*$K$28</f>
        <v>0</v>
      </c>
      <c r="G32" s="86">
        <f>F32*$K$28</f>
        <v>0</v>
      </c>
      <c r="H32" s="86">
        <f>G32*$K$28</f>
        <v>0</v>
      </c>
      <c r="I32" s="86">
        <f>H32*$K$28</f>
        <v>0</v>
      </c>
      <c r="J32" s="104"/>
      <c r="K32" s="6"/>
      <c r="L32" s="6"/>
      <c r="M32" s="6"/>
      <c r="N32" s="6"/>
      <c r="O32" s="6"/>
    </row>
    <row r="33" spans="1:15" outlineLevel="1" x14ac:dyDescent="0.2">
      <c r="A33" s="6"/>
      <c r="B33" s="6"/>
      <c r="C33" s="122" t="s">
        <v>319</v>
      </c>
      <c r="D33" s="185"/>
      <c r="E33" s="185"/>
      <c r="F33" s="86">
        <f>F15</f>
        <v>0</v>
      </c>
      <c r="G33" s="86">
        <f>F33*$K$28</f>
        <v>0</v>
      </c>
      <c r="H33" s="86">
        <f>G33*$K$28</f>
        <v>0</v>
      </c>
      <c r="I33" s="86">
        <f>H33*$K$28</f>
        <v>0</v>
      </c>
      <c r="J33" s="104"/>
      <c r="K33" s="6"/>
      <c r="L33" s="6"/>
      <c r="M33" s="6"/>
      <c r="N33" s="6"/>
      <c r="O33" s="6"/>
    </row>
    <row r="34" spans="1:15" outlineLevel="1" x14ac:dyDescent="0.2">
      <c r="A34" s="6"/>
      <c r="B34" s="6"/>
      <c r="C34" s="122" t="s">
        <v>320</v>
      </c>
      <c r="D34" s="185"/>
      <c r="E34" s="185"/>
      <c r="F34" s="185"/>
      <c r="G34" s="86">
        <f>G15</f>
        <v>0</v>
      </c>
      <c r="H34" s="86">
        <f>G34*$K$28</f>
        <v>0</v>
      </c>
      <c r="I34" s="86">
        <f>H34*$K$28</f>
        <v>0</v>
      </c>
      <c r="J34" s="104"/>
      <c r="K34" s="6"/>
      <c r="L34" s="6"/>
      <c r="M34" s="6"/>
      <c r="N34" s="6"/>
      <c r="O34" s="6"/>
    </row>
    <row r="35" spans="1:15" outlineLevel="1" x14ac:dyDescent="0.2">
      <c r="A35" s="6"/>
      <c r="B35" s="6"/>
      <c r="C35" s="122" t="s">
        <v>321</v>
      </c>
      <c r="D35" s="185"/>
      <c r="E35" s="185"/>
      <c r="F35" s="185"/>
      <c r="G35" s="185"/>
      <c r="H35" s="86">
        <f>H15</f>
        <v>0</v>
      </c>
      <c r="I35" s="86">
        <f>H35*$K$28</f>
        <v>0</v>
      </c>
      <c r="J35" s="104"/>
      <c r="K35" s="6"/>
      <c r="L35" s="6"/>
      <c r="M35" s="6"/>
      <c r="N35" s="6"/>
      <c r="O35" s="6"/>
    </row>
    <row r="36" spans="1:15" outlineLevel="1" x14ac:dyDescent="0.2">
      <c r="A36" s="6"/>
      <c r="B36" s="6"/>
      <c r="C36" s="122" t="s">
        <v>322</v>
      </c>
      <c r="D36" s="185"/>
      <c r="E36" s="185"/>
      <c r="F36" s="185"/>
      <c r="G36" s="185"/>
      <c r="H36" s="185"/>
      <c r="I36" s="86">
        <f>I15</f>
        <v>0</v>
      </c>
      <c r="J36" s="104"/>
      <c r="K36" s="6"/>
      <c r="L36" s="6"/>
      <c r="M36" s="6"/>
      <c r="N36" s="6"/>
      <c r="O36" s="6"/>
    </row>
    <row r="37" spans="1:15" outlineLevel="1" x14ac:dyDescent="0.2">
      <c r="A37" s="6"/>
      <c r="B37" s="6"/>
      <c r="C37" s="122" t="s">
        <v>76</v>
      </c>
      <c r="D37" s="186">
        <f t="shared" ref="D37:I37" si="3">SUM(D31:D36)</f>
        <v>0</v>
      </c>
      <c r="E37" s="186">
        <f t="shared" si="3"/>
        <v>0</v>
      </c>
      <c r="F37" s="186">
        <f t="shared" si="3"/>
        <v>0</v>
      </c>
      <c r="G37" s="186">
        <f t="shared" si="3"/>
        <v>0</v>
      </c>
      <c r="H37" s="186">
        <f t="shared" si="3"/>
        <v>0</v>
      </c>
      <c r="I37" s="186">
        <f t="shared" si="3"/>
        <v>0</v>
      </c>
      <c r="J37" s="104"/>
      <c r="K37" s="6"/>
      <c r="L37" s="6"/>
      <c r="M37" s="6"/>
      <c r="N37" s="6"/>
      <c r="O37" s="6"/>
    </row>
    <row r="38" spans="1:15" outlineLevel="1" x14ac:dyDescent="0.2">
      <c r="A38" s="6"/>
      <c r="B38" s="6"/>
      <c r="C38" s="6"/>
      <c r="D38" s="182"/>
      <c r="E38" s="182"/>
      <c r="F38" s="182"/>
      <c r="G38" s="182"/>
      <c r="H38" s="182"/>
      <c r="I38" s="182"/>
      <c r="J38" s="104"/>
      <c r="K38" s="6"/>
      <c r="L38" s="6"/>
      <c r="M38" s="6"/>
      <c r="N38" s="6"/>
      <c r="O38" s="6"/>
    </row>
    <row r="39" spans="1:15" x14ac:dyDescent="0.2">
      <c r="A39" s="6"/>
      <c r="B39" s="6"/>
      <c r="C39" s="6" t="s">
        <v>297</v>
      </c>
      <c r="D39" s="6"/>
      <c r="E39" s="6"/>
      <c r="F39" s="6"/>
      <c r="G39" s="6"/>
      <c r="H39" s="6"/>
      <c r="I39" s="6"/>
      <c r="J39" s="104"/>
      <c r="K39" s="6"/>
      <c r="L39" s="6"/>
      <c r="M39" s="6"/>
      <c r="N39" s="6"/>
      <c r="O39" s="6"/>
    </row>
    <row r="40" spans="1:15" x14ac:dyDescent="0.2">
      <c r="A40" s="6"/>
      <c r="B40" s="6"/>
      <c r="C40" s="6"/>
      <c r="D40" s="6"/>
      <c r="E40" s="6"/>
      <c r="F40" s="6"/>
      <c r="G40" s="6"/>
      <c r="H40" s="6"/>
      <c r="I40" s="6"/>
      <c r="J40" s="104"/>
      <c r="K40" s="6"/>
      <c r="L40" s="6"/>
      <c r="M40" s="6"/>
      <c r="N40" s="6"/>
      <c r="O40" s="6"/>
    </row>
    <row r="41" spans="1:15" x14ac:dyDescent="0.2">
      <c r="A41" s="6"/>
      <c r="B41" s="6"/>
      <c r="C41" s="201"/>
      <c r="D41" s="112">
        <f>FirstYear</f>
        <v>0</v>
      </c>
      <c r="E41" s="112">
        <f>D41+1</f>
        <v>1</v>
      </c>
      <c r="F41" s="112">
        <f>E41+1</f>
        <v>2</v>
      </c>
      <c r="G41" s="112">
        <f>F41+1</f>
        <v>3</v>
      </c>
      <c r="H41" s="112">
        <f>G41+1</f>
        <v>4</v>
      </c>
      <c r="I41" s="112">
        <f>H41+1</f>
        <v>5</v>
      </c>
      <c r="J41" s="104"/>
      <c r="K41" s="6"/>
      <c r="L41" s="6"/>
      <c r="M41" s="6"/>
      <c r="N41" s="6"/>
      <c r="O41" s="6"/>
    </row>
    <row r="42" spans="1:15" x14ac:dyDescent="0.2">
      <c r="A42" s="6"/>
      <c r="B42" s="6"/>
      <c r="C42" s="80" t="str">
        <f>C14</f>
        <v/>
      </c>
      <c r="D42" s="47">
        <f t="shared" ref="D42:I42" si="4">IF(OR(ScriptSourceCode=1,ScriptSourceCode=3),IF(PxGrandfathered=1,D26,0),0)</f>
        <v>0</v>
      </c>
      <c r="E42" s="47">
        <f t="shared" si="4"/>
        <v>0</v>
      </c>
      <c r="F42" s="47">
        <f t="shared" si="4"/>
        <v>0</v>
      </c>
      <c r="G42" s="47">
        <f t="shared" si="4"/>
        <v>0</v>
      </c>
      <c r="H42" s="47">
        <f t="shared" si="4"/>
        <v>0</v>
      </c>
      <c r="I42" s="47">
        <f t="shared" si="4"/>
        <v>0</v>
      </c>
      <c r="J42" s="104"/>
      <c r="K42" s="6"/>
      <c r="L42" s="6"/>
      <c r="M42" s="6"/>
      <c r="N42" s="6"/>
      <c r="O42" s="6"/>
    </row>
    <row r="43" spans="1:15" x14ac:dyDescent="0.2">
      <c r="A43" s="6"/>
      <c r="B43" s="6"/>
      <c r="C43" s="80" t="str">
        <f>C15</f>
        <v/>
      </c>
      <c r="D43" s="47">
        <f t="shared" ref="D43:I43" si="5">IF(OR(ScriptSourceCode=1,ScriptSourceCode=3),IF(AND(TPAll=0,PxGrandfathered=1),D37,0),0)</f>
        <v>0</v>
      </c>
      <c r="E43" s="47">
        <f t="shared" si="5"/>
        <v>0</v>
      </c>
      <c r="F43" s="47">
        <f t="shared" si="5"/>
        <v>0</v>
      </c>
      <c r="G43" s="47">
        <f t="shared" si="5"/>
        <v>0</v>
      </c>
      <c r="H43" s="47">
        <f t="shared" si="5"/>
        <v>0</v>
      </c>
      <c r="I43" s="47">
        <f t="shared" si="5"/>
        <v>0</v>
      </c>
      <c r="J43" s="104"/>
      <c r="K43" s="6"/>
      <c r="L43" s="6"/>
      <c r="M43" s="6"/>
      <c r="N43" s="6"/>
      <c r="O43" s="6"/>
    </row>
    <row r="44" spans="1:15" x14ac:dyDescent="0.2">
      <c r="A44" s="6"/>
      <c r="B44" s="6"/>
      <c r="C44" s="6"/>
      <c r="D44" s="182"/>
      <c r="E44" s="182"/>
      <c r="F44" s="182"/>
      <c r="G44" s="182"/>
      <c r="H44" s="182"/>
      <c r="I44" s="182"/>
      <c r="J44" s="104"/>
      <c r="K44" s="6"/>
      <c r="L44" s="6"/>
      <c r="M44" s="6"/>
      <c r="N44" s="6"/>
      <c r="O44" s="6"/>
    </row>
    <row r="45" spans="1:15" x14ac:dyDescent="0.2">
      <c r="A45" s="6"/>
      <c r="B45" s="6"/>
      <c r="C45" s="6"/>
      <c r="D45" s="6"/>
      <c r="E45" s="6"/>
      <c r="F45" s="6"/>
      <c r="G45" s="6"/>
      <c r="H45" s="6"/>
      <c r="I45" s="6"/>
      <c r="J45" s="104"/>
      <c r="K45" s="6"/>
      <c r="L45" s="6"/>
      <c r="M45" s="6"/>
      <c r="N45" s="6"/>
      <c r="O45" s="6"/>
    </row>
    <row r="46" spans="1:15" ht="15.75" x14ac:dyDescent="0.2">
      <c r="A46" s="104"/>
      <c r="B46" s="104"/>
      <c r="C46" s="174" t="s">
        <v>1000</v>
      </c>
      <c r="D46" s="188"/>
      <c r="E46" s="188"/>
      <c r="F46" s="188"/>
      <c r="G46" s="188"/>
      <c r="H46" s="174"/>
      <c r="I46" s="207"/>
      <c r="J46" s="206"/>
      <c r="K46" s="187"/>
      <c r="L46" s="187"/>
      <c r="M46" s="187"/>
      <c r="N46" s="175"/>
      <c r="O46" s="189"/>
    </row>
    <row r="47" spans="1:15" x14ac:dyDescent="0.2">
      <c r="A47" s="179"/>
      <c r="B47" s="179"/>
      <c r="C47" s="179"/>
      <c r="D47" s="179"/>
      <c r="E47" s="179"/>
      <c r="F47" s="179"/>
      <c r="G47" s="179"/>
      <c r="H47" s="179"/>
      <c r="I47" s="179"/>
      <c r="J47" s="104"/>
      <c r="K47" s="179"/>
      <c r="L47" s="179"/>
      <c r="M47" s="179"/>
      <c r="N47" s="179"/>
      <c r="O47" s="179"/>
    </row>
    <row r="48" spans="1:15" ht="15.75" x14ac:dyDescent="0.2">
      <c r="A48" s="104"/>
      <c r="B48" s="190">
        <v>1</v>
      </c>
      <c r="C48" s="110" t="str">
        <f>IF(D53&lt;&gt;"",CONCATENATE("GF ",B48,": ",F53,I48),MsgNotUsed)</f>
        <v>** NOT USED **</v>
      </c>
      <c r="D48" s="188"/>
      <c r="E48" s="188"/>
      <c r="F48" s="188"/>
      <c r="G48" s="188"/>
      <c r="H48" s="191"/>
      <c r="I48" s="455" t="str">
        <f>IF(R52&lt;&gt;"",CONCATENATE(" (",R52,")"),"")</f>
        <v/>
      </c>
      <c r="J48" s="206"/>
      <c r="K48" s="187"/>
      <c r="L48" s="187"/>
      <c r="M48" s="187"/>
      <c r="N48" s="175"/>
      <c r="O48" s="189"/>
    </row>
    <row r="49" spans="1:15" outlineLevel="1" x14ac:dyDescent="0.2">
      <c r="A49" s="6"/>
      <c r="B49" s="6"/>
      <c r="C49" s="6"/>
      <c r="D49" s="6"/>
      <c r="E49" s="6"/>
      <c r="F49" s="6"/>
      <c r="G49" s="6"/>
      <c r="H49" s="6"/>
      <c r="I49" s="6"/>
      <c r="J49" s="104"/>
      <c r="K49" s="6"/>
      <c r="L49" s="6"/>
      <c r="M49" s="6"/>
      <c r="N49" s="6"/>
      <c r="O49" s="6"/>
    </row>
    <row r="50" spans="1:15" outlineLevel="1" x14ac:dyDescent="0.2">
      <c r="A50" s="6"/>
      <c r="B50" s="6"/>
      <c r="C50" s="572" t="s">
        <v>916</v>
      </c>
      <c r="D50" s="6"/>
      <c r="E50" s="6"/>
      <c r="F50" s="6"/>
      <c r="G50" s="6"/>
      <c r="H50" s="6"/>
      <c r="I50" s="6"/>
      <c r="J50" s="104"/>
      <c r="K50" s="6"/>
      <c r="L50" s="6"/>
      <c r="M50" s="6"/>
      <c r="N50" s="6"/>
      <c r="O50" s="6"/>
    </row>
    <row r="51" spans="1:15" outlineLevel="1" x14ac:dyDescent="0.2">
      <c r="A51" s="6"/>
      <c r="B51" s="6"/>
      <c r="C51" s="6" t="s">
        <v>921</v>
      </c>
      <c r="D51" s="6"/>
      <c r="E51" s="6"/>
      <c r="F51" s="6"/>
      <c r="G51" s="6"/>
      <c r="H51" s="6"/>
      <c r="I51" s="6"/>
      <c r="J51" s="104"/>
      <c r="K51" s="6"/>
      <c r="L51" s="6"/>
      <c r="M51" s="6"/>
      <c r="N51" s="6"/>
      <c r="O51" s="670" t="str">
        <f ca="1">IF(ISERROR($M57)=TRUE,MsgError &amp; VLOOKUP("BadPop",ErrorMessages,2,FALSE),"")</f>
        <v/>
      </c>
    </row>
    <row r="52" spans="1:15" outlineLevel="1" x14ac:dyDescent="0.2">
      <c r="A52" s="6"/>
      <c r="B52" s="6"/>
      <c r="C52" s="6"/>
      <c r="D52" s="6"/>
      <c r="E52" s="6"/>
      <c r="F52" s="6"/>
      <c r="G52" s="6"/>
      <c r="H52" s="6"/>
      <c r="I52" s="6"/>
      <c r="J52" s="104"/>
      <c r="K52" s="6"/>
      <c r="L52" s="6"/>
      <c r="M52" s="6"/>
      <c r="N52" s="6"/>
      <c r="O52" s="19" t="s">
        <v>470</v>
      </c>
    </row>
    <row r="53" spans="1:15" outlineLevel="1" x14ac:dyDescent="0.2">
      <c r="A53" s="6"/>
      <c r="B53" s="6"/>
      <c r="C53" s="22" t="s">
        <v>131</v>
      </c>
      <c r="D53" s="379"/>
      <c r="E53" s="194"/>
      <c r="F53" s="774"/>
      <c r="G53" s="781"/>
      <c r="H53" s="781"/>
      <c r="I53" s="781"/>
      <c r="J53" s="104"/>
      <c r="K53" s="6"/>
      <c r="L53" s="6"/>
      <c r="M53" s="6"/>
      <c r="N53" s="6"/>
      <c r="O53" s="344"/>
    </row>
    <row r="54" spans="1:15" outlineLevel="1" x14ac:dyDescent="0.2">
      <c r="A54" s="6"/>
      <c r="B54" s="6"/>
      <c r="C54" s="6"/>
      <c r="D54" s="600">
        <v>1</v>
      </c>
      <c r="E54" s="600">
        <v>2</v>
      </c>
      <c r="F54" s="600">
        <v>3</v>
      </c>
      <c r="G54" s="600">
        <v>4</v>
      </c>
      <c r="H54" s="600">
        <v>5</v>
      </c>
      <c r="I54" s="600">
        <v>6</v>
      </c>
      <c r="J54" s="104"/>
      <c r="K54" s="6"/>
      <c r="L54" s="6"/>
      <c r="M54" s="1"/>
      <c r="N54" s="6"/>
      <c r="O54" s="6"/>
    </row>
    <row r="55" spans="1:15" outlineLevel="1" x14ac:dyDescent="0.2">
      <c r="A55" s="6"/>
      <c r="B55" s="6"/>
      <c r="C55" s="6"/>
      <c r="D55" s="776" t="s">
        <v>11</v>
      </c>
      <c r="E55" s="776"/>
      <c r="F55" s="776"/>
      <c r="G55" s="776"/>
      <c r="H55" s="776"/>
      <c r="I55" s="776"/>
      <c r="J55" s="208"/>
      <c r="K55" s="1"/>
      <c r="L55" s="1"/>
      <c r="M55" s="1"/>
      <c r="N55" s="205"/>
      <c r="O55" s="6"/>
    </row>
    <row r="56" spans="1:15" outlineLevel="1" x14ac:dyDescent="0.2">
      <c r="A56" s="6"/>
      <c r="B56" s="6"/>
      <c r="C56" s="7"/>
      <c r="D56" s="676">
        <f>FirstYear</f>
        <v>0</v>
      </c>
      <c r="E56" s="676">
        <f>D56+1</f>
        <v>1</v>
      </c>
      <c r="F56" s="676">
        <f>E56+1</f>
        <v>2</v>
      </c>
      <c r="G56" s="676">
        <f>F56+1</f>
        <v>3</v>
      </c>
      <c r="H56" s="676">
        <f>G56+1</f>
        <v>4</v>
      </c>
      <c r="I56" s="676">
        <f>H56+1</f>
        <v>5</v>
      </c>
      <c r="J56" s="208"/>
      <c r="K56" s="316" t="s">
        <v>292</v>
      </c>
      <c r="L56" s="316" t="s">
        <v>52</v>
      </c>
      <c r="M56" s="316" t="s">
        <v>381</v>
      </c>
      <c r="N56" s="205"/>
      <c r="O56" s="6"/>
    </row>
    <row r="57" spans="1:15" outlineLevel="1" x14ac:dyDescent="0.2">
      <c r="A57" s="6"/>
      <c r="B57" s="6"/>
      <c r="C57" s="576" t="s">
        <v>879</v>
      </c>
      <c r="D57" s="596">
        <f t="shared" ref="D57:I57" ca="1" si="6">IF(AND(ISERROR($M57)&lt;&gt;TRUE,$F53&lt;&gt;""),INDEX(PxPopNumbers,$M57,D54),0)</f>
        <v>0</v>
      </c>
      <c r="E57" s="596">
        <f t="shared" ca="1" si="6"/>
        <v>0</v>
      </c>
      <c r="F57" s="596">
        <f t="shared" ca="1" si="6"/>
        <v>0</v>
      </c>
      <c r="G57" s="596">
        <f t="shared" ca="1" si="6"/>
        <v>0</v>
      </c>
      <c r="H57" s="596">
        <f t="shared" ca="1" si="6"/>
        <v>0</v>
      </c>
      <c r="I57" s="596">
        <f t="shared" ca="1" si="6"/>
        <v>0</v>
      </c>
      <c r="K57" s="598">
        <f>IF(D53&lt;&gt;"",MATCH(D53,EPISource,0)-1,0)</f>
        <v>0</v>
      </c>
      <c r="L57" s="598">
        <f ca="1">IF(F53&lt;&gt;"",MATCH(F53,OFFSET(References!$AB$7,0,K57,PxPopCount),0),0)</f>
        <v>0</v>
      </c>
      <c r="M57" s="598">
        <f ca="1">(K57*PxPopCount)+L57</f>
        <v>0</v>
      </c>
      <c r="N57" s="205"/>
    </row>
    <row r="58" spans="1:15" outlineLevel="1" x14ac:dyDescent="0.2"/>
    <row r="59" spans="1:15" s="570" customFormat="1" outlineLevel="1" x14ac:dyDescent="0.2">
      <c r="C59" s="579" t="s">
        <v>238</v>
      </c>
      <c r="O59" s="19" t="s">
        <v>292</v>
      </c>
    </row>
    <row r="60" spans="1:15" outlineLevel="1" x14ac:dyDescent="0.2">
      <c r="A60" s="6"/>
      <c r="B60" s="6"/>
      <c r="C60" s="578" t="s">
        <v>938</v>
      </c>
      <c r="D60" s="75"/>
      <c r="E60" s="75"/>
      <c r="F60" s="75"/>
      <c r="G60" s="75"/>
      <c r="H60" s="75"/>
      <c r="I60" s="75"/>
      <c r="J60" s="208"/>
      <c r="K60" s="1"/>
      <c r="L60" s="1"/>
      <c r="M60" s="331"/>
      <c r="N60" s="332"/>
      <c r="O60" s="500"/>
    </row>
    <row r="61" spans="1:15" outlineLevel="1" x14ac:dyDescent="0.2">
      <c r="A61" s="6"/>
      <c r="B61" s="6"/>
      <c r="C61" s="578" t="s">
        <v>922</v>
      </c>
      <c r="D61" s="47">
        <f t="shared" ref="D61:I61" ca="1" si="7">IF(D57&lt;&gt;"",D57*D60,0)</f>
        <v>0</v>
      </c>
      <c r="E61" s="47">
        <f t="shared" ca="1" si="7"/>
        <v>0</v>
      </c>
      <c r="F61" s="47">
        <f t="shared" ca="1" si="7"/>
        <v>0</v>
      </c>
      <c r="G61" s="47">
        <f t="shared" ca="1" si="7"/>
        <v>0</v>
      </c>
      <c r="H61" s="47">
        <f t="shared" ca="1" si="7"/>
        <v>0</v>
      </c>
      <c r="I61" s="47">
        <f t="shared" ca="1" si="7"/>
        <v>0</v>
      </c>
      <c r="J61" s="208"/>
      <c r="K61" s="1"/>
      <c r="M61" s="331"/>
      <c r="N61" s="205"/>
      <c r="O61" s="6"/>
    </row>
    <row r="62" spans="1:15" outlineLevel="1" x14ac:dyDescent="0.2">
      <c r="A62" s="172"/>
      <c r="B62" s="172"/>
      <c r="C62" s="172"/>
      <c r="D62" s="172"/>
      <c r="E62" s="172"/>
      <c r="F62" s="172"/>
      <c r="G62" s="172"/>
      <c r="H62" s="172"/>
      <c r="I62" s="172"/>
      <c r="J62" s="176"/>
      <c r="K62" s="172"/>
      <c r="L62" s="172"/>
      <c r="M62" s="172"/>
      <c r="N62" s="172"/>
      <c r="O62" s="172"/>
    </row>
    <row r="63" spans="1:15" outlineLevel="1" x14ac:dyDescent="0.2">
      <c r="A63" s="172"/>
      <c r="B63" s="172"/>
      <c r="C63" s="585" t="str">
        <f>TxPhase1Tx</f>
        <v/>
      </c>
      <c r="D63" s="155"/>
      <c r="E63" s="171"/>
      <c r="F63" s="171"/>
      <c r="G63" s="172"/>
      <c r="H63" s="172"/>
      <c r="I63" s="172"/>
      <c r="J63" s="176"/>
      <c r="N63" s="172"/>
      <c r="O63" s="19" t="s">
        <v>292</v>
      </c>
    </row>
    <row r="64" spans="1:15" outlineLevel="1" x14ac:dyDescent="0.2">
      <c r="A64" s="172"/>
      <c r="B64" s="172"/>
      <c r="C64" s="22" t="s">
        <v>109</v>
      </c>
      <c r="D64" s="75"/>
      <c r="E64" s="75"/>
      <c r="F64" s="75"/>
      <c r="G64" s="75"/>
      <c r="H64" s="75"/>
      <c r="I64" s="75"/>
      <c r="J64" s="176"/>
      <c r="N64" s="172"/>
      <c r="O64" s="501"/>
    </row>
    <row r="65" spans="1:15" ht="14.25" outlineLevel="1" x14ac:dyDescent="0.2">
      <c r="A65" s="172"/>
      <c r="B65" s="172"/>
      <c r="C65" s="172"/>
      <c r="D65" s="172"/>
      <c r="E65" s="200"/>
      <c r="F65" s="172"/>
      <c r="G65" s="172"/>
      <c r="H65" s="172"/>
      <c r="I65" s="172"/>
      <c r="J65" s="176"/>
      <c r="K65" s="171"/>
      <c r="L65" s="171"/>
      <c r="M65" s="171"/>
      <c r="N65" s="172"/>
      <c r="O65" s="172"/>
    </row>
    <row r="66" spans="1:15" outlineLevel="1" x14ac:dyDescent="0.2">
      <c r="A66" s="172"/>
      <c r="B66" s="172"/>
      <c r="C66" s="123" t="str">
        <f>TXPhase2Tx</f>
        <v/>
      </c>
      <c r="D66" s="201"/>
      <c r="E66" s="201"/>
      <c r="F66" s="172"/>
      <c r="G66" s="172"/>
      <c r="H66" s="172"/>
      <c r="I66" s="172"/>
      <c r="J66" s="176"/>
      <c r="K66" s="171"/>
      <c r="L66" s="171"/>
      <c r="M66" s="171"/>
      <c r="N66" s="172"/>
      <c r="O66" s="19" t="s">
        <v>292</v>
      </c>
    </row>
    <row r="67" spans="1:15" outlineLevel="1" x14ac:dyDescent="0.2">
      <c r="A67" s="172"/>
      <c r="B67" s="172"/>
      <c r="C67" s="123" t="str">
        <f>IF(C66&lt;&gt;"","Patients electing treatment (%)","")</f>
        <v/>
      </c>
      <c r="D67" s="75"/>
      <c r="E67" s="75"/>
      <c r="F67" s="75"/>
      <c r="G67" s="75"/>
      <c r="H67" s="75"/>
      <c r="I67" s="75"/>
      <c r="J67" s="176"/>
      <c r="K67" s="84"/>
      <c r="L67" s="172"/>
      <c r="M67" s="172"/>
      <c r="N67" s="172"/>
      <c r="O67" s="64"/>
    </row>
    <row r="68" spans="1:15" outlineLevel="1" x14ac:dyDescent="0.2">
      <c r="A68" s="172"/>
      <c r="B68" s="172"/>
      <c r="C68" s="172"/>
      <c r="D68" s="172"/>
      <c r="E68" s="172"/>
      <c r="F68" s="172"/>
      <c r="G68" s="172"/>
      <c r="H68" s="172"/>
      <c r="I68" s="172"/>
      <c r="J68" s="176"/>
      <c r="K68" s="172"/>
      <c r="L68" s="172"/>
      <c r="M68" s="172"/>
      <c r="N68" s="172"/>
      <c r="O68" s="172"/>
    </row>
    <row r="69" spans="1:15" outlineLevel="1" x14ac:dyDescent="0.2">
      <c r="A69" s="6"/>
      <c r="B69" s="6"/>
      <c r="C69" s="81" t="str">
        <f>TxPhase1Px</f>
        <v/>
      </c>
      <c r="D69" s="607">
        <f t="shared" ref="D69:I69" si="8">IF(TxPhase1&lt;&gt;"",D61*D64,0)</f>
        <v>0</v>
      </c>
      <c r="E69" s="607">
        <f t="shared" si="8"/>
        <v>0</v>
      </c>
      <c r="F69" s="607">
        <f t="shared" si="8"/>
        <v>0</v>
      </c>
      <c r="G69" s="607">
        <f t="shared" si="8"/>
        <v>0</v>
      </c>
      <c r="H69" s="607">
        <f t="shared" si="8"/>
        <v>0</v>
      </c>
      <c r="I69" s="607">
        <f t="shared" si="8"/>
        <v>0</v>
      </c>
      <c r="J69" s="598" t="str">
        <f>IF(D72&lt;&gt;"",D72,"")</f>
        <v/>
      </c>
      <c r="K69" s="6"/>
      <c r="L69" s="180"/>
      <c r="M69" s="180"/>
      <c r="N69" s="6"/>
      <c r="O69" s="6"/>
    </row>
    <row r="70" spans="1:15" outlineLevel="1" x14ac:dyDescent="0.2">
      <c r="A70" s="6"/>
      <c r="B70" s="6"/>
      <c r="C70" s="81" t="str">
        <f>TxPhase2Px</f>
        <v/>
      </c>
      <c r="D70" s="607">
        <f t="shared" ref="D70:I70" si="9">IF(TxPhase2&lt;&gt;"",D61*D67,0)</f>
        <v>0</v>
      </c>
      <c r="E70" s="607">
        <f t="shared" si="9"/>
        <v>0</v>
      </c>
      <c r="F70" s="607">
        <f t="shared" si="9"/>
        <v>0</v>
      </c>
      <c r="G70" s="607">
        <f t="shared" si="9"/>
        <v>0</v>
      </c>
      <c r="H70" s="607">
        <f t="shared" si="9"/>
        <v>0</v>
      </c>
      <c r="I70" s="607">
        <f t="shared" si="9"/>
        <v>0</v>
      </c>
      <c r="J70" s="598" t="str">
        <f>IF(D72&lt;&gt;"",D72,"")</f>
        <v/>
      </c>
      <c r="K70" s="6"/>
      <c r="L70" s="6"/>
      <c r="M70" s="6"/>
      <c r="N70" s="6"/>
      <c r="O70" s="6"/>
    </row>
    <row r="71" spans="1:15" s="570" customFormat="1" outlineLevel="1" x14ac:dyDescent="0.2">
      <c r="A71" s="572"/>
      <c r="B71" s="572"/>
      <c r="C71" s="572"/>
      <c r="D71" s="572"/>
      <c r="E71" s="572"/>
      <c r="F71" s="572"/>
      <c r="G71" s="572"/>
      <c r="H71" s="572"/>
      <c r="I71" s="572"/>
      <c r="J71" s="247"/>
      <c r="K71" s="572"/>
      <c r="L71" s="572"/>
      <c r="M71" s="572"/>
      <c r="N71" s="572"/>
      <c r="O71" s="572"/>
    </row>
    <row r="72" spans="1:15" s="570" customFormat="1" outlineLevel="1" x14ac:dyDescent="0.2">
      <c r="A72" s="572"/>
      <c r="B72" s="572"/>
      <c r="C72" s="122" t="s">
        <v>817</v>
      </c>
      <c r="D72" s="375"/>
      <c r="E72" s="572"/>
      <c r="F72" s="572"/>
      <c r="G72" s="572"/>
      <c r="H72" s="572"/>
      <c r="I72" s="572"/>
      <c r="J72" s="247"/>
      <c r="K72" s="572"/>
      <c r="L72" s="572"/>
      <c r="M72" s="572"/>
      <c r="N72" s="572"/>
      <c r="O72" s="572"/>
    </row>
    <row r="73" spans="1:15" outlineLevel="1" x14ac:dyDescent="0.2">
      <c r="A73" s="6"/>
      <c r="B73" s="6"/>
      <c r="C73" s="6"/>
      <c r="D73" s="6"/>
      <c r="E73" s="6"/>
      <c r="F73" s="6"/>
      <c r="G73" s="6"/>
      <c r="H73" s="6"/>
      <c r="I73" s="6"/>
      <c r="J73" s="104"/>
      <c r="K73" s="6"/>
      <c r="L73" s="6"/>
      <c r="M73" s="6"/>
      <c r="N73" s="6"/>
      <c r="O73" s="6"/>
    </row>
    <row r="74" spans="1:15" x14ac:dyDescent="0.2">
      <c r="A74" s="6"/>
      <c r="B74" s="6"/>
      <c r="C74" s="6"/>
      <c r="D74" s="6"/>
      <c r="E74" s="6"/>
      <c r="F74" s="6"/>
      <c r="G74" s="6"/>
      <c r="H74" s="6"/>
      <c r="I74" s="6"/>
      <c r="J74" s="104"/>
      <c r="K74" s="6"/>
      <c r="L74" s="6"/>
      <c r="M74" s="6"/>
      <c r="N74" s="6"/>
      <c r="O74" s="6"/>
    </row>
    <row r="75" spans="1:15" ht="15.75" x14ac:dyDescent="0.2">
      <c r="A75" s="104"/>
      <c r="B75" s="190">
        <v>2</v>
      </c>
      <c r="C75" s="110" t="str">
        <f>IF(D80&lt;&gt;"",CONCATENATE("GF ",B75,": ",F80,I75),MsgNotUsed)</f>
        <v>** NOT USED **</v>
      </c>
      <c r="D75" s="188"/>
      <c r="E75" s="188"/>
      <c r="F75" s="188"/>
      <c r="G75" s="188"/>
      <c r="H75" s="191"/>
      <c r="I75" s="455" t="str">
        <f>IF(R79&lt;&gt;"",CONCATENATE(" (",R79,")"),"")</f>
        <v/>
      </c>
      <c r="J75" s="206"/>
      <c r="K75" s="187"/>
      <c r="L75" s="187"/>
      <c r="M75" s="187"/>
      <c r="N75" s="175"/>
      <c r="O75" s="189"/>
    </row>
    <row r="76" spans="1:15" outlineLevel="1" x14ac:dyDescent="0.2">
      <c r="A76" s="6"/>
      <c r="B76" s="6"/>
      <c r="C76" s="6"/>
      <c r="D76" s="6"/>
      <c r="E76" s="6"/>
      <c r="F76" s="6"/>
      <c r="G76" s="6"/>
      <c r="H76" s="6"/>
      <c r="I76" s="6"/>
      <c r="J76" s="104"/>
      <c r="K76" s="6"/>
      <c r="L76" s="6"/>
      <c r="M76" s="6"/>
      <c r="N76" s="6"/>
      <c r="O76" s="6"/>
    </row>
    <row r="77" spans="1:15" outlineLevel="1" x14ac:dyDescent="0.2">
      <c r="A77" s="6"/>
      <c r="B77" s="6"/>
      <c r="C77" s="572" t="s">
        <v>916</v>
      </c>
      <c r="D77" s="6"/>
      <c r="E77" s="6"/>
      <c r="F77" s="6"/>
      <c r="G77" s="6"/>
      <c r="H77" s="6"/>
      <c r="I77" s="6"/>
      <c r="J77" s="104"/>
      <c r="K77" s="6"/>
      <c r="L77" s="6"/>
      <c r="M77" s="6"/>
      <c r="N77" s="6"/>
      <c r="O77" s="6"/>
    </row>
    <row r="78" spans="1:15" outlineLevel="1" x14ac:dyDescent="0.2">
      <c r="A78" s="6"/>
      <c r="B78" s="6"/>
      <c r="C78" s="6" t="s">
        <v>921</v>
      </c>
      <c r="D78" s="6"/>
      <c r="E78" s="6"/>
      <c r="F78" s="6"/>
      <c r="G78" s="6"/>
      <c r="H78" s="6"/>
      <c r="I78" s="6"/>
      <c r="J78" s="104"/>
      <c r="K78" s="6"/>
      <c r="L78" s="6"/>
      <c r="M78" s="6"/>
      <c r="N78" s="6"/>
      <c r="O78" s="6"/>
    </row>
    <row r="79" spans="1:15" outlineLevel="1" x14ac:dyDescent="0.2">
      <c r="A79" s="6"/>
      <c r="B79" s="6"/>
      <c r="C79" s="6"/>
      <c r="D79" s="6"/>
      <c r="E79" s="6"/>
      <c r="F79" s="6"/>
      <c r="G79" s="6"/>
      <c r="H79" s="6"/>
      <c r="I79" s="6"/>
      <c r="J79" s="104"/>
      <c r="K79" s="6"/>
      <c r="L79" s="6"/>
      <c r="M79" s="6"/>
      <c r="N79" s="6"/>
      <c r="O79" s="19" t="s">
        <v>470</v>
      </c>
    </row>
    <row r="80" spans="1:15" outlineLevel="1" x14ac:dyDescent="0.2">
      <c r="A80" s="6"/>
      <c r="B80" s="6"/>
      <c r="C80" s="22" t="s">
        <v>131</v>
      </c>
      <c r="D80" s="379"/>
      <c r="E80" s="194"/>
      <c r="F80" s="774"/>
      <c r="G80" s="781"/>
      <c r="H80" s="781"/>
      <c r="I80" s="781"/>
      <c r="J80" s="104"/>
      <c r="K80" s="6"/>
      <c r="L80" s="6"/>
      <c r="M80" s="6"/>
      <c r="N80" s="6"/>
      <c r="O80" s="347"/>
    </row>
    <row r="81" spans="1:15" outlineLevel="1" x14ac:dyDescent="0.2">
      <c r="A81" s="6"/>
      <c r="B81" s="6"/>
      <c r="C81" s="6"/>
      <c r="D81" s="600">
        <v>1</v>
      </c>
      <c r="E81" s="600">
        <v>2</v>
      </c>
      <c r="F81" s="600">
        <v>3</v>
      </c>
      <c r="G81" s="600">
        <v>4</v>
      </c>
      <c r="H81" s="600">
        <v>5</v>
      </c>
      <c r="I81" s="600">
        <v>6</v>
      </c>
      <c r="J81" s="104"/>
      <c r="K81" s="6"/>
      <c r="L81" s="6"/>
      <c r="M81" s="6"/>
      <c r="N81" s="6"/>
      <c r="O81" s="6"/>
    </row>
    <row r="82" spans="1:15" outlineLevel="1" x14ac:dyDescent="0.2">
      <c r="A82" s="6"/>
      <c r="B82" s="6"/>
      <c r="C82" s="6"/>
      <c r="D82" s="776" t="s">
        <v>11</v>
      </c>
      <c r="E82" s="776"/>
      <c r="F82" s="776"/>
      <c r="G82" s="776"/>
      <c r="H82" s="776"/>
      <c r="I82" s="776"/>
      <c r="J82" s="208"/>
      <c r="K82" s="1"/>
      <c r="L82" s="1"/>
      <c r="M82" s="1"/>
      <c r="N82" s="205"/>
      <c r="O82" s="6"/>
    </row>
    <row r="83" spans="1:15" outlineLevel="1" x14ac:dyDescent="0.2">
      <c r="A83" s="6"/>
      <c r="B83" s="6"/>
      <c r="C83" s="7"/>
      <c r="D83" s="676">
        <f>FirstYear</f>
        <v>0</v>
      </c>
      <c r="E83" s="676">
        <f>D83+1</f>
        <v>1</v>
      </c>
      <c r="F83" s="676">
        <f>E83+1</f>
        <v>2</v>
      </c>
      <c r="G83" s="676">
        <f>F83+1</f>
        <v>3</v>
      </c>
      <c r="H83" s="676">
        <f>G83+1</f>
        <v>4</v>
      </c>
      <c r="I83" s="676">
        <f>H83+1</f>
        <v>5</v>
      </c>
      <c r="J83" s="208"/>
      <c r="K83" s="316" t="s">
        <v>292</v>
      </c>
      <c r="L83" s="316" t="s">
        <v>52</v>
      </c>
      <c r="M83" s="316" t="s">
        <v>381</v>
      </c>
      <c r="N83" s="205"/>
      <c r="O83" s="6"/>
    </row>
    <row r="84" spans="1:15" outlineLevel="1" x14ac:dyDescent="0.2">
      <c r="A84" s="6"/>
      <c r="B84" s="6"/>
      <c r="C84" s="576" t="s">
        <v>879</v>
      </c>
      <c r="D84" s="596">
        <f t="shared" ref="D84:I84" ca="1" si="10">IF(AND(ISERROR($M84)&lt;&gt;TRUE,$F80&lt;&gt;""),INDEX(PxPopNumbers,$M84,D81),0)</f>
        <v>0</v>
      </c>
      <c r="E84" s="596">
        <f t="shared" ca="1" si="10"/>
        <v>0</v>
      </c>
      <c r="F84" s="596">
        <f t="shared" ca="1" si="10"/>
        <v>0</v>
      </c>
      <c r="G84" s="596">
        <f t="shared" ca="1" si="10"/>
        <v>0</v>
      </c>
      <c r="H84" s="596">
        <f t="shared" ca="1" si="10"/>
        <v>0</v>
      </c>
      <c r="I84" s="596">
        <f t="shared" ca="1" si="10"/>
        <v>0</v>
      </c>
      <c r="K84" s="198">
        <f>IF(D80&lt;&gt;"",MATCH(D80,EPISource,0)-1,0)</f>
        <v>0</v>
      </c>
      <c r="L84" s="198">
        <f ca="1">IF(F80&lt;&gt;"",MATCH(F80,OFFSET(References!$AB$7,0,K84,PxPopCount),0),0)</f>
        <v>0</v>
      </c>
      <c r="M84" s="198">
        <f ca="1">(K84*PxPopCount)+L84</f>
        <v>0</v>
      </c>
      <c r="N84" s="205"/>
    </row>
    <row r="85" spans="1:15" outlineLevel="1" x14ac:dyDescent="0.2"/>
    <row r="86" spans="1:15" s="570" customFormat="1" outlineLevel="1" x14ac:dyDescent="0.2">
      <c r="C86" s="579" t="s">
        <v>238</v>
      </c>
      <c r="O86" s="19" t="s">
        <v>292</v>
      </c>
    </row>
    <row r="87" spans="1:15" outlineLevel="1" x14ac:dyDescent="0.2">
      <c r="A87" s="6"/>
      <c r="B87" s="6"/>
      <c r="C87" s="578" t="s">
        <v>938</v>
      </c>
      <c r="D87" s="75"/>
      <c r="E87" s="75"/>
      <c r="F87" s="75"/>
      <c r="G87" s="75"/>
      <c r="H87" s="75"/>
      <c r="I87" s="75"/>
      <c r="J87" s="208"/>
      <c r="K87" s="1"/>
      <c r="L87" s="1"/>
      <c r="M87" s="331"/>
      <c r="N87" s="332"/>
      <c r="O87" s="64"/>
    </row>
    <row r="88" spans="1:15" outlineLevel="1" x14ac:dyDescent="0.2">
      <c r="A88" s="6"/>
      <c r="B88" s="6"/>
      <c r="C88" s="22" t="s">
        <v>922</v>
      </c>
      <c r="D88" s="47">
        <f t="shared" ref="D88:I88" ca="1" si="11">IF(D84&lt;&gt;"",D84*D87,0)</f>
        <v>0</v>
      </c>
      <c r="E88" s="47">
        <f t="shared" ca="1" si="11"/>
        <v>0</v>
      </c>
      <c r="F88" s="47">
        <f t="shared" ca="1" si="11"/>
        <v>0</v>
      </c>
      <c r="G88" s="47">
        <f t="shared" ca="1" si="11"/>
        <v>0</v>
      </c>
      <c r="H88" s="47">
        <f t="shared" ca="1" si="11"/>
        <v>0</v>
      </c>
      <c r="I88" s="47">
        <f t="shared" ca="1" si="11"/>
        <v>0</v>
      </c>
      <c r="J88" s="208"/>
      <c r="K88" s="1"/>
      <c r="M88" s="331"/>
      <c r="N88" s="205"/>
      <c r="O88" s="6"/>
    </row>
    <row r="89" spans="1:15" outlineLevel="1" x14ac:dyDescent="0.2">
      <c r="A89" s="172"/>
      <c r="B89" s="172"/>
      <c r="C89" s="172"/>
      <c r="D89" s="172"/>
      <c r="E89" s="172"/>
      <c r="F89" s="172"/>
      <c r="G89" s="172"/>
      <c r="H89" s="172"/>
      <c r="I89" s="172"/>
      <c r="J89" s="176"/>
      <c r="K89" s="172"/>
      <c r="L89" s="172"/>
      <c r="M89" s="172"/>
      <c r="N89" s="172"/>
      <c r="O89" s="172"/>
    </row>
    <row r="90" spans="1:15" outlineLevel="1" x14ac:dyDescent="0.2">
      <c r="A90" s="172"/>
      <c r="B90" s="172"/>
      <c r="C90" s="585" t="str">
        <f>TxPhase1Tx</f>
        <v/>
      </c>
      <c r="D90" s="155"/>
      <c r="E90" s="171"/>
      <c r="F90" s="171"/>
      <c r="G90" s="172"/>
      <c r="H90" s="172"/>
      <c r="I90" s="172"/>
      <c r="J90" s="176"/>
      <c r="N90" s="172"/>
      <c r="O90" s="19" t="s">
        <v>292</v>
      </c>
    </row>
    <row r="91" spans="1:15" outlineLevel="1" x14ac:dyDescent="0.2">
      <c r="A91" s="172"/>
      <c r="B91" s="172"/>
      <c r="C91" s="81" t="str">
        <f>C64</f>
        <v>Patients electing treatment (%)</v>
      </c>
      <c r="D91" s="75"/>
      <c r="E91" s="75"/>
      <c r="F91" s="75"/>
      <c r="G91" s="75"/>
      <c r="H91" s="75"/>
      <c r="I91" s="75"/>
      <c r="J91" s="176"/>
      <c r="N91" s="172"/>
      <c r="O91" s="64"/>
    </row>
    <row r="92" spans="1:15" ht="14.25" outlineLevel="1" x14ac:dyDescent="0.2">
      <c r="A92" s="172"/>
      <c r="B92" s="172"/>
      <c r="C92" s="172"/>
      <c r="D92" s="172"/>
      <c r="E92" s="200"/>
      <c r="F92" s="172"/>
      <c r="G92" s="172"/>
      <c r="H92" s="172"/>
      <c r="I92" s="172"/>
      <c r="J92" s="176"/>
      <c r="K92" s="172"/>
      <c r="L92" s="171"/>
      <c r="M92" s="171"/>
      <c r="N92" s="172"/>
      <c r="O92" s="172"/>
    </row>
    <row r="93" spans="1:15" outlineLevel="1" x14ac:dyDescent="0.2">
      <c r="A93" s="172"/>
      <c r="B93" s="172"/>
      <c r="C93" s="590" t="str">
        <f>TXPhase2Tx</f>
        <v/>
      </c>
      <c r="D93" s="155"/>
      <c r="E93" s="171"/>
      <c r="F93" s="172"/>
      <c r="G93" s="172"/>
      <c r="H93" s="172"/>
      <c r="I93" s="172"/>
      <c r="J93" s="176"/>
      <c r="K93" s="172"/>
      <c r="L93" s="171"/>
      <c r="M93" s="171"/>
      <c r="N93" s="172"/>
      <c r="O93" s="19" t="s">
        <v>292</v>
      </c>
    </row>
    <row r="94" spans="1:15" outlineLevel="1" x14ac:dyDescent="0.2">
      <c r="A94" s="172"/>
      <c r="B94" s="172"/>
      <c r="C94" s="123" t="str">
        <f>C67</f>
        <v/>
      </c>
      <c r="D94" s="75"/>
      <c r="E94" s="75"/>
      <c r="F94" s="75"/>
      <c r="G94" s="75"/>
      <c r="H94" s="75"/>
      <c r="I94" s="75"/>
      <c r="J94" s="176"/>
      <c r="K94" s="6"/>
      <c r="L94" s="172"/>
      <c r="M94" s="172"/>
      <c r="N94" s="172"/>
      <c r="O94" s="64"/>
    </row>
    <row r="95" spans="1:15" outlineLevel="1" x14ac:dyDescent="0.2">
      <c r="A95" s="172"/>
      <c r="B95" s="172"/>
      <c r="C95" s="172"/>
      <c r="D95" s="172"/>
      <c r="E95" s="172"/>
      <c r="F95" s="172"/>
      <c r="G95" s="172"/>
      <c r="H95" s="172"/>
      <c r="I95" s="172"/>
      <c r="J95" s="176"/>
      <c r="K95" s="172"/>
      <c r="L95" s="172"/>
      <c r="M95" s="172"/>
      <c r="N95" s="172"/>
      <c r="O95" s="172"/>
    </row>
    <row r="96" spans="1:15" outlineLevel="1" x14ac:dyDescent="0.2">
      <c r="A96" s="6"/>
      <c r="B96" s="6"/>
      <c r="C96" s="585" t="str">
        <f>TxPhase1Px</f>
        <v/>
      </c>
      <c r="D96" s="607">
        <f t="shared" ref="D96:I96" si="12">IF(TxPhase1&lt;&gt;"",D88*D91,0)</f>
        <v>0</v>
      </c>
      <c r="E96" s="607">
        <f t="shared" si="12"/>
        <v>0</v>
      </c>
      <c r="F96" s="607">
        <f t="shared" si="12"/>
        <v>0</v>
      </c>
      <c r="G96" s="607">
        <f t="shared" si="12"/>
        <v>0</v>
      </c>
      <c r="H96" s="607">
        <f t="shared" si="12"/>
        <v>0</v>
      </c>
      <c r="I96" s="607">
        <f t="shared" si="12"/>
        <v>0</v>
      </c>
      <c r="J96" s="598" t="str">
        <f>IF(D99&lt;&gt;"",D99,"")</f>
        <v/>
      </c>
      <c r="K96" s="6"/>
      <c r="L96" s="180"/>
      <c r="M96" s="180"/>
      <c r="N96" s="6"/>
      <c r="O96" s="6"/>
    </row>
    <row r="97" spans="1:15" outlineLevel="1" x14ac:dyDescent="0.2">
      <c r="A97" s="6"/>
      <c r="B97" s="6"/>
      <c r="C97" s="585" t="str">
        <f>TxPhase2Px</f>
        <v/>
      </c>
      <c r="D97" s="607">
        <f t="shared" ref="D97:I97" si="13">IF(TxPhase2&lt;&gt;"",D88*D94,0)</f>
        <v>0</v>
      </c>
      <c r="E97" s="607">
        <f t="shared" si="13"/>
        <v>0</v>
      </c>
      <c r="F97" s="607">
        <f t="shared" si="13"/>
        <v>0</v>
      </c>
      <c r="G97" s="607">
        <f t="shared" si="13"/>
        <v>0</v>
      </c>
      <c r="H97" s="607">
        <f t="shared" si="13"/>
        <v>0</v>
      </c>
      <c r="I97" s="607">
        <f t="shared" si="13"/>
        <v>0</v>
      </c>
      <c r="J97" s="598" t="str">
        <f>IF(D99&lt;&gt;"",D99,"")</f>
        <v/>
      </c>
      <c r="K97" s="6"/>
      <c r="L97" s="6"/>
      <c r="M97" s="6"/>
      <c r="N97" s="6"/>
      <c r="O97" s="6"/>
    </row>
    <row r="98" spans="1:15" s="570" customFormat="1" outlineLevel="1" x14ac:dyDescent="0.2">
      <c r="A98" s="572"/>
      <c r="B98" s="572"/>
      <c r="C98" s="572"/>
      <c r="D98" s="572"/>
      <c r="E98" s="572"/>
      <c r="F98" s="572"/>
      <c r="G98" s="572"/>
      <c r="H98" s="572"/>
      <c r="I98" s="572"/>
      <c r="J98" s="247"/>
      <c r="K98" s="572"/>
      <c r="L98" s="572"/>
      <c r="M98" s="572"/>
      <c r="N98" s="572"/>
      <c r="O98" s="572"/>
    </row>
    <row r="99" spans="1:15" s="570" customFormat="1" outlineLevel="1" x14ac:dyDescent="0.2">
      <c r="A99" s="572"/>
      <c r="B99" s="572"/>
      <c r="C99" s="122" t="s">
        <v>817</v>
      </c>
      <c r="D99" s="375"/>
      <c r="E99" s="572"/>
      <c r="F99" s="572"/>
      <c r="G99" s="572"/>
      <c r="H99" s="572"/>
      <c r="I99" s="572"/>
      <c r="J99" s="247"/>
      <c r="K99" s="572"/>
      <c r="L99" s="572"/>
      <c r="M99" s="572"/>
      <c r="N99" s="572"/>
      <c r="O99" s="572"/>
    </row>
    <row r="100" spans="1:15" outlineLevel="1" x14ac:dyDescent="0.2">
      <c r="A100" s="6"/>
      <c r="B100" s="6"/>
      <c r="C100" s="6"/>
      <c r="D100" s="6"/>
      <c r="E100" s="6"/>
      <c r="F100" s="6"/>
      <c r="G100" s="6"/>
      <c r="H100" s="6"/>
      <c r="I100" s="6"/>
      <c r="J100" s="104"/>
      <c r="K100" s="6"/>
      <c r="L100" s="6"/>
      <c r="M100" s="6"/>
      <c r="N100" s="6"/>
      <c r="O100" s="6"/>
    </row>
    <row r="101" spans="1:15" x14ac:dyDescent="0.2">
      <c r="A101" s="6"/>
      <c r="B101" s="6"/>
      <c r="C101" s="6"/>
      <c r="D101" s="6"/>
      <c r="E101" s="6"/>
      <c r="F101" s="6"/>
      <c r="G101" s="6"/>
      <c r="H101" s="6"/>
      <c r="I101" s="6"/>
      <c r="J101" s="104"/>
      <c r="K101" s="6"/>
      <c r="L101" s="6"/>
      <c r="M101" s="6"/>
      <c r="N101" s="6"/>
      <c r="O101" s="6"/>
    </row>
    <row r="102" spans="1:15" ht="15.75" x14ac:dyDescent="0.2">
      <c r="A102" s="104"/>
      <c r="B102" s="190">
        <v>3</v>
      </c>
      <c r="C102" s="110" t="str">
        <f>IF(D107&lt;&gt;"",CONCATENATE("GF ",B102,": ",F107,I102),MsgNotUsed)</f>
        <v>** NOT USED **</v>
      </c>
      <c r="D102" s="188"/>
      <c r="E102" s="188"/>
      <c r="F102" s="188"/>
      <c r="G102" s="188"/>
      <c r="H102" s="191"/>
      <c r="I102" s="455" t="str">
        <f>IF(R106&lt;&gt;"",CONCATENATE(" (",R106,")"),"")</f>
        <v/>
      </c>
      <c r="J102" s="206"/>
      <c r="K102" s="187"/>
      <c r="L102" s="187"/>
      <c r="M102" s="187"/>
      <c r="N102" s="175"/>
      <c r="O102" s="189"/>
    </row>
    <row r="103" spans="1:15" outlineLevel="1" x14ac:dyDescent="0.2">
      <c r="A103" s="6"/>
      <c r="B103" s="6"/>
      <c r="C103" s="6"/>
      <c r="D103" s="6"/>
      <c r="E103" s="6"/>
      <c r="F103" s="6"/>
      <c r="G103" s="6"/>
      <c r="H103" s="6"/>
      <c r="I103" s="6"/>
      <c r="J103" s="104"/>
      <c r="K103" s="6"/>
      <c r="L103" s="6"/>
      <c r="M103" s="6"/>
      <c r="N103" s="6"/>
      <c r="O103" s="6"/>
    </row>
    <row r="104" spans="1:15" outlineLevel="1" x14ac:dyDescent="0.2">
      <c r="A104" s="6"/>
      <c r="B104" s="6"/>
      <c r="C104" s="572" t="s">
        <v>916</v>
      </c>
      <c r="D104" s="6"/>
      <c r="E104" s="6"/>
      <c r="F104" s="6"/>
      <c r="G104" s="6"/>
      <c r="H104" s="6"/>
      <c r="I104" s="6"/>
      <c r="J104" s="104"/>
      <c r="K104" s="6"/>
      <c r="L104" s="6"/>
      <c r="M104" s="6"/>
      <c r="N104" s="6"/>
      <c r="O104" s="6"/>
    </row>
    <row r="105" spans="1:15" outlineLevel="1" x14ac:dyDescent="0.2">
      <c r="A105" s="6"/>
      <c r="B105" s="6"/>
      <c r="C105" s="6" t="s">
        <v>921</v>
      </c>
      <c r="D105" s="6"/>
      <c r="E105" s="6"/>
      <c r="F105" s="6"/>
      <c r="G105" s="6"/>
      <c r="H105" s="6"/>
      <c r="I105" s="6"/>
      <c r="J105" s="104"/>
      <c r="K105" s="6"/>
      <c r="L105" s="6"/>
      <c r="M105" s="6"/>
      <c r="N105" s="6"/>
      <c r="O105" s="6"/>
    </row>
    <row r="106" spans="1:15" outlineLevel="1" x14ac:dyDescent="0.2">
      <c r="A106" s="6"/>
      <c r="B106" s="6"/>
      <c r="C106" s="6"/>
      <c r="D106" s="6"/>
      <c r="E106" s="6"/>
      <c r="F106" s="6"/>
      <c r="G106" s="6"/>
      <c r="H106" s="6"/>
      <c r="I106" s="6"/>
      <c r="J106" s="104"/>
      <c r="K106" s="6"/>
      <c r="L106" s="6"/>
      <c r="M106" s="6"/>
      <c r="N106" s="6"/>
      <c r="O106" s="19" t="s">
        <v>470</v>
      </c>
    </row>
    <row r="107" spans="1:15" outlineLevel="1" x14ac:dyDescent="0.2">
      <c r="A107" s="6"/>
      <c r="B107" s="6"/>
      <c r="C107" s="22" t="s">
        <v>131</v>
      </c>
      <c r="D107" s="379"/>
      <c r="E107" s="194"/>
      <c r="F107" s="774"/>
      <c r="G107" s="781"/>
      <c r="H107" s="781"/>
      <c r="I107" s="781"/>
      <c r="J107" s="104"/>
      <c r="K107" s="6"/>
      <c r="L107" s="6"/>
      <c r="M107" s="6"/>
      <c r="N107" s="6"/>
      <c r="O107" s="347"/>
    </row>
    <row r="108" spans="1:15" outlineLevel="1" x14ac:dyDescent="0.2">
      <c r="A108" s="6"/>
      <c r="B108" s="6"/>
      <c r="C108" s="6"/>
      <c r="D108" s="600">
        <v>1</v>
      </c>
      <c r="E108" s="600">
        <v>2</v>
      </c>
      <c r="F108" s="600">
        <v>3</v>
      </c>
      <c r="G108" s="600">
        <v>4</v>
      </c>
      <c r="H108" s="600">
        <v>5</v>
      </c>
      <c r="I108" s="600">
        <v>6</v>
      </c>
      <c r="J108" s="104"/>
      <c r="K108" s="6"/>
      <c r="L108" s="6"/>
      <c r="M108" s="6"/>
      <c r="N108" s="6"/>
      <c r="O108" s="6"/>
    </row>
    <row r="109" spans="1:15" outlineLevel="1" x14ac:dyDescent="0.2">
      <c r="A109" s="6"/>
      <c r="B109" s="6"/>
      <c r="C109" s="6"/>
      <c r="D109" s="776" t="s">
        <v>11</v>
      </c>
      <c r="E109" s="776"/>
      <c r="F109" s="776"/>
      <c r="G109" s="776"/>
      <c r="H109" s="776"/>
      <c r="I109" s="776"/>
      <c r="J109" s="208"/>
      <c r="K109" s="1"/>
      <c r="L109" s="1"/>
      <c r="M109" s="1"/>
      <c r="N109" s="205"/>
      <c r="O109" s="6"/>
    </row>
    <row r="110" spans="1:15" outlineLevel="1" x14ac:dyDescent="0.2">
      <c r="A110" s="6"/>
      <c r="B110" s="6"/>
      <c r="C110" s="7"/>
      <c r="D110" s="676">
        <f>FirstYear</f>
        <v>0</v>
      </c>
      <c r="E110" s="676">
        <f>D110+1</f>
        <v>1</v>
      </c>
      <c r="F110" s="676">
        <f>E110+1</f>
        <v>2</v>
      </c>
      <c r="G110" s="676">
        <f>F110+1</f>
        <v>3</v>
      </c>
      <c r="H110" s="676">
        <f>G110+1</f>
        <v>4</v>
      </c>
      <c r="I110" s="676">
        <f>H110+1</f>
        <v>5</v>
      </c>
      <c r="J110" s="208"/>
      <c r="K110" s="316" t="s">
        <v>292</v>
      </c>
      <c r="L110" s="316" t="s">
        <v>52</v>
      </c>
      <c r="M110" s="316" t="s">
        <v>381</v>
      </c>
      <c r="N110" s="205"/>
      <c r="O110" s="6"/>
    </row>
    <row r="111" spans="1:15" outlineLevel="1" x14ac:dyDescent="0.2">
      <c r="A111" s="6"/>
      <c r="B111" s="6"/>
      <c r="C111" s="576" t="s">
        <v>879</v>
      </c>
      <c r="D111" s="596">
        <f t="shared" ref="D111:I111" ca="1" si="14">IF(AND(ISERROR($M111)&lt;&gt;TRUE,$F107&lt;&gt;""),INDEX(PxPopNumbers,$M111,D108),0)</f>
        <v>0</v>
      </c>
      <c r="E111" s="596">
        <f t="shared" ca="1" si="14"/>
        <v>0</v>
      </c>
      <c r="F111" s="596">
        <f t="shared" ca="1" si="14"/>
        <v>0</v>
      </c>
      <c r="G111" s="596">
        <f t="shared" ca="1" si="14"/>
        <v>0</v>
      </c>
      <c r="H111" s="596">
        <f t="shared" ca="1" si="14"/>
        <v>0</v>
      </c>
      <c r="I111" s="596">
        <f t="shared" ca="1" si="14"/>
        <v>0</v>
      </c>
      <c r="K111" s="198">
        <f>IF(D107&lt;&gt;"",MATCH(D107,EPISource,0)-1,0)</f>
        <v>0</v>
      </c>
      <c r="L111" s="198">
        <f ca="1">IF(F107&lt;&gt;"",MATCH(F107,OFFSET(References!$AB$7,0,K111,PxPopCount),0),0)</f>
        <v>0</v>
      </c>
      <c r="M111" s="198">
        <f ca="1">(K111*PxPopCount)+L111</f>
        <v>0</v>
      </c>
      <c r="N111" s="205"/>
    </row>
    <row r="112" spans="1:15" outlineLevel="1" x14ac:dyDescent="0.2"/>
    <row r="113" spans="1:15" outlineLevel="1" x14ac:dyDescent="0.2">
      <c r="C113" s="579" t="s">
        <v>238</v>
      </c>
      <c r="O113" s="19" t="s">
        <v>292</v>
      </c>
    </row>
    <row r="114" spans="1:15" outlineLevel="1" x14ac:dyDescent="0.2">
      <c r="A114" s="6"/>
      <c r="B114" s="6"/>
      <c r="C114" s="578" t="s">
        <v>938</v>
      </c>
      <c r="D114" s="75"/>
      <c r="E114" s="75"/>
      <c r="F114" s="75"/>
      <c r="G114" s="75"/>
      <c r="H114" s="75"/>
      <c r="I114" s="75"/>
      <c r="J114" s="208"/>
      <c r="K114" s="1"/>
      <c r="L114" s="1"/>
      <c r="M114" s="331"/>
      <c r="N114" s="332"/>
      <c r="O114" s="64"/>
    </row>
    <row r="115" spans="1:15" outlineLevel="1" x14ac:dyDescent="0.2">
      <c r="A115" s="6"/>
      <c r="B115" s="6"/>
      <c r="C115" s="22" t="s">
        <v>922</v>
      </c>
      <c r="D115" s="47">
        <f t="shared" ref="D115:I115" ca="1" si="15">IF(D111&lt;&gt;"",D111*D114,0)</f>
        <v>0</v>
      </c>
      <c r="E115" s="47">
        <f t="shared" ca="1" si="15"/>
        <v>0</v>
      </c>
      <c r="F115" s="47">
        <f t="shared" ca="1" si="15"/>
        <v>0</v>
      </c>
      <c r="G115" s="47">
        <f t="shared" ca="1" si="15"/>
        <v>0</v>
      </c>
      <c r="H115" s="47">
        <f t="shared" ca="1" si="15"/>
        <v>0</v>
      </c>
      <c r="I115" s="47">
        <f t="shared" ca="1" si="15"/>
        <v>0</v>
      </c>
      <c r="J115" s="208"/>
      <c r="K115" s="1"/>
      <c r="M115" s="331"/>
      <c r="N115" s="205"/>
      <c r="O115" s="6"/>
    </row>
    <row r="116" spans="1:15" outlineLevel="1" x14ac:dyDescent="0.2">
      <c r="A116" s="172"/>
      <c r="B116" s="172"/>
      <c r="C116" s="172"/>
      <c r="D116" s="172"/>
      <c r="E116" s="172"/>
      <c r="F116" s="172"/>
      <c r="G116" s="172"/>
      <c r="H116" s="172"/>
      <c r="I116" s="172"/>
      <c r="J116" s="176"/>
      <c r="K116" s="172"/>
      <c r="L116" s="172"/>
      <c r="M116" s="172"/>
      <c r="N116" s="172"/>
      <c r="O116" s="172"/>
    </row>
    <row r="117" spans="1:15" outlineLevel="1" x14ac:dyDescent="0.2">
      <c r="A117" s="172"/>
      <c r="B117" s="172"/>
      <c r="C117" s="585" t="str">
        <f>TxPhase1Tx</f>
        <v/>
      </c>
      <c r="D117" s="155">
        <f>IF($C$13&lt;&gt;"",VLOOKUP($C$13,TPShortCode,2,FALSE),0)</f>
        <v>0</v>
      </c>
      <c r="E117" s="171"/>
      <c r="F117" s="171"/>
      <c r="G117" s="172"/>
      <c r="H117" s="172"/>
      <c r="I117" s="172"/>
      <c r="J117" s="176"/>
      <c r="N117" s="172"/>
      <c r="O117" s="19" t="s">
        <v>292</v>
      </c>
    </row>
    <row r="118" spans="1:15" outlineLevel="1" x14ac:dyDescent="0.2">
      <c r="A118" s="172"/>
      <c r="B118" s="172"/>
      <c r="C118" s="81" t="str">
        <f>C91</f>
        <v>Patients electing treatment (%)</v>
      </c>
      <c r="D118" s="75"/>
      <c r="E118" s="75"/>
      <c r="F118" s="75"/>
      <c r="G118" s="75"/>
      <c r="H118" s="75"/>
      <c r="I118" s="75"/>
      <c r="J118" s="176"/>
      <c r="N118" s="172"/>
      <c r="O118" s="64"/>
    </row>
    <row r="119" spans="1:15" ht="14.25" outlineLevel="1" x14ac:dyDescent="0.2">
      <c r="A119" s="172"/>
      <c r="B119" s="172"/>
      <c r="C119" s="172"/>
      <c r="D119" s="172"/>
      <c r="E119" s="200"/>
      <c r="F119" s="172"/>
      <c r="G119" s="172"/>
      <c r="H119" s="172"/>
      <c r="I119" s="172"/>
      <c r="J119" s="176"/>
      <c r="K119" s="172"/>
      <c r="L119" s="171"/>
      <c r="M119" s="171"/>
      <c r="N119" s="172"/>
      <c r="O119" s="172"/>
    </row>
    <row r="120" spans="1:15" outlineLevel="1" x14ac:dyDescent="0.2">
      <c r="A120" s="172"/>
      <c r="B120" s="172"/>
      <c r="C120" s="590" t="str">
        <f>TXPhase2Tx</f>
        <v/>
      </c>
      <c r="D120" s="201"/>
      <c r="E120" s="201"/>
      <c r="F120" s="172"/>
      <c r="G120" s="172"/>
      <c r="H120" s="172"/>
      <c r="I120" s="172"/>
      <c r="J120" s="176"/>
      <c r="K120" s="172"/>
      <c r="L120" s="171"/>
      <c r="M120" s="171"/>
      <c r="N120" s="172"/>
      <c r="O120" s="19" t="s">
        <v>292</v>
      </c>
    </row>
    <row r="121" spans="1:15" outlineLevel="1" x14ac:dyDescent="0.2">
      <c r="A121" s="172"/>
      <c r="B121" s="172"/>
      <c r="C121" s="123" t="str">
        <f>C94</f>
        <v/>
      </c>
      <c r="D121" s="75"/>
      <c r="E121" s="75"/>
      <c r="F121" s="75"/>
      <c r="G121" s="75"/>
      <c r="H121" s="75"/>
      <c r="I121" s="75"/>
      <c r="J121" s="176"/>
      <c r="K121" s="6"/>
      <c r="L121" s="172"/>
      <c r="M121" s="172"/>
      <c r="N121" s="172"/>
      <c r="O121" s="64"/>
    </row>
    <row r="122" spans="1:15" outlineLevel="1" x14ac:dyDescent="0.2">
      <c r="A122" s="172"/>
      <c r="B122" s="172"/>
      <c r="C122" s="172"/>
      <c r="D122" s="172"/>
      <c r="E122" s="172"/>
      <c r="F122" s="172"/>
      <c r="G122" s="172"/>
      <c r="H122" s="172"/>
      <c r="I122" s="172"/>
      <c r="J122" s="176"/>
      <c r="K122" s="172"/>
      <c r="L122" s="172"/>
      <c r="M122" s="172"/>
      <c r="N122" s="172"/>
      <c r="O122" s="172"/>
    </row>
    <row r="123" spans="1:15" outlineLevel="1" x14ac:dyDescent="0.2">
      <c r="A123" s="6"/>
      <c r="B123" s="6"/>
      <c r="C123" s="585" t="str">
        <f>TxPhase1Px</f>
        <v/>
      </c>
      <c r="D123" s="607">
        <f t="shared" ref="D123:I123" si="16">IF(TxPhase1&lt;&gt;"",D115*D118,0)</f>
        <v>0</v>
      </c>
      <c r="E123" s="607">
        <f t="shared" si="16"/>
        <v>0</v>
      </c>
      <c r="F123" s="607">
        <f t="shared" si="16"/>
        <v>0</v>
      </c>
      <c r="G123" s="607">
        <f t="shared" si="16"/>
        <v>0</v>
      </c>
      <c r="H123" s="607">
        <f t="shared" si="16"/>
        <v>0</v>
      </c>
      <c r="I123" s="607">
        <f t="shared" si="16"/>
        <v>0</v>
      </c>
      <c r="J123" s="598" t="str">
        <f>IF(D126&lt;&gt;"",D126,"")</f>
        <v/>
      </c>
      <c r="K123" s="6"/>
      <c r="L123" s="180"/>
      <c r="M123" s="180"/>
      <c r="N123" s="6"/>
      <c r="O123" s="6"/>
    </row>
    <row r="124" spans="1:15" outlineLevel="1" x14ac:dyDescent="0.2">
      <c r="A124" s="6"/>
      <c r="B124" s="6"/>
      <c r="C124" s="585" t="str">
        <f>TxPhase2Px</f>
        <v/>
      </c>
      <c r="D124" s="607">
        <f t="shared" ref="D124:I124" si="17">IF(TxPhase2&lt;&gt;"",D115*D121,0)</f>
        <v>0</v>
      </c>
      <c r="E124" s="607">
        <f t="shared" si="17"/>
        <v>0</v>
      </c>
      <c r="F124" s="607">
        <f t="shared" si="17"/>
        <v>0</v>
      </c>
      <c r="G124" s="607">
        <f t="shared" si="17"/>
        <v>0</v>
      </c>
      <c r="H124" s="607">
        <f t="shared" si="17"/>
        <v>0</v>
      </c>
      <c r="I124" s="607">
        <f t="shared" si="17"/>
        <v>0</v>
      </c>
      <c r="J124" s="598" t="str">
        <f>IF(D126&lt;&gt;"",D126,"")</f>
        <v/>
      </c>
      <c r="K124" s="6"/>
      <c r="L124" s="6"/>
      <c r="M124" s="6"/>
      <c r="N124" s="6"/>
      <c r="O124" s="6"/>
    </row>
    <row r="125" spans="1:15" s="570" customFormat="1" outlineLevel="1" x14ac:dyDescent="0.2">
      <c r="A125" s="572"/>
      <c r="B125" s="572"/>
      <c r="C125" s="572"/>
      <c r="D125" s="572"/>
      <c r="E125" s="572"/>
      <c r="F125" s="572"/>
      <c r="G125" s="572"/>
      <c r="H125" s="572"/>
      <c r="I125" s="572"/>
      <c r="J125" s="247"/>
      <c r="K125" s="572"/>
      <c r="L125" s="572"/>
      <c r="M125" s="572"/>
      <c r="N125" s="572"/>
      <c r="O125" s="572"/>
    </row>
    <row r="126" spans="1:15" s="570" customFormat="1" outlineLevel="1" x14ac:dyDescent="0.2">
      <c r="A126" s="572"/>
      <c r="B126" s="572"/>
      <c r="C126" s="122" t="s">
        <v>817</v>
      </c>
      <c r="D126" s="375"/>
      <c r="E126" s="572"/>
      <c r="F126" s="572"/>
      <c r="G126" s="572"/>
      <c r="H126" s="572"/>
      <c r="I126" s="572"/>
      <c r="J126" s="247"/>
      <c r="K126" s="572"/>
      <c r="L126" s="572"/>
      <c r="M126" s="572"/>
      <c r="N126" s="572"/>
      <c r="O126" s="572"/>
    </row>
    <row r="127" spans="1:15" outlineLevel="1" collapsed="1" x14ac:dyDescent="0.2">
      <c r="A127" s="6"/>
      <c r="B127" s="6"/>
      <c r="C127" s="6"/>
      <c r="D127" s="6"/>
      <c r="E127" s="6"/>
      <c r="F127" s="6"/>
      <c r="G127" s="6"/>
      <c r="H127" s="6"/>
      <c r="I127" s="6"/>
      <c r="J127" s="104"/>
      <c r="K127" s="6"/>
      <c r="L127" s="6"/>
      <c r="M127" s="6"/>
      <c r="N127" s="6"/>
      <c r="O127" s="6"/>
    </row>
    <row r="128" spans="1:15" x14ac:dyDescent="0.2">
      <c r="A128" s="6"/>
      <c r="B128" s="6"/>
      <c r="C128" s="6"/>
      <c r="D128" s="6"/>
      <c r="E128" s="6"/>
      <c r="F128" s="6"/>
      <c r="G128" s="6"/>
      <c r="H128" s="6"/>
      <c r="I128" s="6"/>
      <c r="J128" s="104"/>
      <c r="K128" s="6"/>
      <c r="L128" s="6"/>
      <c r="M128" s="6"/>
      <c r="N128" s="6"/>
      <c r="O128" s="6"/>
    </row>
    <row r="129" spans="1:15" ht="15.75" x14ac:dyDescent="0.2">
      <c r="A129" s="104"/>
      <c r="B129" s="190">
        <v>4</v>
      </c>
      <c r="C129" s="110" t="str">
        <f>IF(D134&lt;&gt;"",CONCATENATE("GF ",B129,": ",F134,I129),MsgNotUsed)</f>
        <v>** NOT USED **</v>
      </c>
      <c r="D129" s="188"/>
      <c r="E129" s="188"/>
      <c r="F129" s="188"/>
      <c r="G129" s="188"/>
      <c r="H129" s="191"/>
      <c r="I129" s="455" t="str">
        <f>IF(R133&lt;&gt;"",CONCATENATE(" (",R133,")"),"")</f>
        <v/>
      </c>
      <c r="J129" s="206"/>
      <c r="K129" s="187"/>
      <c r="L129" s="187"/>
      <c r="M129" s="187"/>
      <c r="N129" s="175"/>
      <c r="O129" s="189"/>
    </row>
    <row r="130" spans="1:15" outlineLevel="1" x14ac:dyDescent="0.2">
      <c r="A130" s="6"/>
      <c r="B130" s="6"/>
      <c r="C130" s="6"/>
      <c r="D130" s="6"/>
      <c r="E130" s="6"/>
      <c r="F130" s="6"/>
      <c r="G130" s="6"/>
      <c r="H130" s="6"/>
      <c r="I130" s="6"/>
      <c r="J130" s="104"/>
      <c r="K130" s="6"/>
      <c r="L130" s="6"/>
      <c r="M130" s="6"/>
      <c r="N130" s="6"/>
      <c r="O130" s="6"/>
    </row>
    <row r="131" spans="1:15" outlineLevel="1" x14ac:dyDescent="0.2">
      <c r="A131" s="6"/>
      <c r="B131" s="6"/>
      <c r="C131" s="572" t="s">
        <v>916</v>
      </c>
      <c r="D131" s="6"/>
      <c r="E131" s="6"/>
      <c r="F131" s="6"/>
      <c r="G131" s="6"/>
      <c r="H131" s="6"/>
      <c r="I131" s="6"/>
      <c r="J131" s="104"/>
      <c r="K131" s="6"/>
      <c r="L131" s="6"/>
      <c r="M131" s="6"/>
      <c r="N131" s="6"/>
      <c r="O131" s="6"/>
    </row>
    <row r="132" spans="1:15" outlineLevel="1" x14ac:dyDescent="0.2">
      <c r="A132" s="6"/>
      <c r="B132" s="6"/>
      <c r="C132" s="6" t="s">
        <v>921</v>
      </c>
      <c r="D132" s="6"/>
      <c r="E132" s="6"/>
      <c r="F132" s="6"/>
      <c r="G132" s="6"/>
      <c r="H132" s="6"/>
      <c r="I132" s="6"/>
      <c r="J132" s="104"/>
      <c r="K132" s="6"/>
      <c r="L132" s="6"/>
      <c r="M132" s="6"/>
      <c r="N132" s="6"/>
      <c r="O132" s="6"/>
    </row>
    <row r="133" spans="1:15" outlineLevel="1" x14ac:dyDescent="0.2">
      <c r="A133" s="6"/>
      <c r="B133" s="6"/>
      <c r="C133" s="6"/>
      <c r="D133" s="6"/>
      <c r="E133" s="6"/>
      <c r="F133" s="6"/>
      <c r="G133" s="6"/>
      <c r="H133" s="6"/>
      <c r="I133" s="6"/>
      <c r="J133" s="104"/>
      <c r="K133" s="6"/>
      <c r="L133" s="6"/>
      <c r="M133" s="6"/>
      <c r="N133" s="6"/>
      <c r="O133" s="19" t="s">
        <v>470</v>
      </c>
    </row>
    <row r="134" spans="1:15" outlineLevel="1" x14ac:dyDescent="0.2">
      <c r="A134" s="6"/>
      <c r="B134" s="6"/>
      <c r="C134" s="22" t="s">
        <v>131</v>
      </c>
      <c r="D134" s="379"/>
      <c r="E134" s="194"/>
      <c r="F134" s="774"/>
      <c r="G134" s="781"/>
      <c r="H134" s="781"/>
      <c r="I134" s="781"/>
      <c r="J134" s="104"/>
      <c r="K134" s="6"/>
      <c r="L134" s="6"/>
      <c r="M134" s="6"/>
      <c r="N134" s="6"/>
      <c r="O134" s="347"/>
    </row>
    <row r="135" spans="1:15" outlineLevel="1" x14ac:dyDescent="0.2">
      <c r="A135" s="6"/>
      <c r="B135" s="6"/>
      <c r="C135" s="6"/>
      <c r="D135" s="600">
        <v>1</v>
      </c>
      <c r="E135" s="600">
        <v>2</v>
      </c>
      <c r="F135" s="600">
        <v>3</v>
      </c>
      <c r="G135" s="600">
        <v>4</v>
      </c>
      <c r="H135" s="600">
        <v>5</v>
      </c>
      <c r="I135" s="600">
        <v>6</v>
      </c>
      <c r="J135" s="104"/>
      <c r="K135" s="6"/>
      <c r="L135" s="6"/>
      <c r="M135" s="6"/>
      <c r="N135" s="6"/>
      <c r="O135" s="6"/>
    </row>
    <row r="136" spans="1:15" outlineLevel="1" x14ac:dyDescent="0.2">
      <c r="A136" s="6"/>
      <c r="B136" s="6"/>
      <c r="C136" s="6"/>
      <c r="D136" s="776" t="s">
        <v>11</v>
      </c>
      <c r="E136" s="776"/>
      <c r="F136" s="776"/>
      <c r="G136" s="776"/>
      <c r="H136" s="776"/>
      <c r="I136" s="776"/>
      <c r="J136" s="208"/>
      <c r="K136" s="1"/>
      <c r="L136" s="1"/>
      <c r="M136" s="1"/>
      <c r="N136" s="205"/>
      <c r="O136" s="6"/>
    </row>
    <row r="137" spans="1:15" outlineLevel="1" x14ac:dyDescent="0.2">
      <c r="A137" s="6"/>
      <c r="B137" s="6"/>
      <c r="C137" s="7"/>
      <c r="D137" s="676">
        <f>FirstYear</f>
        <v>0</v>
      </c>
      <c r="E137" s="676">
        <f>D137+1</f>
        <v>1</v>
      </c>
      <c r="F137" s="676">
        <f>E137+1</f>
        <v>2</v>
      </c>
      <c r="G137" s="676">
        <f>F137+1</f>
        <v>3</v>
      </c>
      <c r="H137" s="676">
        <f>G137+1</f>
        <v>4</v>
      </c>
      <c r="I137" s="676">
        <f>H137+1</f>
        <v>5</v>
      </c>
      <c r="J137" s="208"/>
      <c r="K137" s="316" t="s">
        <v>292</v>
      </c>
      <c r="L137" s="316" t="s">
        <v>52</v>
      </c>
      <c r="M137" s="316" t="s">
        <v>381</v>
      </c>
      <c r="N137" s="205"/>
      <c r="O137" s="6"/>
    </row>
    <row r="138" spans="1:15" outlineLevel="1" x14ac:dyDescent="0.2">
      <c r="A138" s="6"/>
      <c r="B138" s="6"/>
      <c r="C138" s="576" t="s">
        <v>879</v>
      </c>
      <c r="D138" s="596">
        <f t="shared" ref="D138:I138" ca="1" si="18">IF(AND(ISERROR($M138)&lt;&gt;TRUE,$F134&lt;&gt;""),INDEX(PxPopNumbers,$M138,D135),0)</f>
        <v>0</v>
      </c>
      <c r="E138" s="596">
        <f t="shared" ca="1" si="18"/>
        <v>0</v>
      </c>
      <c r="F138" s="596">
        <f t="shared" ca="1" si="18"/>
        <v>0</v>
      </c>
      <c r="G138" s="596">
        <f t="shared" ca="1" si="18"/>
        <v>0</v>
      </c>
      <c r="H138" s="596">
        <f t="shared" ca="1" si="18"/>
        <v>0</v>
      </c>
      <c r="I138" s="596">
        <f t="shared" ca="1" si="18"/>
        <v>0</v>
      </c>
      <c r="K138" s="198">
        <f>IF(D134&lt;&gt;"",MATCH(D134,EPISource,0)-1,0)</f>
        <v>0</v>
      </c>
      <c r="L138" s="198">
        <f ca="1">IF(F134&lt;&gt;"",MATCH(F134,OFFSET(References!$AB$7,0,K138,PxPopCount),0),0)</f>
        <v>0</v>
      </c>
      <c r="M138" s="198">
        <f ca="1">(K138*PxPopCount)+L138</f>
        <v>0</v>
      </c>
      <c r="N138" s="205"/>
    </row>
    <row r="139" spans="1:15" outlineLevel="1" x14ac:dyDescent="0.2"/>
    <row r="140" spans="1:15" outlineLevel="1" x14ac:dyDescent="0.2">
      <c r="C140" s="579" t="s">
        <v>238</v>
      </c>
      <c r="O140" s="19" t="s">
        <v>292</v>
      </c>
    </row>
    <row r="141" spans="1:15" outlineLevel="1" x14ac:dyDescent="0.2">
      <c r="A141" s="6"/>
      <c r="B141" s="6"/>
      <c r="C141" s="578" t="s">
        <v>938</v>
      </c>
      <c r="D141" s="75"/>
      <c r="E141" s="75"/>
      <c r="F141" s="75"/>
      <c r="G141" s="75"/>
      <c r="H141" s="75"/>
      <c r="I141" s="75"/>
      <c r="J141" s="208"/>
      <c r="K141" s="1"/>
      <c r="L141" s="1"/>
      <c r="M141" s="331"/>
      <c r="N141" s="332"/>
      <c r="O141" s="64"/>
    </row>
    <row r="142" spans="1:15" outlineLevel="1" x14ac:dyDescent="0.2">
      <c r="A142" s="6"/>
      <c r="B142" s="6"/>
      <c r="C142" s="22" t="s">
        <v>922</v>
      </c>
      <c r="D142" s="47">
        <f t="shared" ref="D142:I142" ca="1" si="19">IF(D138&lt;&gt;"",D138*D141,0)</f>
        <v>0</v>
      </c>
      <c r="E142" s="47">
        <f t="shared" ca="1" si="19"/>
        <v>0</v>
      </c>
      <c r="F142" s="47">
        <f t="shared" ca="1" si="19"/>
        <v>0</v>
      </c>
      <c r="G142" s="47">
        <f t="shared" ca="1" si="19"/>
        <v>0</v>
      </c>
      <c r="H142" s="47">
        <f t="shared" ca="1" si="19"/>
        <v>0</v>
      </c>
      <c r="I142" s="47">
        <f t="shared" ca="1" si="19"/>
        <v>0</v>
      </c>
      <c r="J142" s="208"/>
      <c r="K142" s="1"/>
      <c r="M142" s="331"/>
      <c r="N142" s="205"/>
      <c r="O142" s="6"/>
    </row>
    <row r="143" spans="1:15" outlineLevel="1" x14ac:dyDescent="0.2">
      <c r="A143" s="172"/>
      <c r="B143" s="172"/>
      <c r="C143" s="172"/>
      <c r="D143" s="172"/>
      <c r="E143" s="172"/>
      <c r="F143" s="172"/>
      <c r="G143" s="172"/>
      <c r="H143" s="172"/>
      <c r="I143" s="172"/>
      <c r="J143" s="176"/>
      <c r="K143" s="172"/>
      <c r="L143" s="172"/>
      <c r="M143" s="172"/>
      <c r="N143" s="172"/>
      <c r="O143" s="172"/>
    </row>
    <row r="144" spans="1:15" outlineLevel="1" x14ac:dyDescent="0.2">
      <c r="A144" s="172"/>
      <c r="B144" s="172"/>
      <c r="C144" s="585" t="str">
        <f>TxPhase1Tx</f>
        <v/>
      </c>
      <c r="D144" s="155"/>
      <c r="E144" s="171"/>
      <c r="F144" s="171"/>
      <c r="G144" s="172"/>
      <c r="H144" s="172"/>
      <c r="I144" s="172"/>
      <c r="J144" s="176"/>
      <c r="N144" s="172"/>
      <c r="O144" s="19" t="s">
        <v>292</v>
      </c>
    </row>
    <row r="145" spans="1:15" outlineLevel="1" x14ac:dyDescent="0.2">
      <c r="A145" s="172"/>
      <c r="B145" s="172"/>
      <c r="C145" s="81" t="str">
        <f>C118</f>
        <v>Patients electing treatment (%)</v>
      </c>
      <c r="D145" s="75"/>
      <c r="E145" s="75"/>
      <c r="F145" s="75"/>
      <c r="G145" s="75"/>
      <c r="H145" s="75"/>
      <c r="I145" s="75"/>
      <c r="J145" s="176"/>
      <c r="N145" s="172"/>
      <c r="O145" s="64"/>
    </row>
    <row r="146" spans="1:15" ht="14.25" outlineLevel="1" x14ac:dyDescent="0.2">
      <c r="A146" s="172"/>
      <c r="B146" s="172"/>
      <c r="C146" s="172"/>
      <c r="D146" s="172"/>
      <c r="E146" s="200"/>
      <c r="F146" s="172"/>
      <c r="G146" s="172"/>
      <c r="H146" s="172"/>
      <c r="I146" s="172"/>
      <c r="J146" s="176"/>
      <c r="K146" s="172"/>
      <c r="L146" s="171"/>
      <c r="M146" s="171"/>
      <c r="N146" s="172"/>
      <c r="O146" s="172"/>
    </row>
    <row r="147" spans="1:15" outlineLevel="1" x14ac:dyDescent="0.2">
      <c r="A147" s="172"/>
      <c r="B147" s="172"/>
      <c r="C147" s="590" t="str">
        <f>TXPhase2Tx</f>
        <v/>
      </c>
      <c r="D147" s="201"/>
      <c r="E147" s="201"/>
      <c r="F147" s="172"/>
      <c r="G147" s="172"/>
      <c r="H147" s="172"/>
      <c r="I147" s="172"/>
      <c r="J147" s="176"/>
      <c r="K147" s="172"/>
      <c r="L147" s="171"/>
      <c r="M147" s="171"/>
      <c r="N147" s="172"/>
      <c r="O147" s="19" t="s">
        <v>292</v>
      </c>
    </row>
    <row r="148" spans="1:15" outlineLevel="1" x14ac:dyDescent="0.2">
      <c r="A148" s="172"/>
      <c r="B148" s="172"/>
      <c r="C148" s="123" t="str">
        <f>C121</f>
        <v/>
      </c>
      <c r="D148" s="75"/>
      <c r="E148" s="75"/>
      <c r="F148" s="75"/>
      <c r="G148" s="75"/>
      <c r="H148" s="75"/>
      <c r="I148" s="75"/>
      <c r="J148" s="176"/>
      <c r="K148" s="6"/>
      <c r="L148" s="172"/>
      <c r="M148" s="172"/>
      <c r="N148" s="172"/>
      <c r="O148" s="64"/>
    </row>
    <row r="149" spans="1:15" outlineLevel="1" x14ac:dyDescent="0.2">
      <c r="A149" s="172"/>
      <c r="B149" s="172"/>
      <c r="C149" s="172"/>
      <c r="D149" s="172"/>
      <c r="E149" s="172"/>
      <c r="F149" s="172"/>
      <c r="G149" s="172"/>
      <c r="H149" s="172"/>
      <c r="I149" s="172"/>
      <c r="J149" s="176"/>
      <c r="K149" s="172"/>
      <c r="L149" s="172"/>
      <c r="M149" s="172"/>
      <c r="N149" s="172"/>
      <c r="O149" s="172"/>
    </row>
    <row r="150" spans="1:15" outlineLevel="1" x14ac:dyDescent="0.2">
      <c r="A150" s="6"/>
      <c r="B150" s="6"/>
      <c r="C150" s="585" t="str">
        <f>TxPhase1Px</f>
        <v/>
      </c>
      <c r="D150" s="607">
        <f t="shared" ref="D150:I150" si="20">IF(TxPhase1&lt;&gt;"",D142*D145,0)</f>
        <v>0</v>
      </c>
      <c r="E150" s="607">
        <f t="shared" si="20"/>
        <v>0</v>
      </c>
      <c r="F150" s="607">
        <f t="shared" si="20"/>
        <v>0</v>
      </c>
      <c r="G150" s="607">
        <f t="shared" si="20"/>
        <v>0</v>
      </c>
      <c r="H150" s="607">
        <f t="shared" si="20"/>
        <v>0</v>
      </c>
      <c r="I150" s="607">
        <f t="shared" si="20"/>
        <v>0</v>
      </c>
      <c r="J150" s="598" t="str">
        <f>IF(D153&lt;&gt;"",D153,"")</f>
        <v/>
      </c>
      <c r="K150" s="6"/>
      <c r="L150" s="180"/>
      <c r="M150" s="180"/>
      <c r="N150" s="6"/>
      <c r="O150" s="6"/>
    </row>
    <row r="151" spans="1:15" outlineLevel="1" x14ac:dyDescent="0.2">
      <c r="A151" s="6"/>
      <c r="B151" s="6"/>
      <c r="C151" s="585" t="str">
        <f>TxPhase2Px</f>
        <v/>
      </c>
      <c r="D151" s="607">
        <f t="shared" ref="D151:I151" si="21">IF(TxPhase2&lt;&gt;"",D142*D148,0)</f>
        <v>0</v>
      </c>
      <c r="E151" s="607">
        <f t="shared" si="21"/>
        <v>0</v>
      </c>
      <c r="F151" s="607">
        <f t="shared" si="21"/>
        <v>0</v>
      </c>
      <c r="G151" s="607">
        <f t="shared" si="21"/>
        <v>0</v>
      </c>
      <c r="H151" s="607">
        <f t="shared" si="21"/>
        <v>0</v>
      </c>
      <c r="I151" s="607">
        <f t="shared" si="21"/>
        <v>0</v>
      </c>
      <c r="J151" s="598" t="str">
        <f>IF(D153&lt;&gt;"",D153,"")</f>
        <v/>
      </c>
      <c r="K151" s="6"/>
      <c r="L151" s="6"/>
      <c r="M151" s="6"/>
      <c r="N151" s="6"/>
      <c r="O151" s="6"/>
    </row>
    <row r="152" spans="1:15" s="570" customFormat="1" outlineLevel="1" x14ac:dyDescent="0.2">
      <c r="A152" s="572"/>
      <c r="B152" s="572"/>
      <c r="C152" s="572"/>
      <c r="D152" s="572"/>
      <c r="E152" s="572"/>
      <c r="F152" s="572"/>
      <c r="G152" s="572"/>
      <c r="H152" s="572"/>
      <c r="I152" s="572"/>
      <c r="J152" s="247"/>
      <c r="K152" s="572"/>
      <c r="L152" s="572"/>
      <c r="M152" s="572"/>
      <c r="N152" s="572"/>
      <c r="O152" s="572"/>
    </row>
    <row r="153" spans="1:15" s="570" customFormat="1" outlineLevel="1" x14ac:dyDescent="0.2">
      <c r="A153" s="572"/>
      <c r="B153" s="572"/>
      <c r="C153" s="122" t="s">
        <v>817</v>
      </c>
      <c r="D153" s="375"/>
      <c r="E153" s="572"/>
      <c r="F153" s="572"/>
      <c r="G153" s="572"/>
      <c r="H153" s="572"/>
      <c r="I153" s="572"/>
      <c r="J153" s="247"/>
      <c r="K153" s="572"/>
      <c r="L153" s="572"/>
      <c r="M153" s="572"/>
      <c r="N153" s="572"/>
      <c r="O153" s="572"/>
    </row>
    <row r="154" spans="1:15" outlineLevel="1" collapsed="1" x14ac:dyDescent="0.2">
      <c r="A154" s="6"/>
      <c r="B154" s="6"/>
      <c r="C154" s="6"/>
      <c r="D154" s="6"/>
      <c r="E154" s="6"/>
      <c r="F154" s="6"/>
      <c r="G154" s="6"/>
      <c r="H154" s="6"/>
      <c r="I154" s="6"/>
      <c r="J154" s="104"/>
      <c r="K154" s="6"/>
      <c r="L154" s="6"/>
      <c r="M154" s="6"/>
      <c r="N154" s="6"/>
      <c r="O154" s="6"/>
    </row>
    <row r="155" spans="1:15" x14ac:dyDescent="0.2">
      <c r="A155" s="6"/>
      <c r="B155" s="6"/>
      <c r="C155" s="6"/>
      <c r="D155" s="6"/>
      <c r="E155" s="6"/>
      <c r="F155" s="6"/>
      <c r="G155" s="6"/>
      <c r="H155" s="6"/>
      <c r="I155" s="6"/>
      <c r="J155" s="104"/>
      <c r="K155" s="6"/>
      <c r="L155" s="6"/>
      <c r="M155" s="6"/>
      <c r="N155" s="6"/>
      <c r="O155" s="6"/>
    </row>
    <row r="156" spans="1:15" ht="15.75" x14ac:dyDescent="0.2">
      <c r="A156" s="104"/>
      <c r="B156" s="190">
        <v>5</v>
      </c>
      <c r="C156" s="110" t="str">
        <f>IF(D161&lt;&gt;"",CONCATENATE("GF ",B156,": ",F161,I156),MsgNotUsed)</f>
        <v>** NOT USED **</v>
      </c>
      <c r="D156" s="188"/>
      <c r="E156" s="188"/>
      <c r="F156" s="188"/>
      <c r="G156" s="188"/>
      <c r="H156" s="191"/>
      <c r="I156" s="455" t="str">
        <f>IF(R160&lt;&gt;"",CONCATENATE(" (",R160,")"),"")</f>
        <v/>
      </c>
      <c r="J156" s="206"/>
      <c r="K156" s="187"/>
      <c r="L156" s="187"/>
      <c r="M156" s="187"/>
      <c r="N156" s="175"/>
      <c r="O156" s="189"/>
    </row>
    <row r="157" spans="1:15" outlineLevel="1" x14ac:dyDescent="0.2">
      <c r="A157" s="6"/>
      <c r="B157" s="6"/>
      <c r="C157" s="6"/>
      <c r="D157" s="6"/>
      <c r="E157" s="6"/>
      <c r="F157" s="6"/>
      <c r="G157" s="6"/>
      <c r="H157" s="6"/>
      <c r="I157" s="6"/>
      <c r="J157" s="104"/>
      <c r="K157" s="6"/>
      <c r="L157" s="6"/>
      <c r="M157" s="6"/>
      <c r="N157" s="6"/>
      <c r="O157" s="6"/>
    </row>
    <row r="158" spans="1:15" outlineLevel="1" x14ac:dyDescent="0.2">
      <c r="A158" s="6"/>
      <c r="B158" s="6"/>
      <c r="C158" s="572" t="s">
        <v>916</v>
      </c>
      <c r="D158" s="6"/>
      <c r="E158" s="6"/>
      <c r="F158" s="6"/>
      <c r="G158" s="6"/>
      <c r="H158" s="6"/>
      <c r="I158" s="6"/>
      <c r="J158" s="104"/>
      <c r="K158" s="6"/>
      <c r="L158" s="6"/>
      <c r="M158" s="6"/>
      <c r="N158" s="6"/>
      <c r="O158" s="6"/>
    </row>
    <row r="159" spans="1:15" outlineLevel="1" x14ac:dyDescent="0.2">
      <c r="A159" s="6"/>
      <c r="B159" s="6"/>
      <c r="C159" s="6" t="s">
        <v>921</v>
      </c>
      <c r="D159" s="6"/>
      <c r="E159" s="6"/>
      <c r="F159" s="6"/>
      <c r="G159" s="6"/>
      <c r="H159" s="6"/>
      <c r="I159" s="6"/>
      <c r="J159" s="104"/>
      <c r="K159" s="6"/>
      <c r="L159" s="6"/>
      <c r="M159" s="6"/>
      <c r="N159" s="6"/>
      <c r="O159" s="6"/>
    </row>
    <row r="160" spans="1:15" outlineLevel="1" x14ac:dyDescent="0.2">
      <c r="A160" s="6"/>
      <c r="B160" s="6"/>
      <c r="C160" s="6"/>
      <c r="D160" s="6"/>
      <c r="E160" s="6"/>
      <c r="F160" s="6"/>
      <c r="G160" s="6"/>
      <c r="H160" s="6"/>
      <c r="I160" s="6"/>
      <c r="J160" s="104"/>
      <c r="K160" s="6"/>
      <c r="L160" s="6"/>
      <c r="M160" s="6"/>
      <c r="N160" s="6"/>
      <c r="O160" s="19" t="s">
        <v>470</v>
      </c>
    </row>
    <row r="161" spans="1:15" outlineLevel="1" x14ac:dyDescent="0.2">
      <c r="A161" s="6"/>
      <c r="B161" s="6"/>
      <c r="C161" s="22" t="s">
        <v>131</v>
      </c>
      <c r="D161" s="379"/>
      <c r="E161" s="194"/>
      <c r="F161" s="774"/>
      <c r="G161" s="781"/>
      <c r="H161" s="781"/>
      <c r="I161" s="781"/>
      <c r="J161" s="104"/>
      <c r="K161" s="6"/>
      <c r="L161" s="6"/>
      <c r="M161" s="6"/>
      <c r="N161" s="6"/>
      <c r="O161" s="347"/>
    </row>
    <row r="162" spans="1:15" outlineLevel="1" x14ac:dyDescent="0.2">
      <c r="A162" s="6"/>
      <c r="B162" s="6"/>
      <c r="C162" s="6"/>
      <c r="D162" s="600">
        <v>1</v>
      </c>
      <c r="E162" s="600">
        <v>2</v>
      </c>
      <c r="F162" s="600">
        <v>3</v>
      </c>
      <c r="G162" s="600">
        <v>4</v>
      </c>
      <c r="H162" s="600">
        <v>5</v>
      </c>
      <c r="I162" s="600">
        <v>6</v>
      </c>
      <c r="J162" s="104"/>
      <c r="K162" s="6"/>
      <c r="L162" s="6"/>
      <c r="M162" s="6"/>
      <c r="N162" s="6"/>
      <c r="O162" s="6"/>
    </row>
    <row r="163" spans="1:15" outlineLevel="1" x14ac:dyDescent="0.2">
      <c r="A163" s="6"/>
      <c r="B163" s="6"/>
      <c r="C163" s="6"/>
      <c r="D163" s="776" t="s">
        <v>11</v>
      </c>
      <c r="E163" s="776"/>
      <c r="F163" s="776"/>
      <c r="G163" s="776"/>
      <c r="H163" s="776"/>
      <c r="I163" s="776"/>
      <c r="J163" s="208"/>
      <c r="K163" s="1"/>
      <c r="L163" s="1"/>
      <c r="M163" s="1"/>
      <c r="N163" s="205"/>
      <c r="O163" s="6"/>
    </row>
    <row r="164" spans="1:15" outlineLevel="1" x14ac:dyDescent="0.2">
      <c r="A164" s="6"/>
      <c r="B164" s="6"/>
      <c r="C164" s="7"/>
      <c r="D164" s="676">
        <f>FirstYear</f>
        <v>0</v>
      </c>
      <c r="E164" s="676">
        <f>D164+1</f>
        <v>1</v>
      </c>
      <c r="F164" s="676">
        <f>E164+1</f>
        <v>2</v>
      </c>
      <c r="G164" s="676">
        <f>F164+1</f>
        <v>3</v>
      </c>
      <c r="H164" s="676">
        <f>G164+1</f>
        <v>4</v>
      </c>
      <c r="I164" s="676">
        <f>H164+1</f>
        <v>5</v>
      </c>
      <c r="J164" s="208"/>
      <c r="K164" s="316" t="s">
        <v>292</v>
      </c>
      <c r="L164" s="316" t="s">
        <v>52</v>
      </c>
      <c r="M164" s="316" t="s">
        <v>381</v>
      </c>
      <c r="N164" s="205"/>
      <c r="O164" s="6"/>
    </row>
    <row r="165" spans="1:15" outlineLevel="1" x14ac:dyDescent="0.2">
      <c r="A165" s="6"/>
      <c r="B165" s="6"/>
      <c r="C165" s="576" t="s">
        <v>879</v>
      </c>
      <c r="D165" s="596">
        <f t="shared" ref="D165:I165" ca="1" si="22">IF(AND(ISERROR($M165)&lt;&gt;TRUE,$F161&lt;&gt;""),INDEX(PxPopNumbers,$M165,D162),0)</f>
        <v>0</v>
      </c>
      <c r="E165" s="596">
        <f t="shared" ca="1" si="22"/>
        <v>0</v>
      </c>
      <c r="F165" s="596">
        <f t="shared" ca="1" si="22"/>
        <v>0</v>
      </c>
      <c r="G165" s="596">
        <f t="shared" ca="1" si="22"/>
        <v>0</v>
      </c>
      <c r="H165" s="596">
        <f t="shared" ca="1" si="22"/>
        <v>0</v>
      </c>
      <c r="I165" s="596">
        <f t="shared" ca="1" si="22"/>
        <v>0</v>
      </c>
      <c r="K165" s="198">
        <f>IF(D161&lt;&gt;"",MATCH(D161,EPISource,0)-1,0)</f>
        <v>0</v>
      </c>
      <c r="L165" s="198">
        <f ca="1">IF(F161&lt;&gt;"",MATCH(F161,OFFSET(References!$AB$7,0,K165,PxPopCount),0),0)</f>
        <v>0</v>
      </c>
      <c r="M165" s="198">
        <f ca="1">(K165*PxPopCount)+L165</f>
        <v>0</v>
      </c>
      <c r="N165" s="205"/>
    </row>
    <row r="166" spans="1:15" outlineLevel="1" x14ac:dyDescent="0.2"/>
    <row r="167" spans="1:15" outlineLevel="1" x14ac:dyDescent="0.2">
      <c r="C167" s="579" t="s">
        <v>238</v>
      </c>
      <c r="O167" s="19" t="s">
        <v>292</v>
      </c>
    </row>
    <row r="168" spans="1:15" outlineLevel="1" x14ac:dyDescent="0.2">
      <c r="A168" s="6"/>
      <c r="B168" s="6"/>
      <c r="C168" s="578" t="s">
        <v>938</v>
      </c>
      <c r="D168" s="75"/>
      <c r="E168" s="75"/>
      <c r="F168" s="75"/>
      <c r="G168" s="75"/>
      <c r="H168" s="75"/>
      <c r="I168" s="75"/>
      <c r="J168" s="208"/>
      <c r="K168" s="1"/>
      <c r="L168" s="1"/>
      <c r="M168" s="331"/>
      <c r="N168" s="332"/>
      <c r="O168" s="64"/>
    </row>
    <row r="169" spans="1:15" outlineLevel="1" x14ac:dyDescent="0.2">
      <c r="A169" s="6"/>
      <c r="B169" s="6"/>
      <c r="C169" s="22" t="s">
        <v>922</v>
      </c>
      <c r="D169" s="47">
        <f t="shared" ref="D169:I169" ca="1" si="23">IF(D165&lt;&gt;"",D165*D168,0)</f>
        <v>0</v>
      </c>
      <c r="E169" s="47">
        <f t="shared" ca="1" si="23"/>
        <v>0</v>
      </c>
      <c r="F169" s="47">
        <f t="shared" ca="1" si="23"/>
        <v>0</v>
      </c>
      <c r="G169" s="47">
        <f t="shared" ca="1" si="23"/>
        <v>0</v>
      </c>
      <c r="H169" s="47">
        <f t="shared" ca="1" si="23"/>
        <v>0</v>
      </c>
      <c r="I169" s="47">
        <f t="shared" ca="1" si="23"/>
        <v>0</v>
      </c>
      <c r="J169" s="208"/>
      <c r="K169" s="1"/>
      <c r="M169" s="331"/>
      <c r="N169" s="205"/>
      <c r="O169" s="6"/>
    </row>
    <row r="170" spans="1:15" outlineLevel="1" x14ac:dyDescent="0.2">
      <c r="A170" s="172"/>
      <c r="B170" s="172"/>
      <c r="C170" s="172"/>
      <c r="D170" s="172"/>
      <c r="E170" s="172"/>
      <c r="F170" s="172"/>
      <c r="G170" s="172"/>
      <c r="H170" s="172"/>
      <c r="I170" s="172"/>
      <c r="J170" s="176"/>
      <c r="K170" s="172"/>
      <c r="L170" s="172"/>
      <c r="M170" s="172"/>
      <c r="N170" s="172"/>
      <c r="O170" s="172"/>
    </row>
    <row r="171" spans="1:15" outlineLevel="1" x14ac:dyDescent="0.2">
      <c r="A171" s="172"/>
      <c r="B171" s="172"/>
      <c r="C171" s="585" t="str">
        <f>TxPhase1Tx</f>
        <v/>
      </c>
      <c r="D171" s="155"/>
      <c r="E171" s="171"/>
      <c r="F171" s="171"/>
      <c r="G171" s="172"/>
      <c r="H171" s="172"/>
      <c r="I171" s="172"/>
      <c r="J171" s="176"/>
      <c r="N171" s="172"/>
      <c r="O171" s="19" t="s">
        <v>292</v>
      </c>
    </row>
    <row r="172" spans="1:15" outlineLevel="1" x14ac:dyDescent="0.2">
      <c r="A172" s="172"/>
      <c r="B172" s="172"/>
      <c r="C172" s="81" t="str">
        <f>C145</f>
        <v>Patients electing treatment (%)</v>
      </c>
      <c r="D172" s="75"/>
      <c r="E172" s="75"/>
      <c r="F172" s="75"/>
      <c r="G172" s="75"/>
      <c r="H172" s="75"/>
      <c r="I172" s="75"/>
      <c r="J172" s="176"/>
      <c r="N172" s="172"/>
      <c r="O172" s="64"/>
    </row>
    <row r="173" spans="1:15" ht="14.25" outlineLevel="1" x14ac:dyDescent="0.2">
      <c r="A173" s="172"/>
      <c r="B173" s="172"/>
      <c r="C173" s="172"/>
      <c r="D173" s="172"/>
      <c r="E173" s="200"/>
      <c r="F173" s="172"/>
      <c r="G173" s="172"/>
      <c r="H173" s="172"/>
      <c r="I173" s="172"/>
      <c r="J173" s="176"/>
      <c r="K173" s="172"/>
      <c r="L173" s="171"/>
      <c r="M173" s="171"/>
      <c r="N173" s="172"/>
      <c r="O173" s="172"/>
    </row>
    <row r="174" spans="1:15" outlineLevel="1" x14ac:dyDescent="0.2">
      <c r="A174" s="172"/>
      <c r="B174" s="172"/>
      <c r="C174" s="590" t="str">
        <f>TXPhase2Tx</f>
        <v/>
      </c>
      <c r="D174" s="201"/>
      <c r="E174" s="201"/>
      <c r="F174" s="172"/>
      <c r="G174" s="172"/>
      <c r="H174" s="172"/>
      <c r="I174" s="172"/>
      <c r="J174" s="176"/>
      <c r="K174" s="172"/>
      <c r="L174" s="171"/>
      <c r="M174" s="171"/>
      <c r="N174" s="172"/>
      <c r="O174" s="19" t="s">
        <v>292</v>
      </c>
    </row>
    <row r="175" spans="1:15" outlineLevel="1" x14ac:dyDescent="0.2">
      <c r="A175" s="172"/>
      <c r="B175" s="172"/>
      <c r="C175" s="123" t="str">
        <f>C148</f>
        <v/>
      </c>
      <c r="D175" s="75"/>
      <c r="E175" s="75"/>
      <c r="F175" s="75"/>
      <c r="G175" s="75"/>
      <c r="H175" s="75"/>
      <c r="I175" s="75"/>
      <c r="J175" s="176"/>
      <c r="K175" s="6"/>
      <c r="L175" s="172"/>
      <c r="M175" s="172"/>
      <c r="N175" s="172"/>
      <c r="O175" s="64"/>
    </row>
    <row r="176" spans="1:15" outlineLevel="1" x14ac:dyDescent="0.2">
      <c r="A176" s="172"/>
      <c r="B176" s="172"/>
      <c r="C176" s="172"/>
      <c r="D176" s="172"/>
      <c r="E176" s="172"/>
      <c r="F176" s="172"/>
      <c r="G176" s="172"/>
      <c r="H176" s="172"/>
      <c r="I176" s="172"/>
      <c r="J176" s="176"/>
      <c r="K176" s="172"/>
      <c r="L176" s="172"/>
      <c r="M176" s="172"/>
      <c r="N176" s="172"/>
      <c r="O176" s="172"/>
    </row>
    <row r="177" spans="1:15" outlineLevel="1" x14ac:dyDescent="0.2">
      <c r="A177" s="6"/>
      <c r="B177" s="6"/>
      <c r="C177" s="585" t="str">
        <f>TxPhase1Px</f>
        <v/>
      </c>
      <c r="D177" s="607">
        <f t="shared" ref="D177:I177" si="24">IF(TxPhase1&lt;&gt;"",D169*D172,0)</f>
        <v>0</v>
      </c>
      <c r="E177" s="607">
        <f t="shared" si="24"/>
        <v>0</v>
      </c>
      <c r="F177" s="607">
        <f t="shared" si="24"/>
        <v>0</v>
      </c>
      <c r="G177" s="607">
        <f t="shared" si="24"/>
        <v>0</v>
      </c>
      <c r="H177" s="607">
        <f t="shared" si="24"/>
        <v>0</v>
      </c>
      <c r="I177" s="607">
        <f t="shared" si="24"/>
        <v>0</v>
      </c>
      <c r="J177" s="598" t="str">
        <f>IF(D180&lt;&gt;"",D180,"")</f>
        <v/>
      </c>
      <c r="K177" s="6"/>
      <c r="L177" s="180"/>
      <c r="M177" s="180"/>
      <c r="N177" s="6"/>
      <c r="O177" s="6"/>
    </row>
    <row r="178" spans="1:15" outlineLevel="1" x14ac:dyDescent="0.2">
      <c r="A178" s="6"/>
      <c r="B178" s="6"/>
      <c r="C178" s="585" t="str">
        <f>TxPhase2Px</f>
        <v/>
      </c>
      <c r="D178" s="607">
        <f t="shared" ref="D178:I178" si="25">IF(TxPhase2&lt;&gt;"",D169*D175,0)</f>
        <v>0</v>
      </c>
      <c r="E178" s="607">
        <f t="shared" si="25"/>
        <v>0</v>
      </c>
      <c r="F178" s="607">
        <f t="shared" si="25"/>
        <v>0</v>
      </c>
      <c r="G178" s="607">
        <f t="shared" si="25"/>
        <v>0</v>
      </c>
      <c r="H178" s="607">
        <f t="shared" si="25"/>
        <v>0</v>
      </c>
      <c r="I178" s="607">
        <f t="shared" si="25"/>
        <v>0</v>
      </c>
      <c r="J178" s="598" t="str">
        <f>IF(D180&lt;&gt;"",D180,"")</f>
        <v/>
      </c>
      <c r="K178" s="6"/>
      <c r="L178" s="6"/>
      <c r="M178" s="6"/>
      <c r="N178" s="6"/>
      <c r="O178" s="6"/>
    </row>
    <row r="179" spans="1:15" s="570" customFormat="1" outlineLevel="1" x14ac:dyDescent="0.2">
      <c r="A179" s="572"/>
      <c r="B179" s="572"/>
      <c r="C179" s="572"/>
      <c r="D179" s="572"/>
      <c r="E179" s="572"/>
      <c r="F179" s="572"/>
      <c r="G179" s="572"/>
      <c r="H179" s="572"/>
      <c r="I179" s="572"/>
      <c r="J179" s="247"/>
      <c r="K179" s="572"/>
      <c r="L179" s="572"/>
      <c r="M179" s="572"/>
      <c r="N179" s="572"/>
      <c r="O179" s="572"/>
    </row>
    <row r="180" spans="1:15" s="570" customFormat="1" outlineLevel="1" x14ac:dyDescent="0.2">
      <c r="A180" s="572"/>
      <c r="B180" s="572"/>
      <c r="C180" s="122" t="s">
        <v>817</v>
      </c>
      <c r="D180" s="375"/>
      <c r="E180" s="572"/>
      <c r="F180" s="572"/>
      <c r="G180" s="572"/>
      <c r="H180" s="572"/>
      <c r="I180" s="572"/>
      <c r="J180" s="247"/>
      <c r="K180" s="572"/>
      <c r="L180" s="572"/>
      <c r="M180" s="572"/>
      <c r="N180" s="572"/>
      <c r="O180" s="572"/>
    </row>
    <row r="181" spans="1:15" outlineLevel="1" x14ac:dyDescent="0.2">
      <c r="A181" s="6"/>
      <c r="B181" s="6"/>
      <c r="C181" s="6"/>
      <c r="D181" s="6"/>
      <c r="E181" s="6"/>
      <c r="F181" s="6"/>
      <c r="G181" s="6"/>
      <c r="H181" s="6"/>
      <c r="I181" s="6"/>
      <c r="J181" s="104"/>
      <c r="K181" s="6"/>
      <c r="L181" s="6"/>
      <c r="M181" s="6"/>
      <c r="N181" s="6"/>
      <c r="O181" s="6"/>
    </row>
    <row r="182" spans="1:15" x14ac:dyDescent="0.2">
      <c r="A182" s="6"/>
      <c r="B182" s="6"/>
      <c r="C182" s="6"/>
      <c r="D182" s="6"/>
      <c r="E182" s="6"/>
      <c r="F182" s="6"/>
      <c r="G182" s="6"/>
      <c r="H182" s="6"/>
      <c r="I182" s="6"/>
      <c r="J182" s="104"/>
      <c r="K182" s="6"/>
      <c r="L182" s="6"/>
      <c r="M182" s="6"/>
      <c r="N182" s="6"/>
      <c r="O182" s="6"/>
    </row>
    <row r="183" spans="1:15" ht="15.75" x14ac:dyDescent="0.2">
      <c r="A183" s="104"/>
      <c r="B183" s="104"/>
      <c r="C183" s="174" t="s">
        <v>28</v>
      </c>
      <c r="D183" s="177"/>
      <c r="E183" s="177"/>
      <c r="F183" s="177"/>
      <c r="G183" s="177"/>
      <c r="H183" s="177"/>
      <c r="I183" s="177"/>
      <c r="J183" s="206"/>
      <c r="K183" s="104"/>
      <c r="L183" s="104"/>
      <c r="M183" s="104"/>
      <c r="N183" s="175"/>
      <c r="O183" s="175"/>
    </row>
    <row r="184" spans="1:15" x14ac:dyDescent="0.2">
      <c r="A184" s="6"/>
      <c r="B184" s="6"/>
      <c r="C184" s="6"/>
      <c r="D184" s="6"/>
      <c r="E184" s="6"/>
      <c r="F184" s="6"/>
      <c r="G184" s="6"/>
      <c r="H184" s="6"/>
      <c r="I184" s="6"/>
      <c r="J184" s="104"/>
      <c r="K184" s="6"/>
      <c r="L184" s="6"/>
      <c r="M184" s="6"/>
      <c r="N184" s="6"/>
      <c r="O184" s="6"/>
    </row>
    <row r="185" spans="1:15" x14ac:dyDescent="0.2">
      <c r="A185" s="6"/>
      <c r="B185" s="6"/>
      <c r="C185" s="6" t="s">
        <v>250</v>
      </c>
      <c r="D185" s="6"/>
      <c r="E185" s="6"/>
      <c r="F185" s="6"/>
      <c r="G185" s="6"/>
      <c r="H185" s="6"/>
      <c r="I185" s="6"/>
      <c r="J185" s="104"/>
      <c r="K185" s="6"/>
      <c r="L185" s="6"/>
      <c r="M185" s="6"/>
      <c r="N185" s="6"/>
      <c r="O185" s="6"/>
    </row>
    <row r="186" spans="1:15" x14ac:dyDescent="0.2">
      <c r="A186" s="6"/>
      <c r="B186" s="6"/>
      <c r="C186" s="6" t="s">
        <v>252</v>
      </c>
      <c r="D186" s="6"/>
      <c r="E186" s="6"/>
      <c r="F186" s="6"/>
      <c r="G186" s="6"/>
      <c r="H186" s="6"/>
      <c r="I186" s="6"/>
      <c r="J186" s="104"/>
      <c r="K186" s="6"/>
      <c r="L186" s="6"/>
      <c r="M186" s="6"/>
      <c r="N186" s="6"/>
      <c r="O186" s="6"/>
    </row>
    <row r="187" spans="1:15" x14ac:dyDescent="0.2">
      <c r="A187" s="6"/>
      <c r="B187" s="6"/>
      <c r="C187" s="6"/>
      <c r="D187" s="6"/>
      <c r="E187" s="6"/>
      <c r="F187" s="6"/>
      <c r="G187" s="6"/>
      <c r="H187" s="6"/>
      <c r="I187" s="6"/>
      <c r="J187" s="104"/>
      <c r="K187" s="6"/>
      <c r="L187" s="6"/>
      <c r="M187" s="6"/>
      <c r="N187" s="6"/>
      <c r="O187" s="6"/>
    </row>
    <row r="188" spans="1:15" ht="15" x14ac:dyDescent="0.2">
      <c r="A188" s="104"/>
      <c r="B188" s="104"/>
      <c r="C188" s="204" t="s">
        <v>937</v>
      </c>
      <c r="D188" s="177"/>
      <c r="E188" s="177"/>
      <c r="F188" s="177"/>
      <c r="G188" s="177"/>
      <c r="H188" s="177"/>
      <c r="I188" s="177"/>
      <c r="J188" s="206"/>
      <c r="K188" s="104"/>
      <c r="L188" s="104"/>
      <c r="M188" s="104"/>
      <c r="N188" s="175"/>
      <c r="O188" s="177"/>
    </row>
  </sheetData>
  <mergeCells count="11">
    <mergeCell ref="D163:I163"/>
    <mergeCell ref="D82:I82"/>
    <mergeCell ref="F80:I80"/>
    <mergeCell ref="F107:I107"/>
    <mergeCell ref="D109:I109"/>
    <mergeCell ref="F134:I134"/>
    <mergeCell ref="F7:I7"/>
    <mergeCell ref="D55:I55"/>
    <mergeCell ref="F53:I53"/>
    <mergeCell ref="D136:I136"/>
    <mergeCell ref="F161:I161"/>
  </mergeCells>
  <conditionalFormatting sqref="D53 F53 D60:I60 D64:I64 O64 D67:I67 O67 O60 O53 D72">
    <cfRule type="expression" dxfId="790" priority="177">
      <formula>PxGrandfathered&lt;&gt;1</formula>
    </cfRule>
  </conditionalFormatting>
  <conditionalFormatting sqref="C66 C67:I67 O67">
    <cfRule type="expression" dxfId="789" priority="168">
      <formula>TPCont=0</formula>
    </cfRule>
  </conditionalFormatting>
  <conditionalFormatting sqref="C70">
    <cfRule type="expression" dxfId="788" priority="165">
      <formula>$C$70=""</formula>
    </cfRule>
  </conditionalFormatting>
  <conditionalFormatting sqref="D37:I37 C43:I43">
    <cfRule type="expression" dxfId="787" priority="164">
      <formula>$C$43=""</formula>
    </cfRule>
  </conditionalFormatting>
  <conditionalFormatting sqref="D15:I15">
    <cfRule type="expression" dxfId="786" priority="160">
      <formula>$C$43=""</formula>
    </cfRule>
  </conditionalFormatting>
  <conditionalFormatting sqref="D80 F80 D87:I87 D91:I91 O91 D94:I94 O94 O87 O80 D99">
    <cfRule type="expression" dxfId="785" priority="52">
      <formula>PxGrandfathered&lt;&gt;1</formula>
    </cfRule>
  </conditionalFormatting>
  <conditionalFormatting sqref="D107 F107 D114:I114 D118:I118 O118 D121:I121 O121 O114 O107 D126">
    <cfRule type="expression" dxfId="784" priority="51">
      <formula>PxGrandfathered&lt;&gt;1</formula>
    </cfRule>
  </conditionalFormatting>
  <conditionalFormatting sqref="D134 F134 D141:I141 D145:I145 O145 O148 D148:I148 O141 O134 D153">
    <cfRule type="expression" dxfId="783" priority="50">
      <formula>PxGrandfathered&lt;&gt;1</formula>
    </cfRule>
  </conditionalFormatting>
  <conditionalFormatting sqref="D161 F161 D168:I168 D172:I172 O172 D175:I175 O175 O168 O161 D180">
    <cfRule type="expression" dxfId="782" priority="49">
      <formula>PxGrandfathered&lt;&gt;1</formula>
    </cfRule>
  </conditionalFormatting>
  <conditionalFormatting sqref="C94:I94 O94">
    <cfRule type="expression" dxfId="781" priority="39">
      <formula>TPCont=0</formula>
    </cfRule>
  </conditionalFormatting>
  <conditionalFormatting sqref="C121:I121 O121">
    <cfRule type="expression" dxfId="780" priority="38">
      <formula>TPCont=0</formula>
    </cfRule>
  </conditionalFormatting>
  <conditionalFormatting sqref="C148:I148 O148">
    <cfRule type="expression" dxfId="779" priority="37">
      <formula>TPCont=0</formula>
    </cfRule>
  </conditionalFormatting>
  <conditionalFormatting sqref="C175:I175 O175">
    <cfRule type="expression" dxfId="778" priority="36">
      <formula>TPCont=0</formula>
    </cfRule>
  </conditionalFormatting>
  <conditionalFormatting sqref="O53">
    <cfRule type="expression" dxfId="777" priority="33">
      <formula>F53=""</formula>
    </cfRule>
  </conditionalFormatting>
  <conditionalFormatting sqref="O161">
    <cfRule type="expression" dxfId="776" priority="32">
      <formula>$F$161=""</formula>
    </cfRule>
  </conditionalFormatting>
  <conditionalFormatting sqref="O134">
    <cfRule type="expression" dxfId="775" priority="31">
      <formula>$F$134=""</formula>
    </cfRule>
  </conditionalFormatting>
  <conditionalFormatting sqref="O107">
    <cfRule type="expression" dxfId="774" priority="30">
      <formula>$F$107=""</formula>
    </cfRule>
  </conditionalFormatting>
  <conditionalFormatting sqref="O80">
    <cfRule type="expression" dxfId="773" priority="29">
      <formula>$F$80=""</formula>
    </cfRule>
  </conditionalFormatting>
  <conditionalFormatting sqref="C15">
    <cfRule type="expression" dxfId="772" priority="27">
      <formula>$C$43=""</formula>
    </cfRule>
  </conditionalFormatting>
  <conditionalFormatting sqref="C93">
    <cfRule type="expression" dxfId="771" priority="25">
      <formula>TPCont=0</formula>
    </cfRule>
  </conditionalFormatting>
  <conditionalFormatting sqref="C120">
    <cfRule type="expression" dxfId="770" priority="24">
      <formula>TPCont=0</formula>
    </cfRule>
  </conditionalFormatting>
  <conditionalFormatting sqref="C147">
    <cfRule type="expression" dxfId="769" priority="23">
      <formula>TPCont=0</formula>
    </cfRule>
  </conditionalFormatting>
  <conditionalFormatting sqref="C174">
    <cfRule type="expression" dxfId="768" priority="22">
      <formula>TPCont=0</formula>
    </cfRule>
  </conditionalFormatting>
  <conditionalFormatting sqref="C97">
    <cfRule type="expression" dxfId="767" priority="21">
      <formula>$C$70=""</formula>
    </cfRule>
  </conditionalFormatting>
  <conditionalFormatting sqref="C124">
    <cfRule type="expression" dxfId="766" priority="20">
      <formula>$C$70=""</formula>
    </cfRule>
  </conditionalFormatting>
  <conditionalFormatting sqref="C151">
    <cfRule type="expression" dxfId="765" priority="19">
      <formula>$C$70=""</formula>
    </cfRule>
  </conditionalFormatting>
  <conditionalFormatting sqref="C178">
    <cfRule type="expression" dxfId="764" priority="18">
      <formula>$C$70=""</formula>
    </cfRule>
  </conditionalFormatting>
  <conditionalFormatting sqref="D70:I70">
    <cfRule type="expression" dxfId="763" priority="17">
      <formula>$C$70=""</formula>
    </cfRule>
  </conditionalFormatting>
  <conditionalFormatting sqref="D97:I97">
    <cfRule type="expression" dxfId="762" priority="16">
      <formula>$C$70=""</formula>
    </cfRule>
  </conditionalFormatting>
  <conditionalFormatting sqref="D124:I124">
    <cfRule type="expression" dxfId="761" priority="15">
      <formula>$C$70=""</formula>
    </cfRule>
  </conditionalFormatting>
  <conditionalFormatting sqref="D151:I151">
    <cfRule type="expression" dxfId="760" priority="14">
      <formula>$C$70=""</formula>
    </cfRule>
  </conditionalFormatting>
  <conditionalFormatting sqref="D178:I178">
    <cfRule type="expression" dxfId="759" priority="13">
      <formula>$C$70=""</formula>
    </cfRule>
  </conditionalFormatting>
  <conditionalFormatting sqref="D31:I36">
    <cfRule type="expression" dxfId="758" priority="12">
      <formula>$C$43=""</formula>
    </cfRule>
  </conditionalFormatting>
  <conditionalFormatting sqref="F7:I7">
    <cfRule type="notContainsBlanks" dxfId="757" priority="11">
      <formula>LEN(TRIM(F7))&gt;0</formula>
    </cfRule>
  </conditionalFormatting>
  <conditionalFormatting sqref="O51">
    <cfRule type="notContainsBlanks" dxfId="756" priority="10">
      <formula>LEN(TRIM(O51))&gt;0</formula>
    </cfRule>
  </conditionalFormatting>
  <conditionalFormatting sqref="D57:I57">
    <cfRule type="expression" dxfId="755" priority="9">
      <formula>PxGrandfathered&lt;&gt;1</formula>
    </cfRule>
  </conditionalFormatting>
  <conditionalFormatting sqref="D84:I84">
    <cfRule type="expression" dxfId="754" priority="4">
      <formula>PxGrandfathered&lt;&gt;1</formula>
    </cfRule>
  </conditionalFormatting>
  <conditionalFormatting sqref="D111:I111">
    <cfRule type="expression" dxfId="753" priority="3">
      <formula>PxGrandfathered&lt;&gt;1</formula>
    </cfRule>
  </conditionalFormatting>
  <conditionalFormatting sqref="D138:I138">
    <cfRule type="expression" dxfId="752" priority="2">
      <formula>PxGrandfathered&lt;&gt;1</formula>
    </cfRule>
  </conditionalFormatting>
  <conditionalFormatting sqref="D165:I165">
    <cfRule type="expression" dxfId="751" priority="1">
      <formula>PxGrandfathered&lt;&gt;1</formula>
    </cfRule>
  </conditionalFormatting>
  <dataValidations count="7">
    <dataValidation type="list" allowBlank="1" showInputMessage="1" showErrorMessage="1" sqref="D53 D80 D107 D134 D161">
      <formula1>EPISource</formula1>
    </dataValidation>
    <dataValidation type="list" allowBlank="1" showInputMessage="1" showErrorMessage="1" sqref="F53:I53">
      <formula1>GFPops01</formula1>
    </dataValidation>
    <dataValidation type="list" allowBlank="1" showInputMessage="1" showErrorMessage="1" sqref="F80:I80">
      <formula1>GFPops02</formula1>
    </dataValidation>
    <dataValidation type="list" allowBlank="1" showInputMessage="1" showErrorMessage="1" sqref="F107:I107">
      <formula1>GFPops03</formula1>
    </dataValidation>
    <dataValidation type="list" allowBlank="1" showInputMessage="1" showErrorMessage="1" sqref="F134:I134">
      <formula1>GFPops04</formula1>
    </dataValidation>
    <dataValidation type="list" allowBlank="1" showInputMessage="1" showErrorMessage="1" sqref="F161:I161">
      <formula1>GFPops05</formula1>
    </dataValidation>
    <dataValidation type="list" allowBlank="1" showInputMessage="1" showErrorMessage="1" sqref="D72 D99 D126 D153 D180">
      <formula1>CoPayBands</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pageSetUpPr fitToPage="1"/>
  </sheetPr>
  <dimension ref="A1:AD341"/>
  <sheetViews>
    <sheetView showGridLines="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50.7109375" customWidth="1"/>
    <col min="4" max="15" width="15.7109375" customWidth="1"/>
    <col min="16" max="17" width="10.7109375" customWidth="1"/>
    <col min="18" max="18" width="15.7109375" style="570" customWidth="1"/>
    <col min="19" max="20" width="15.7109375" customWidth="1"/>
    <col min="21" max="26" width="10.7109375" hidden="1" customWidth="1"/>
    <col min="27" max="27" width="10.7109375" style="570" hidden="1" customWidth="1"/>
    <col min="28" max="28" width="50.7109375" hidden="1" customWidth="1"/>
  </cols>
  <sheetData>
    <row r="1" spans="1:28" ht="23.25" x14ac:dyDescent="0.2">
      <c r="A1" s="469">
        <f>IF((SUM(D40:I40)+SUM(D41:I41)&lt;&gt;0),2,0)</f>
        <v>0</v>
      </c>
      <c r="B1" s="465"/>
      <c r="C1" s="466" t="s">
        <v>1007</v>
      </c>
      <c r="D1" s="465"/>
      <c r="E1" s="465"/>
      <c r="F1" s="465"/>
      <c r="G1" s="465"/>
      <c r="H1" s="465"/>
      <c r="I1" s="801" t="str">
        <f>IF(ScriptSourceCode&lt;&gt;1,"","** Co-payments only **")</f>
        <v/>
      </c>
      <c r="J1" s="801"/>
      <c r="K1" s="801"/>
      <c r="L1" s="465"/>
      <c r="M1" s="465"/>
      <c r="N1" s="465"/>
      <c r="O1" s="465"/>
      <c r="P1" s="465"/>
      <c r="Q1" s="465"/>
      <c r="R1" s="465"/>
      <c r="S1" s="465"/>
      <c r="T1" s="465"/>
      <c r="U1" s="467"/>
      <c r="V1" s="467"/>
      <c r="W1" s="467"/>
      <c r="X1" s="467"/>
      <c r="Y1" s="467"/>
      <c r="Z1" s="467"/>
      <c r="AA1" s="467"/>
      <c r="AB1" s="467"/>
    </row>
    <row r="2" spans="1:28" ht="15.75" x14ac:dyDescent="0.2">
      <c r="A2" s="465"/>
      <c r="B2" s="465"/>
      <c r="C2" s="468" t="str">
        <f>CONCATENATE("Name of medicine: ", MedicineBrand)</f>
        <v>Name of medicine:  (®)</v>
      </c>
      <c r="D2" s="465"/>
      <c r="E2" s="465"/>
      <c r="F2" s="465"/>
      <c r="G2" s="465"/>
      <c r="H2" s="465"/>
      <c r="I2" s="465"/>
      <c r="J2" s="465"/>
      <c r="K2" s="465"/>
      <c r="L2" s="465"/>
      <c r="M2" s="465"/>
      <c r="N2" s="465"/>
      <c r="O2" s="465"/>
      <c r="P2" s="465"/>
      <c r="Q2" s="465"/>
      <c r="R2" s="465"/>
      <c r="S2" s="465"/>
      <c r="T2" s="465"/>
      <c r="U2" s="467"/>
      <c r="V2" s="467"/>
      <c r="W2" s="467"/>
      <c r="X2" s="467"/>
      <c r="Y2" s="467"/>
      <c r="Z2" s="467"/>
      <c r="AA2" s="467"/>
      <c r="AB2" s="467"/>
    </row>
    <row r="3" spans="1:28" ht="15.75" x14ac:dyDescent="0.2">
      <c r="A3" s="465"/>
      <c r="B3" s="465"/>
      <c r="C3" s="468" t="str">
        <f>CONCATENATE("Indication: ", Indication)</f>
        <v xml:space="preserve">Indication: </v>
      </c>
      <c r="D3" s="465"/>
      <c r="E3" s="465"/>
      <c r="F3" s="465"/>
      <c r="G3" s="465"/>
      <c r="H3" s="465"/>
      <c r="I3" s="465"/>
      <c r="J3" s="465"/>
      <c r="K3" s="465"/>
      <c r="L3" s="465"/>
      <c r="M3" s="465"/>
      <c r="N3" s="465"/>
      <c r="O3" s="465"/>
      <c r="P3" s="465"/>
      <c r="Q3" s="465"/>
      <c r="R3" s="465"/>
      <c r="S3" s="465"/>
      <c r="T3" s="465"/>
      <c r="U3" s="467"/>
      <c r="V3" s="467"/>
      <c r="W3" s="467"/>
      <c r="X3" s="467"/>
      <c r="Y3" s="467"/>
      <c r="Z3" s="467"/>
      <c r="AA3" s="467"/>
      <c r="AB3" s="467"/>
    </row>
    <row r="4" spans="1:28" s="575" customFormat="1" x14ac:dyDescent="0.2">
      <c r="A4" s="572"/>
      <c r="B4" s="572"/>
      <c r="C4" s="266"/>
      <c r="D4" s="572"/>
      <c r="E4" s="572"/>
      <c r="F4" s="572"/>
      <c r="G4" s="572"/>
      <c r="H4" s="572"/>
      <c r="I4" s="572"/>
      <c r="J4" s="572"/>
      <c r="K4" s="572"/>
      <c r="L4" s="572"/>
      <c r="M4" s="572"/>
      <c r="N4" s="572"/>
      <c r="O4" s="572"/>
      <c r="P4" s="572"/>
      <c r="Q4" s="572"/>
      <c r="R4" s="572"/>
      <c r="S4" s="572"/>
      <c r="T4" s="572"/>
      <c r="U4" s="571"/>
      <c r="V4" s="571"/>
      <c r="W4" s="571"/>
      <c r="X4" s="571"/>
      <c r="Y4" s="571"/>
      <c r="Z4" s="571"/>
      <c r="AA4" s="571"/>
      <c r="AB4" s="571"/>
    </row>
    <row r="5" spans="1:28" ht="15.75" x14ac:dyDescent="0.2">
      <c r="A5" s="173"/>
      <c r="B5" s="173"/>
      <c r="C5" s="174" t="s">
        <v>2</v>
      </c>
      <c r="D5" s="175"/>
      <c r="E5" s="175"/>
      <c r="F5" s="175"/>
      <c r="G5" s="175"/>
      <c r="H5" s="175"/>
      <c r="I5" s="175"/>
      <c r="J5" s="175"/>
      <c r="K5" s="175"/>
      <c r="L5" s="175"/>
      <c r="M5" s="175"/>
      <c r="N5" s="175"/>
      <c r="O5" s="175"/>
      <c r="P5" s="175"/>
      <c r="Q5" s="175"/>
      <c r="R5" s="175"/>
      <c r="S5" s="175"/>
      <c r="T5" s="175"/>
      <c r="U5" s="37"/>
      <c r="V5" s="37"/>
      <c r="W5" s="37"/>
      <c r="X5" s="37"/>
      <c r="Y5" s="37"/>
      <c r="Z5" s="37"/>
      <c r="AA5" s="37"/>
      <c r="AB5" s="37"/>
    </row>
    <row r="6" spans="1:28" ht="14.25" x14ac:dyDescent="0.2">
      <c r="A6" s="171"/>
      <c r="B6" s="171"/>
      <c r="C6" s="209"/>
      <c r="D6" s="171"/>
      <c r="E6" s="171"/>
      <c r="F6" s="171"/>
      <c r="G6" s="171"/>
      <c r="H6" s="171"/>
      <c r="I6" s="171"/>
      <c r="J6" s="171"/>
      <c r="K6" s="171"/>
      <c r="L6" s="171"/>
      <c r="M6" s="171"/>
      <c r="N6" s="171"/>
      <c r="O6" s="171"/>
      <c r="P6" s="171"/>
      <c r="Q6" s="171"/>
      <c r="R6" s="592"/>
      <c r="S6" s="171"/>
      <c r="T6" s="171"/>
      <c r="U6" s="5"/>
      <c r="V6" s="5"/>
      <c r="W6" s="5"/>
      <c r="X6" s="5"/>
      <c r="Y6" s="5"/>
      <c r="Z6" s="5"/>
      <c r="AA6" s="5"/>
      <c r="AB6" s="5"/>
    </row>
    <row r="7" spans="1:28" x14ac:dyDescent="0.2">
      <c r="A7" s="176"/>
      <c r="B7" s="171"/>
      <c r="C7" s="84" t="str">
        <f>"Estimate the number of scripts dispensed for currently listed medicines. Estimate " &amp; IF(MarketImpact=0," the rate of substitution of the proposed medicine and ","") &amp; "the market growth rate over the six years."</f>
        <v>Estimate the number of scripts dispensed for currently listed medicines. Estimate the market growth rate over the six years.</v>
      </c>
      <c r="D7" s="121"/>
      <c r="E7" s="121"/>
      <c r="F7" s="121"/>
      <c r="G7" s="121"/>
      <c r="H7" s="121"/>
      <c r="I7" s="121"/>
      <c r="J7" s="171"/>
      <c r="K7" s="171"/>
      <c r="L7" s="171"/>
      <c r="M7" s="171"/>
      <c r="N7" s="171"/>
      <c r="O7" s="171"/>
      <c r="P7" s="171"/>
      <c r="Q7" s="171"/>
      <c r="R7" s="592"/>
      <c r="S7" s="171"/>
      <c r="T7" s="171"/>
      <c r="U7" s="5"/>
      <c r="V7" s="5"/>
      <c r="W7" s="5"/>
      <c r="X7" s="5"/>
      <c r="Y7" s="5"/>
      <c r="Z7" s="5"/>
      <c r="AA7" s="5"/>
      <c r="AB7" s="5"/>
    </row>
    <row r="8" spans="1:28" x14ac:dyDescent="0.2">
      <c r="A8" s="171"/>
      <c r="B8" s="171"/>
      <c r="C8" s="6"/>
      <c r="D8" s="121"/>
      <c r="E8" s="121"/>
      <c r="F8" s="121"/>
      <c r="G8" s="121"/>
      <c r="H8" s="121"/>
      <c r="I8" s="121"/>
      <c r="J8" s="171"/>
      <c r="K8" s="171"/>
      <c r="L8" s="171"/>
      <c r="M8" s="171"/>
      <c r="N8" s="171"/>
      <c r="O8" s="171"/>
      <c r="P8" s="171"/>
      <c r="Q8" s="171"/>
      <c r="R8" s="592"/>
      <c r="S8" s="171"/>
      <c r="T8" s="171"/>
      <c r="U8" s="5"/>
      <c r="V8" s="5"/>
      <c r="W8" s="5"/>
      <c r="X8" s="5"/>
      <c r="Y8" s="5"/>
      <c r="Z8" s="5"/>
      <c r="AA8" s="5"/>
      <c r="AB8" s="5"/>
    </row>
    <row r="9" spans="1:28" x14ac:dyDescent="0.2">
      <c r="A9" s="171"/>
      <c r="B9" s="171"/>
      <c r="C9" s="6"/>
      <c r="D9" s="121"/>
      <c r="E9" s="121"/>
      <c r="F9" s="121"/>
      <c r="G9" s="121"/>
      <c r="H9" s="121"/>
      <c r="I9" s="121"/>
      <c r="J9" s="171"/>
      <c r="K9" s="171"/>
      <c r="L9" s="171"/>
      <c r="M9" s="171"/>
      <c r="N9" s="171"/>
      <c r="O9" s="171"/>
      <c r="P9" s="171"/>
      <c r="Q9" s="171"/>
      <c r="R9" s="592"/>
      <c r="S9" s="171"/>
      <c r="T9" s="171"/>
      <c r="U9" s="5"/>
      <c r="V9" s="5"/>
      <c r="W9" s="5"/>
      <c r="X9" s="5"/>
      <c r="Y9" s="5"/>
      <c r="Z9" s="5"/>
      <c r="AA9" s="5"/>
      <c r="AB9" s="5"/>
    </row>
    <row r="10" spans="1:28" ht="15.75" x14ac:dyDescent="0.2">
      <c r="A10" s="176"/>
      <c r="B10" s="176"/>
      <c r="C10" s="174" t="s">
        <v>939</v>
      </c>
      <c r="D10" s="177"/>
      <c r="E10" s="177"/>
      <c r="F10" s="177"/>
      <c r="G10" s="177"/>
      <c r="H10" s="177"/>
      <c r="I10" s="178"/>
      <c r="J10" s="178"/>
      <c r="K10" s="174"/>
      <c r="L10" s="207"/>
      <c r="M10" s="175"/>
      <c r="N10" s="175"/>
      <c r="O10" s="175"/>
      <c r="P10" s="175"/>
      <c r="Q10" s="175"/>
      <c r="R10" s="175"/>
      <c r="S10" s="175"/>
      <c r="T10" s="175"/>
      <c r="U10" s="37"/>
      <c r="V10" s="37"/>
      <c r="W10" s="37"/>
      <c r="X10" s="37"/>
      <c r="Y10" s="37"/>
      <c r="Z10" s="37"/>
      <c r="AA10" s="37"/>
      <c r="AB10" s="37"/>
    </row>
    <row r="11" spans="1:28" s="575" customFormat="1" x14ac:dyDescent="0.2">
      <c r="A11" s="572"/>
      <c r="B11" s="572"/>
      <c r="C11" s="572"/>
      <c r="D11" s="572"/>
      <c r="E11" s="572"/>
      <c r="F11" s="572"/>
      <c r="G11" s="572"/>
      <c r="H11" s="572"/>
      <c r="I11" s="572"/>
      <c r="J11" s="572"/>
      <c r="K11" s="572"/>
      <c r="L11" s="572"/>
      <c r="M11" s="572"/>
      <c r="N11" s="572"/>
      <c r="O11" s="572"/>
      <c r="P11" s="572"/>
      <c r="Q11" s="572"/>
      <c r="R11" s="572"/>
      <c r="S11" s="572"/>
      <c r="T11" s="572"/>
      <c r="U11" s="571"/>
      <c r="V11" s="571"/>
      <c r="W11" s="571"/>
      <c r="X11" s="571"/>
      <c r="Y11" s="571"/>
      <c r="Z11" s="571"/>
      <c r="AA11" s="571"/>
      <c r="AB11" s="571"/>
    </row>
    <row r="12" spans="1:28" s="575" customFormat="1" x14ac:dyDescent="0.2">
      <c r="A12" s="572"/>
      <c r="B12" s="572"/>
      <c r="C12" s="572" t="s">
        <v>29</v>
      </c>
      <c r="D12" s="572"/>
      <c r="E12" s="572"/>
      <c r="F12" s="572"/>
      <c r="G12" s="572"/>
      <c r="H12" s="572"/>
      <c r="I12" s="572"/>
      <c r="J12" s="572"/>
      <c r="K12" s="572"/>
      <c r="L12" s="572"/>
      <c r="M12" s="572"/>
      <c r="N12" s="572"/>
      <c r="O12" s="572"/>
      <c r="P12" s="572"/>
      <c r="Q12" s="572"/>
      <c r="R12" s="572"/>
      <c r="S12" s="572"/>
      <c r="T12" s="572"/>
      <c r="U12" s="571"/>
      <c r="V12" s="571"/>
      <c r="W12" s="571"/>
      <c r="X12" s="571"/>
      <c r="Y12" s="571"/>
      <c r="Z12" s="571"/>
      <c r="AA12" s="571"/>
      <c r="AB12" s="571"/>
    </row>
    <row r="13" spans="1:28" s="575" customFormat="1" x14ac:dyDescent="0.2">
      <c r="A13" s="572"/>
      <c r="B13" s="572"/>
      <c r="C13" s="572"/>
      <c r="D13" s="572"/>
      <c r="E13" s="572"/>
      <c r="F13" s="572"/>
      <c r="G13" s="572"/>
      <c r="H13" s="572"/>
      <c r="I13" s="572"/>
      <c r="J13" s="572"/>
      <c r="K13" s="180"/>
      <c r="L13" s="572"/>
      <c r="M13" s="572"/>
      <c r="N13" s="572"/>
      <c r="O13" s="572"/>
      <c r="P13" s="572"/>
      <c r="Q13" s="572"/>
      <c r="R13" s="572"/>
      <c r="S13" s="572"/>
      <c r="T13" s="572"/>
      <c r="U13" s="571"/>
      <c r="V13" s="571"/>
      <c r="W13" s="571"/>
      <c r="X13" s="571"/>
      <c r="Y13" s="571"/>
      <c r="Z13" s="571"/>
      <c r="AA13" s="571"/>
      <c r="AB13" s="571"/>
    </row>
    <row r="14" spans="1:28" s="575" customFormat="1" x14ac:dyDescent="0.2">
      <c r="A14" s="572"/>
      <c r="B14" s="572"/>
      <c r="C14" s="211"/>
      <c r="D14" s="792" t="s">
        <v>256</v>
      </c>
      <c r="E14" s="802"/>
      <c r="F14" s="802"/>
      <c r="G14" s="802"/>
      <c r="H14" s="802"/>
      <c r="I14" s="803"/>
      <c r="J14" s="572"/>
      <c r="K14" s="789" t="s">
        <v>257</v>
      </c>
      <c r="L14" s="790"/>
      <c r="M14" s="790"/>
      <c r="N14" s="790"/>
      <c r="O14" s="791"/>
      <c r="P14" s="791"/>
      <c r="Q14" s="572"/>
      <c r="R14" s="572"/>
      <c r="S14" s="572"/>
      <c r="T14" s="572"/>
      <c r="U14" s="571"/>
      <c r="V14" s="571"/>
      <c r="W14" s="571"/>
      <c r="X14" s="571"/>
      <c r="Y14" s="571"/>
      <c r="Z14" s="571"/>
      <c r="AA14" s="571"/>
      <c r="AB14" s="571"/>
    </row>
    <row r="15" spans="1:28" s="575" customFormat="1" x14ac:dyDescent="0.2">
      <c r="A15" s="572"/>
      <c r="B15" s="572"/>
      <c r="C15" s="25" t="s">
        <v>883</v>
      </c>
      <c r="D15" s="629">
        <f>FirstYear</f>
        <v>0</v>
      </c>
      <c r="E15" s="629">
        <f>D15+1</f>
        <v>1</v>
      </c>
      <c r="F15" s="629">
        <f>E15+1</f>
        <v>2</v>
      </c>
      <c r="G15" s="629">
        <f>F15+1</f>
        <v>3</v>
      </c>
      <c r="H15" s="629">
        <f>G15+1</f>
        <v>4</v>
      </c>
      <c r="I15" s="629">
        <f>H15+1</f>
        <v>5</v>
      </c>
      <c r="J15" s="572"/>
      <c r="K15" s="629">
        <f>FirstYear</f>
        <v>0</v>
      </c>
      <c r="L15" s="629">
        <f>K15+1</f>
        <v>1</v>
      </c>
      <c r="M15" s="629">
        <f>L15+1</f>
        <v>2</v>
      </c>
      <c r="N15" s="629">
        <f>M15+1</f>
        <v>3</v>
      </c>
      <c r="O15" s="629">
        <f>N15+1</f>
        <v>4</v>
      </c>
      <c r="P15" s="629">
        <f>O15+1</f>
        <v>5</v>
      </c>
      <c r="Q15" s="572"/>
      <c r="R15" s="572"/>
      <c r="S15" s="572"/>
      <c r="T15" s="572"/>
      <c r="U15" s="571"/>
      <c r="V15" s="571"/>
      <c r="W15" s="571"/>
      <c r="X15" s="571"/>
      <c r="Y15" s="571"/>
      <c r="Z15" s="571"/>
      <c r="AA15" s="571"/>
      <c r="AB15" s="571"/>
    </row>
    <row r="16" spans="1:28" s="575" customFormat="1" x14ac:dyDescent="0.2">
      <c r="A16" s="572"/>
      <c r="B16" s="212">
        <v>1</v>
      </c>
      <c r="C16" s="631" t="str">
        <f t="shared" ref="C16:C35" si="0">INDEX(NamesMS,B16)</f>
        <v>** NOT USED **</v>
      </c>
      <c r="D16" s="607">
        <f t="shared" ref="D16:I16" si="1">IF($C16&lt;&gt;"",E108,0)</f>
        <v>0</v>
      </c>
      <c r="E16" s="607">
        <f t="shared" si="1"/>
        <v>0</v>
      </c>
      <c r="F16" s="607">
        <f t="shared" si="1"/>
        <v>0</v>
      </c>
      <c r="G16" s="607">
        <f t="shared" si="1"/>
        <v>0</v>
      </c>
      <c r="H16" s="607">
        <f t="shared" si="1"/>
        <v>0</v>
      </c>
      <c r="I16" s="607">
        <f t="shared" si="1"/>
        <v>0</v>
      </c>
      <c r="J16" s="654"/>
      <c r="K16" s="607">
        <f t="shared" ref="K16:P16" si="2">IF($C16&lt;&gt;"",E109,0)</f>
        <v>0</v>
      </c>
      <c r="L16" s="607">
        <f t="shared" si="2"/>
        <v>0</v>
      </c>
      <c r="M16" s="607">
        <f t="shared" si="2"/>
        <v>0</v>
      </c>
      <c r="N16" s="607">
        <f t="shared" si="2"/>
        <v>0</v>
      </c>
      <c r="O16" s="607">
        <f t="shared" si="2"/>
        <v>0</v>
      </c>
      <c r="P16" s="607">
        <f t="shared" si="2"/>
        <v>0</v>
      </c>
      <c r="Q16" s="593"/>
      <c r="R16" s="593"/>
      <c r="S16" s="593"/>
      <c r="T16" s="593"/>
      <c r="X16" s="571"/>
      <c r="Y16" s="571"/>
      <c r="Z16" s="571"/>
      <c r="AA16" s="571"/>
      <c r="AB16" s="571"/>
    </row>
    <row r="17" spans="1:28" s="575" customFormat="1" x14ac:dyDescent="0.2">
      <c r="A17" s="572"/>
      <c r="B17" s="212">
        <v>2</v>
      </c>
      <c r="C17" s="631" t="str">
        <f t="shared" si="0"/>
        <v>** NOT USED **</v>
      </c>
      <c r="D17" s="607">
        <f t="shared" ref="D17:I17" si="3">IF($C17&lt;&gt;"",E120,0)</f>
        <v>0</v>
      </c>
      <c r="E17" s="607">
        <f t="shared" si="3"/>
        <v>0</v>
      </c>
      <c r="F17" s="607">
        <f t="shared" si="3"/>
        <v>0</v>
      </c>
      <c r="G17" s="607">
        <f t="shared" si="3"/>
        <v>0</v>
      </c>
      <c r="H17" s="607">
        <f t="shared" si="3"/>
        <v>0</v>
      </c>
      <c r="I17" s="607">
        <f t="shared" si="3"/>
        <v>0</v>
      </c>
      <c r="J17" s="572"/>
      <c r="K17" s="607">
        <f t="shared" ref="K17:P17" si="4">IF($C17&lt;&gt;"",E121,0)</f>
        <v>0</v>
      </c>
      <c r="L17" s="607">
        <f t="shared" si="4"/>
        <v>0</v>
      </c>
      <c r="M17" s="607">
        <f t="shared" si="4"/>
        <v>0</v>
      </c>
      <c r="N17" s="607">
        <f t="shared" si="4"/>
        <v>0</v>
      </c>
      <c r="O17" s="607">
        <f t="shared" si="4"/>
        <v>0</v>
      </c>
      <c r="P17" s="607">
        <f t="shared" si="4"/>
        <v>0</v>
      </c>
      <c r="Q17" s="593"/>
      <c r="R17" s="593"/>
      <c r="S17" s="593"/>
      <c r="T17" s="593"/>
      <c r="X17" s="571"/>
      <c r="Y17" s="571"/>
      <c r="Z17" s="571"/>
      <c r="AA17" s="571"/>
      <c r="AB17" s="571"/>
    </row>
    <row r="18" spans="1:28" s="575" customFormat="1" x14ac:dyDescent="0.2">
      <c r="A18" s="572"/>
      <c r="B18" s="212">
        <v>3</v>
      </c>
      <c r="C18" s="631" t="str">
        <f t="shared" si="0"/>
        <v>** NOT USED **</v>
      </c>
      <c r="D18" s="607">
        <f t="shared" ref="D18:I18" si="5">IF($C18&lt;&gt;"",E132,0)</f>
        <v>0</v>
      </c>
      <c r="E18" s="607">
        <f t="shared" si="5"/>
        <v>0</v>
      </c>
      <c r="F18" s="607">
        <f t="shared" si="5"/>
        <v>0</v>
      </c>
      <c r="G18" s="607">
        <f t="shared" si="5"/>
        <v>0</v>
      </c>
      <c r="H18" s="607">
        <f t="shared" si="5"/>
        <v>0</v>
      </c>
      <c r="I18" s="607">
        <f t="shared" si="5"/>
        <v>0</v>
      </c>
      <c r="J18" s="655"/>
      <c r="K18" s="607">
        <f t="shared" ref="K18:P18" si="6">IF($C18&lt;&gt;"",E133,0)</f>
        <v>0</v>
      </c>
      <c r="L18" s="607">
        <f t="shared" si="6"/>
        <v>0</v>
      </c>
      <c r="M18" s="607">
        <f t="shared" si="6"/>
        <v>0</v>
      </c>
      <c r="N18" s="607">
        <f t="shared" si="6"/>
        <v>0</v>
      </c>
      <c r="O18" s="607">
        <f t="shared" si="6"/>
        <v>0</v>
      </c>
      <c r="P18" s="607">
        <f t="shared" si="6"/>
        <v>0</v>
      </c>
      <c r="Q18" s="593"/>
      <c r="R18" s="593"/>
      <c r="S18" s="593"/>
      <c r="T18" s="593"/>
      <c r="X18" s="571"/>
      <c r="Y18" s="571"/>
      <c r="Z18" s="571"/>
      <c r="AA18" s="571"/>
      <c r="AB18" s="571"/>
    </row>
    <row r="19" spans="1:28" s="575" customFormat="1" x14ac:dyDescent="0.2">
      <c r="A19" s="572"/>
      <c r="B19" s="212">
        <v>4</v>
      </c>
      <c r="C19" s="631" t="str">
        <f t="shared" si="0"/>
        <v>** NOT USED **</v>
      </c>
      <c r="D19" s="607">
        <f t="shared" ref="D19:I19" si="7">IF($C19&lt;&gt;"",E144,0)</f>
        <v>0</v>
      </c>
      <c r="E19" s="607">
        <f t="shared" si="7"/>
        <v>0</v>
      </c>
      <c r="F19" s="607">
        <f t="shared" si="7"/>
        <v>0</v>
      </c>
      <c r="G19" s="607">
        <f t="shared" si="7"/>
        <v>0</v>
      </c>
      <c r="H19" s="607">
        <f t="shared" si="7"/>
        <v>0</v>
      </c>
      <c r="I19" s="607">
        <f t="shared" si="7"/>
        <v>0</v>
      </c>
      <c r="J19" s="655"/>
      <c r="K19" s="607">
        <f t="shared" ref="K19:P19" si="8">IF($C19&lt;&gt;"",E145,0)</f>
        <v>0</v>
      </c>
      <c r="L19" s="607">
        <f t="shared" si="8"/>
        <v>0</v>
      </c>
      <c r="M19" s="607">
        <f t="shared" si="8"/>
        <v>0</v>
      </c>
      <c r="N19" s="607">
        <f t="shared" si="8"/>
        <v>0</v>
      </c>
      <c r="O19" s="607">
        <f t="shared" si="8"/>
        <v>0</v>
      </c>
      <c r="P19" s="607">
        <f t="shared" si="8"/>
        <v>0</v>
      </c>
      <c r="Q19" s="593"/>
      <c r="R19" s="593"/>
      <c r="S19" s="593"/>
      <c r="T19" s="593"/>
      <c r="X19" s="571"/>
      <c r="Y19" s="571"/>
      <c r="Z19" s="571"/>
      <c r="AA19" s="571"/>
      <c r="AB19" s="571"/>
    </row>
    <row r="20" spans="1:28" s="575" customFormat="1" x14ac:dyDescent="0.2">
      <c r="A20" s="572"/>
      <c r="B20" s="212">
        <v>5</v>
      </c>
      <c r="C20" s="631" t="str">
        <f t="shared" si="0"/>
        <v>** NOT USED **</v>
      </c>
      <c r="D20" s="607">
        <f t="shared" ref="D20:I20" si="9">IF($C20&lt;&gt;"",E156,0)</f>
        <v>0</v>
      </c>
      <c r="E20" s="607">
        <f t="shared" si="9"/>
        <v>0</v>
      </c>
      <c r="F20" s="607">
        <f t="shared" si="9"/>
        <v>0</v>
      </c>
      <c r="G20" s="607">
        <f t="shared" si="9"/>
        <v>0</v>
      </c>
      <c r="H20" s="607">
        <f t="shared" si="9"/>
        <v>0</v>
      </c>
      <c r="I20" s="607">
        <f t="shared" si="9"/>
        <v>0</v>
      </c>
      <c r="J20" s="572"/>
      <c r="K20" s="607">
        <f t="shared" ref="K20:P20" si="10">IF($C20&lt;&gt;"",E157,0)</f>
        <v>0</v>
      </c>
      <c r="L20" s="607">
        <f t="shared" si="10"/>
        <v>0</v>
      </c>
      <c r="M20" s="607">
        <f t="shared" si="10"/>
        <v>0</v>
      </c>
      <c r="N20" s="607">
        <f t="shared" si="10"/>
        <v>0</v>
      </c>
      <c r="O20" s="607">
        <f t="shared" si="10"/>
        <v>0</v>
      </c>
      <c r="P20" s="607">
        <f t="shared" si="10"/>
        <v>0</v>
      </c>
      <c r="Q20" s="593"/>
      <c r="R20" s="593"/>
      <c r="S20" s="593"/>
      <c r="T20" s="593"/>
      <c r="X20" s="571"/>
      <c r="Y20" s="571"/>
      <c r="Z20" s="571"/>
      <c r="AA20" s="571"/>
      <c r="AB20" s="571"/>
    </row>
    <row r="21" spans="1:28" s="575" customFormat="1" x14ac:dyDescent="0.2">
      <c r="A21" s="572"/>
      <c r="B21" s="212">
        <v>6</v>
      </c>
      <c r="C21" s="631" t="str">
        <f t="shared" si="0"/>
        <v>** NOT USED **</v>
      </c>
      <c r="D21" s="607">
        <f t="shared" ref="D21:I21" si="11">IF($C21&lt;&gt;"",E168,0)</f>
        <v>0</v>
      </c>
      <c r="E21" s="607">
        <f t="shared" si="11"/>
        <v>0</v>
      </c>
      <c r="F21" s="607">
        <f t="shared" si="11"/>
        <v>0</v>
      </c>
      <c r="G21" s="607">
        <f t="shared" si="11"/>
        <v>0</v>
      </c>
      <c r="H21" s="607">
        <f t="shared" si="11"/>
        <v>0</v>
      </c>
      <c r="I21" s="607">
        <f t="shared" si="11"/>
        <v>0</v>
      </c>
      <c r="J21" s="572"/>
      <c r="K21" s="607">
        <f t="shared" ref="K21:P21" si="12">IF($C21&lt;&gt;"",E169,0)</f>
        <v>0</v>
      </c>
      <c r="L21" s="607">
        <f t="shared" si="12"/>
        <v>0</v>
      </c>
      <c r="M21" s="607">
        <f t="shared" si="12"/>
        <v>0</v>
      </c>
      <c r="N21" s="607">
        <f t="shared" si="12"/>
        <v>0</v>
      </c>
      <c r="O21" s="607">
        <f t="shared" si="12"/>
        <v>0</v>
      </c>
      <c r="P21" s="607">
        <f t="shared" si="12"/>
        <v>0</v>
      </c>
      <c r="Q21" s="593"/>
      <c r="R21" s="593"/>
      <c r="S21" s="593"/>
      <c r="T21" s="593"/>
      <c r="X21" s="571"/>
      <c r="Y21" s="571"/>
      <c r="Z21" s="571"/>
      <c r="AA21" s="571"/>
      <c r="AB21" s="571"/>
    </row>
    <row r="22" spans="1:28" s="575" customFormat="1" x14ac:dyDescent="0.2">
      <c r="A22" s="572"/>
      <c r="B22" s="212">
        <v>7</v>
      </c>
      <c r="C22" s="631" t="str">
        <f t="shared" si="0"/>
        <v>** NOT USED **</v>
      </c>
      <c r="D22" s="607">
        <f t="shared" ref="D22:I22" si="13">IF($C22&lt;&gt;"",E180,0)</f>
        <v>0</v>
      </c>
      <c r="E22" s="607">
        <f t="shared" si="13"/>
        <v>0</v>
      </c>
      <c r="F22" s="607">
        <f t="shared" si="13"/>
        <v>0</v>
      </c>
      <c r="G22" s="607">
        <f t="shared" si="13"/>
        <v>0</v>
      </c>
      <c r="H22" s="607">
        <f t="shared" si="13"/>
        <v>0</v>
      </c>
      <c r="I22" s="607">
        <f t="shared" si="13"/>
        <v>0</v>
      </c>
      <c r="J22" s="572"/>
      <c r="K22" s="607">
        <f t="shared" ref="K22:P22" si="14">IF($C22&lt;&gt;"",E181,0)</f>
        <v>0</v>
      </c>
      <c r="L22" s="607">
        <f t="shared" si="14"/>
        <v>0</v>
      </c>
      <c r="M22" s="607">
        <f t="shared" si="14"/>
        <v>0</v>
      </c>
      <c r="N22" s="607">
        <f t="shared" si="14"/>
        <v>0</v>
      </c>
      <c r="O22" s="607">
        <f t="shared" si="14"/>
        <v>0</v>
      </c>
      <c r="P22" s="607">
        <f t="shared" si="14"/>
        <v>0</v>
      </c>
      <c r="Q22" s="593"/>
      <c r="R22" s="593"/>
      <c r="S22" s="593"/>
      <c r="T22" s="593"/>
      <c r="X22" s="571"/>
      <c r="Y22" s="571"/>
      <c r="Z22" s="571"/>
      <c r="AA22" s="571"/>
      <c r="AB22" s="571"/>
    </row>
    <row r="23" spans="1:28" s="575" customFormat="1" x14ac:dyDescent="0.2">
      <c r="A23" s="572"/>
      <c r="B23" s="212">
        <v>8</v>
      </c>
      <c r="C23" s="631" t="str">
        <f t="shared" si="0"/>
        <v>** NOT USED **</v>
      </c>
      <c r="D23" s="607">
        <f t="shared" ref="D23:I23" si="15">IF($C23&lt;&gt;"",E192,0)</f>
        <v>0</v>
      </c>
      <c r="E23" s="607">
        <f t="shared" si="15"/>
        <v>0</v>
      </c>
      <c r="F23" s="607">
        <f t="shared" si="15"/>
        <v>0</v>
      </c>
      <c r="G23" s="607">
        <f t="shared" si="15"/>
        <v>0</v>
      </c>
      <c r="H23" s="607">
        <f t="shared" si="15"/>
        <v>0</v>
      </c>
      <c r="I23" s="607">
        <f t="shared" si="15"/>
        <v>0</v>
      </c>
      <c r="J23" s="572"/>
      <c r="K23" s="607">
        <f t="shared" ref="K23:P23" si="16">IF($C23&lt;&gt;"",E193,0)</f>
        <v>0</v>
      </c>
      <c r="L23" s="607">
        <f t="shared" si="16"/>
        <v>0</v>
      </c>
      <c r="M23" s="607">
        <f t="shared" si="16"/>
        <v>0</v>
      </c>
      <c r="N23" s="607">
        <f t="shared" si="16"/>
        <v>0</v>
      </c>
      <c r="O23" s="607">
        <f t="shared" si="16"/>
        <v>0</v>
      </c>
      <c r="P23" s="607">
        <f t="shared" si="16"/>
        <v>0</v>
      </c>
      <c r="Q23" s="593"/>
      <c r="R23" s="593"/>
      <c r="S23" s="593"/>
      <c r="T23" s="593"/>
      <c r="X23" s="571"/>
      <c r="Y23" s="571"/>
      <c r="Z23" s="571"/>
      <c r="AA23" s="571"/>
      <c r="AB23" s="571"/>
    </row>
    <row r="24" spans="1:28" s="575" customFormat="1" x14ac:dyDescent="0.2">
      <c r="A24" s="572"/>
      <c r="B24" s="212">
        <v>9</v>
      </c>
      <c r="C24" s="631" t="str">
        <f t="shared" si="0"/>
        <v>** NOT USED **</v>
      </c>
      <c r="D24" s="607">
        <f t="shared" ref="D24:I24" si="17">IF($C24&lt;&gt;"",E204,0)</f>
        <v>0</v>
      </c>
      <c r="E24" s="607">
        <f t="shared" si="17"/>
        <v>0</v>
      </c>
      <c r="F24" s="607">
        <f t="shared" si="17"/>
        <v>0</v>
      </c>
      <c r="G24" s="607">
        <f t="shared" si="17"/>
        <v>0</v>
      </c>
      <c r="H24" s="607">
        <f t="shared" si="17"/>
        <v>0</v>
      </c>
      <c r="I24" s="607">
        <f t="shared" si="17"/>
        <v>0</v>
      </c>
      <c r="J24" s="572"/>
      <c r="K24" s="607">
        <f t="shared" ref="K24:P24" si="18">IF($C24&lt;&gt;"",E205,0)</f>
        <v>0</v>
      </c>
      <c r="L24" s="607">
        <f t="shared" si="18"/>
        <v>0</v>
      </c>
      <c r="M24" s="607">
        <f t="shared" si="18"/>
        <v>0</v>
      </c>
      <c r="N24" s="607">
        <f t="shared" si="18"/>
        <v>0</v>
      </c>
      <c r="O24" s="607">
        <f t="shared" si="18"/>
        <v>0</v>
      </c>
      <c r="P24" s="607">
        <f t="shared" si="18"/>
        <v>0</v>
      </c>
      <c r="Q24" s="593"/>
      <c r="R24" s="593"/>
      <c r="S24" s="593"/>
      <c r="T24" s="593"/>
      <c r="X24" s="571"/>
      <c r="Y24" s="571"/>
      <c r="Z24" s="571"/>
      <c r="AA24" s="571"/>
      <c r="AB24" s="571"/>
    </row>
    <row r="25" spans="1:28" s="575" customFormat="1" x14ac:dyDescent="0.2">
      <c r="A25" s="572"/>
      <c r="B25" s="212">
        <v>10</v>
      </c>
      <c r="C25" s="631" t="str">
        <f t="shared" si="0"/>
        <v>** NOT USED **</v>
      </c>
      <c r="D25" s="607">
        <f t="shared" ref="D25:I25" si="19">IF($C25&lt;&gt;"",E216,0)</f>
        <v>0</v>
      </c>
      <c r="E25" s="607">
        <f t="shared" si="19"/>
        <v>0</v>
      </c>
      <c r="F25" s="607">
        <f t="shared" si="19"/>
        <v>0</v>
      </c>
      <c r="G25" s="607">
        <f t="shared" si="19"/>
        <v>0</v>
      </c>
      <c r="H25" s="607">
        <f t="shared" si="19"/>
        <v>0</v>
      </c>
      <c r="I25" s="607">
        <f t="shared" si="19"/>
        <v>0</v>
      </c>
      <c r="J25" s="572"/>
      <c r="K25" s="607">
        <f t="shared" ref="K25:P25" si="20">IF($C25&lt;&gt;"",E217,0)</f>
        <v>0</v>
      </c>
      <c r="L25" s="607">
        <f t="shared" si="20"/>
        <v>0</v>
      </c>
      <c r="M25" s="607">
        <f t="shared" si="20"/>
        <v>0</v>
      </c>
      <c r="N25" s="607">
        <f t="shared" si="20"/>
        <v>0</v>
      </c>
      <c r="O25" s="607">
        <f t="shared" si="20"/>
        <v>0</v>
      </c>
      <c r="P25" s="607">
        <f t="shared" si="20"/>
        <v>0</v>
      </c>
      <c r="Q25" s="593"/>
      <c r="R25" s="593"/>
      <c r="S25" s="593"/>
      <c r="T25" s="593"/>
      <c r="X25" s="571"/>
      <c r="Y25" s="571"/>
      <c r="Z25" s="571"/>
      <c r="AA25" s="571"/>
      <c r="AB25" s="571"/>
    </row>
    <row r="26" spans="1:28" s="575" customFormat="1" x14ac:dyDescent="0.2">
      <c r="A26" s="572"/>
      <c r="B26" s="212">
        <v>11</v>
      </c>
      <c r="C26" s="631" t="str">
        <f t="shared" si="0"/>
        <v>** NOT USED **</v>
      </c>
      <c r="D26" s="607">
        <f t="shared" ref="D26:I26" si="21">IF($C26&lt;&gt;"",E228,0)</f>
        <v>0</v>
      </c>
      <c r="E26" s="607">
        <f t="shared" si="21"/>
        <v>0</v>
      </c>
      <c r="F26" s="607">
        <f t="shared" si="21"/>
        <v>0</v>
      </c>
      <c r="G26" s="607">
        <f t="shared" si="21"/>
        <v>0</v>
      </c>
      <c r="H26" s="607">
        <f t="shared" si="21"/>
        <v>0</v>
      </c>
      <c r="I26" s="607">
        <f t="shared" si="21"/>
        <v>0</v>
      </c>
      <c r="J26" s="572"/>
      <c r="K26" s="607">
        <f t="shared" ref="K26:P26" si="22">IF($C26&lt;&gt;"",E229,0)</f>
        <v>0</v>
      </c>
      <c r="L26" s="607">
        <f t="shared" si="22"/>
        <v>0</v>
      </c>
      <c r="M26" s="607">
        <f t="shared" si="22"/>
        <v>0</v>
      </c>
      <c r="N26" s="607">
        <f t="shared" si="22"/>
        <v>0</v>
      </c>
      <c r="O26" s="607">
        <f t="shared" si="22"/>
        <v>0</v>
      </c>
      <c r="P26" s="607">
        <f t="shared" si="22"/>
        <v>0</v>
      </c>
      <c r="Q26" s="593"/>
      <c r="R26" s="593"/>
      <c r="S26" s="593"/>
      <c r="T26" s="593"/>
      <c r="X26" s="571"/>
      <c r="Y26" s="571"/>
      <c r="Z26" s="571"/>
      <c r="AA26" s="571"/>
      <c r="AB26" s="571"/>
    </row>
    <row r="27" spans="1:28" s="575" customFormat="1" x14ac:dyDescent="0.2">
      <c r="A27" s="572"/>
      <c r="B27" s="212">
        <v>12</v>
      </c>
      <c r="C27" s="631" t="str">
        <f t="shared" si="0"/>
        <v>** NOT USED **</v>
      </c>
      <c r="D27" s="607">
        <f t="shared" ref="D27:I27" si="23">IF($C27&lt;&gt;"",E240,0)</f>
        <v>0</v>
      </c>
      <c r="E27" s="607">
        <f t="shared" si="23"/>
        <v>0</v>
      </c>
      <c r="F27" s="607">
        <f t="shared" si="23"/>
        <v>0</v>
      </c>
      <c r="G27" s="607">
        <f t="shared" si="23"/>
        <v>0</v>
      </c>
      <c r="H27" s="607">
        <f t="shared" si="23"/>
        <v>0</v>
      </c>
      <c r="I27" s="607">
        <f t="shared" si="23"/>
        <v>0</v>
      </c>
      <c r="J27" s="572"/>
      <c r="K27" s="607">
        <f t="shared" ref="K27:P27" si="24">IF($C27&lt;&gt;"",E241,0)</f>
        <v>0</v>
      </c>
      <c r="L27" s="607">
        <f t="shared" si="24"/>
        <v>0</v>
      </c>
      <c r="M27" s="607">
        <f t="shared" si="24"/>
        <v>0</v>
      </c>
      <c r="N27" s="607">
        <f t="shared" si="24"/>
        <v>0</v>
      </c>
      <c r="O27" s="607">
        <f t="shared" si="24"/>
        <v>0</v>
      </c>
      <c r="P27" s="607">
        <f t="shared" si="24"/>
        <v>0</v>
      </c>
      <c r="Q27" s="593"/>
      <c r="R27" s="593"/>
      <c r="S27" s="593"/>
      <c r="T27" s="593"/>
      <c r="X27" s="571"/>
      <c r="Y27" s="571"/>
      <c r="Z27" s="571"/>
      <c r="AA27" s="571"/>
      <c r="AB27" s="571"/>
    </row>
    <row r="28" spans="1:28" s="575" customFormat="1" x14ac:dyDescent="0.2">
      <c r="A28" s="572"/>
      <c r="B28" s="212">
        <v>13</v>
      </c>
      <c r="C28" s="631" t="str">
        <f t="shared" si="0"/>
        <v>** NOT USED **</v>
      </c>
      <c r="D28" s="607">
        <f t="shared" ref="D28:I28" si="25">IF($C28&lt;&gt;"",E252,0)</f>
        <v>0</v>
      </c>
      <c r="E28" s="607">
        <f t="shared" si="25"/>
        <v>0</v>
      </c>
      <c r="F28" s="607">
        <f t="shared" si="25"/>
        <v>0</v>
      </c>
      <c r="G28" s="607">
        <f t="shared" si="25"/>
        <v>0</v>
      </c>
      <c r="H28" s="607">
        <f t="shared" si="25"/>
        <v>0</v>
      </c>
      <c r="I28" s="607">
        <f t="shared" si="25"/>
        <v>0</v>
      </c>
      <c r="J28" s="572"/>
      <c r="K28" s="607">
        <f t="shared" ref="K28:P28" si="26">IF($C28&lt;&gt;"",E253,0)</f>
        <v>0</v>
      </c>
      <c r="L28" s="607">
        <f t="shared" si="26"/>
        <v>0</v>
      </c>
      <c r="M28" s="607">
        <f t="shared" si="26"/>
        <v>0</v>
      </c>
      <c r="N28" s="607">
        <f t="shared" si="26"/>
        <v>0</v>
      </c>
      <c r="O28" s="607">
        <f t="shared" si="26"/>
        <v>0</v>
      </c>
      <c r="P28" s="607">
        <f t="shared" si="26"/>
        <v>0</v>
      </c>
      <c r="Q28" s="593"/>
      <c r="R28" s="593"/>
      <c r="S28" s="593"/>
      <c r="T28" s="593"/>
      <c r="X28" s="571"/>
      <c r="Y28" s="571"/>
      <c r="Z28" s="571"/>
      <c r="AA28" s="571"/>
      <c r="AB28" s="571"/>
    </row>
    <row r="29" spans="1:28" s="575" customFormat="1" x14ac:dyDescent="0.2">
      <c r="A29" s="572"/>
      <c r="B29" s="212">
        <v>14</v>
      </c>
      <c r="C29" s="631" t="str">
        <f t="shared" si="0"/>
        <v>** NOT USED **</v>
      </c>
      <c r="D29" s="607">
        <f t="shared" ref="D29:I29" si="27">IF($C29&lt;&gt;"",E264,0)</f>
        <v>0</v>
      </c>
      <c r="E29" s="607">
        <f t="shared" si="27"/>
        <v>0</v>
      </c>
      <c r="F29" s="607">
        <f t="shared" si="27"/>
        <v>0</v>
      </c>
      <c r="G29" s="607">
        <f t="shared" si="27"/>
        <v>0</v>
      </c>
      <c r="H29" s="607">
        <f t="shared" si="27"/>
        <v>0</v>
      </c>
      <c r="I29" s="607">
        <f t="shared" si="27"/>
        <v>0</v>
      </c>
      <c r="J29" s="572"/>
      <c r="K29" s="607">
        <f t="shared" ref="K29:P29" si="28">IF($C29&lt;&gt;"",E265,0)</f>
        <v>0</v>
      </c>
      <c r="L29" s="607">
        <f t="shared" si="28"/>
        <v>0</v>
      </c>
      <c r="M29" s="607">
        <f t="shared" si="28"/>
        <v>0</v>
      </c>
      <c r="N29" s="607">
        <f t="shared" si="28"/>
        <v>0</v>
      </c>
      <c r="O29" s="607">
        <f t="shared" si="28"/>
        <v>0</v>
      </c>
      <c r="P29" s="607">
        <f t="shared" si="28"/>
        <v>0</v>
      </c>
      <c r="Q29" s="593"/>
      <c r="R29" s="593"/>
      <c r="S29" s="593"/>
      <c r="T29" s="593"/>
      <c r="X29" s="571"/>
      <c r="Y29" s="571"/>
      <c r="Z29" s="571"/>
      <c r="AA29" s="571"/>
      <c r="AB29" s="571"/>
    </row>
    <row r="30" spans="1:28" s="575" customFormat="1" x14ac:dyDescent="0.2">
      <c r="A30" s="572"/>
      <c r="B30" s="212">
        <v>15</v>
      </c>
      <c r="C30" s="631" t="str">
        <f t="shared" si="0"/>
        <v>** NOT USED **</v>
      </c>
      <c r="D30" s="607">
        <f t="shared" ref="D30:I30" si="29">IF($C30&lt;&gt;"",E276,0)</f>
        <v>0</v>
      </c>
      <c r="E30" s="607">
        <f t="shared" si="29"/>
        <v>0</v>
      </c>
      <c r="F30" s="607">
        <f t="shared" si="29"/>
        <v>0</v>
      </c>
      <c r="G30" s="607">
        <f t="shared" si="29"/>
        <v>0</v>
      </c>
      <c r="H30" s="607">
        <f t="shared" si="29"/>
        <v>0</v>
      </c>
      <c r="I30" s="607">
        <f t="shared" si="29"/>
        <v>0</v>
      </c>
      <c r="J30" s="572"/>
      <c r="K30" s="607">
        <f t="shared" ref="K30:P30" si="30">IF($C30&lt;&gt;"",E277,0)</f>
        <v>0</v>
      </c>
      <c r="L30" s="607">
        <f t="shared" si="30"/>
        <v>0</v>
      </c>
      <c r="M30" s="607">
        <f t="shared" si="30"/>
        <v>0</v>
      </c>
      <c r="N30" s="607">
        <f t="shared" si="30"/>
        <v>0</v>
      </c>
      <c r="O30" s="607">
        <f t="shared" si="30"/>
        <v>0</v>
      </c>
      <c r="P30" s="607">
        <f t="shared" si="30"/>
        <v>0</v>
      </c>
      <c r="Q30" s="593"/>
      <c r="R30" s="593"/>
      <c r="S30" s="593"/>
      <c r="T30" s="593"/>
      <c r="X30" s="571"/>
      <c r="Y30" s="571"/>
      <c r="Z30" s="571"/>
      <c r="AA30" s="571"/>
      <c r="AB30" s="571"/>
    </row>
    <row r="31" spans="1:28" s="575" customFormat="1" x14ac:dyDescent="0.2">
      <c r="A31" s="572"/>
      <c r="B31" s="212">
        <v>16</v>
      </c>
      <c r="C31" s="631" t="str">
        <f t="shared" si="0"/>
        <v>** NOT USED **</v>
      </c>
      <c r="D31" s="607">
        <f t="shared" ref="D31:I31" si="31">IF($C31&lt;&gt;"",E288,0)</f>
        <v>0</v>
      </c>
      <c r="E31" s="607">
        <f t="shared" si="31"/>
        <v>0</v>
      </c>
      <c r="F31" s="607">
        <f t="shared" si="31"/>
        <v>0</v>
      </c>
      <c r="G31" s="607">
        <f t="shared" si="31"/>
        <v>0</v>
      </c>
      <c r="H31" s="607">
        <f t="shared" si="31"/>
        <v>0</v>
      </c>
      <c r="I31" s="607">
        <f t="shared" si="31"/>
        <v>0</v>
      </c>
      <c r="J31" s="572"/>
      <c r="K31" s="607">
        <f t="shared" ref="K31:P31" si="32">IF($C31&lt;&gt;"",E289,0)</f>
        <v>0</v>
      </c>
      <c r="L31" s="607">
        <f t="shared" si="32"/>
        <v>0</v>
      </c>
      <c r="M31" s="607">
        <f t="shared" si="32"/>
        <v>0</v>
      </c>
      <c r="N31" s="607">
        <f t="shared" si="32"/>
        <v>0</v>
      </c>
      <c r="O31" s="607">
        <f t="shared" si="32"/>
        <v>0</v>
      </c>
      <c r="P31" s="607">
        <f t="shared" si="32"/>
        <v>0</v>
      </c>
      <c r="Q31" s="593"/>
      <c r="R31" s="593"/>
      <c r="S31" s="593"/>
      <c r="T31" s="593"/>
      <c r="X31" s="571"/>
      <c r="Y31" s="571"/>
      <c r="Z31" s="571"/>
      <c r="AA31" s="571"/>
      <c r="AB31" s="571"/>
    </row>
    <row r="32" spans="1:28" s="575" customFormat="1" x14ac:dyDescent="0.2">
      <c r="A32" s="572"/>
      <c r="B32" s="212">
        <v>17</v>
      </c>
      <c r="C32" s="631" t="str">
        <f t="shared" si="0"/>
        <v>** NOT USED **</v>
      </c>
      <c r="D32" s="607">
        <f t="shared" ref="D32:I32" si="33">IF($C32&lt;&gt;"",E300,0)</f>
        <v>0</v>
      </c>
      <c r="E32" s="607">
        <f t="shared" si="33"/>
        <v>0</v>
      </c>
      <c r="F32" s="607">
        <f t="shared" si="33"/>
        <v>0</v>
      </c>
      <c r="G32" s="607">
        <f t="shared" si="33"/>
        <v>0</v>
      </c>
      <c r="H32" s="607">
        <f t="shared" si="33"/>
        <v>0</v>
      </c>
      <c r="I32" s="607">
        <f t="shared" si="33"/>
        <v>0</v>
      </c>
      <c r="J32" s="572"/>
      <c r="K32" s="607">
        <f t="shared" ref="K32:P32" si="34">IF($C32&lt;&gt;"",E301,0)</f>
        <v>0</v>
      </c>
      <c r="L32" s="607">
        <f t="shared" si="34"/>
        <v>0</v>
      </c>
      <c r="M32" s="607">
        <f t="shared" si="34"/>
        <v>0</v>
      </c>
      <c r="N32" s="607">
        <f t="shared" si="34"/>
        <v>0</v>
      </c>
      <c r="O32" s="607">
        <f t="shared" si="34"/>
        <v>0</v>
      </c>
      <c r="P32" s="607">
        <f t="shared" si="34"/>
        <v>0</v>
      </c>
      <c r="Q32" s="593"/>
      <c r="R32" s="593"/>
      <c r="S32" s="593"/>
      <c r="T32" s="593"/>
      <c r="X32" s="571"/>
      <c r="Y32" s="571"/>
      <c r="Z32" s="571"/>
      <c r="AA32" s="571"/>
      <c r="AB32" s="571"/>
    </row>
    <row r="33" spans="1:30" s="575" customFormat="1" x14ac:dyDescent="0.2">
      <c r="A33" s="572"/>
      <c r="B33" s="212">
        <v>18</v>
      </c>
      <c r="C33" s="631" t="str">
        <f t="shared" si="0"/>
        <v>** NOT USED **</v>
      </c>
      <c r="D33" s="607">
        <f t="shared" ref="D33:I33" si="35">IF($C33&lt;&gt;"",E312,0)</f>
        <v>0</v>
      </c>
      <c r="E33" s="607">
        <f t="shared" si="35"/>
        <v>0</v>
      </c>
      <c r="F33" s="607">
        <f t="shared" si="35"/>
        <v>0</v>
      </c>
      <c r="G33" s="607">
        <f t="shared" si="35"/>
        <v>0</v>
      </c>
      <c r="H33" s="607">
        <f t="shared" si="35"/>
        <v>0</v>
      </c>
      <c r="I33" s="607">
        <f t="shared" si="35"/>
        <v>0</v>
      </c>
      <c r="J33" s="211"/>
      <c r="K33" s="607">
        <f t="shared" ref="K33:P33" si="36">IF($C33&lt;&gt;"",E313,0)</f>
        <v>0</v>
      </c>
      <c r="L33" s="607">
        <f t="shared" si="36"/>
        <v>0</v>
      </c>
      <c r="M33" s="607">
        <f t="shared" si="36"/>
        <v>0</v>
      </c>
      <c r="N33" s="607">
        <f t="shared" si="36"/>
        <v>0</v>
      </c>
      <c r="O33" s="607">
        <f t="shared" si="36"/>
        <v>0</v>
      </c>
      <c r="P33" s="607">
        <f t="shared" si="36"/>
        <v>0</v>
      </c>
      <c r="Q33" s="593"/>
      <c r="R33" s="593"/>
      <c r="S33" s="593"/>
      <c r="T33" s="593"/>
      <c r="X33" s="571"/>
      <c r="Y33" s="571"/>
      <c r="Z33" s="571"/>
      <c r="AA33" s="571"/>
      <c r="AB33" s="571"/>
    </row>
    <row r="34" spans="1:30" s="575" customFormat="1" x14ac:dyDescent="0.2">
      <c r="A34" s="572"/>
      <c r="B34" s="212">
        <v>19</v>
      </c>
      <c r="C34" s="631" t="str">
        <f t="shared" si="0"/>
        <v>** NOT USED **</v>
      </c>
      <c r="D34" s="607">
        <f t="shared" ref="D34:I34" si="37">IF($C34&lt;&gt;"",E324,0)</f>
        <v>0</v>
      </c>
      <c r="E34" s="607">
        <f t="shared" si="37"/>
        <v>0</v>
      </c>
      <c r="F34" s="607">
        <f t="shared" si="37"/>
        <v>0</v>
      </c>
      <c r="G34" s="607">
        <f t="shared" si="37"/>
        <v>0</v>
      </c>
      <c r="H34" s="607">
        <f t="shared" si="37"/>
        <v>0</v>
      </c>
      <c r="I34" s="607">
        <f t="shared" si="37"/>
        <v>0</v>
      </c>
      <c r="J34" s="211"/>
      <c r="K34" s="607">
        <f t="shared" ref="K34:P34" si="38">IF($C34&lt;&gt;"",E325,0)</f>
        <v>0</v>
      </c>
      <c r="L34" s="607">
        <f t="shared" si="38"/>
        <v>0</v>
      </c>
      <c r="M34" s="607">
        <f t="shared" si="38"/>
        <v>0</v>
      </c>
      <c r="N34" s="607">
        <f t="shared" si="38"/>
        <v>0</v>
      </c>
      <c r="O34" s="607">
        <f t="shared" si="38"/>
        <v>0</v>
      </c>
      <c r="P34" s="607">
        <f t="shared" si="38"/>
        <v>0</v>
      </c>
      <c r="Q34" s="593"/>
      <c r="R34" s="593"/>
      <c r="S34" s="593"/>
      <c r="T34" s="593"/>
      <c r="X34" s="571"/>
      <c r="Y34" s="571"/>
      <c r="Z34" s="571"/>
      <c r="AA34" s="571"/>
      <c r="AB34" s="571"/>
    </row>
    <row r="35" spans="1:30" s="575" customFormat="1" x14ac:dyDescent="0.2">
      <c r="A35" s="572"/>
      <c r="B35" s="212">
        <v>20</v>
      </c>
      <c r="C35" s="631" t="str">
        <f t="shared" si="0"/>
        <v>** NOT USED **</v>
      </c>
      <c r="D35" s="607">
        <f t="shared" ref="D35:I35" si="39">IF($C35&lt;&gt;"",E336,0)</f>
        <v>0</v>
      </c>
      <c r="E35" s="607">
        <f t="shared" si="39"/>
        <v>0</v>
      </c>
      <c r="F35" s="607">
        <f t="shared" si="39"/>
        <v>0</v>
      </c>
      <c r="G35" s="607">
        <f t="shared" si="39"/>
        <v>0</v>
      </c>
      <c r="H35" s="607">
        <f t="shared" si="39"/>
        <v>0</v>
      </c>
      <c r="I35" s="607">
        <f t="shared" si="39"/>
        <v>0</v>
      </c>
      <c r="J35" s="211"/>
      <c r="K35" s="607">
        <f t="shared" ref="K35:P35" si="40">IF($C35&lt;&gt;"",E337,0)</f>
        <v>0</v>
      </c>
      <c r="L35" s="607">
        <f t="shared" si="40"/>
        <v>0</v>
      </c>
      <c r="M35" s="607">
        <f t="shared" si="40"/>
        <v>0</v>
      </c>
      <c r="N35" s="607">
        <f t="shared" si="40"/>
        <v>0</v>
      </c>
      <c r="O35" s="607">
        <f t="shared" si="40"/>
        <v>0</v>
      </c>
      <c r="P35" s="607">
        <f t="shared" si="40"/>
        <v>0</v>
      </c>
      <c r="Q35" s="593"/>
      <c r="R35" s="593"/>
      <c r="S35" s="593"/>
      <c r="T35" s="593"/>
      <c r="X35" s="571"/>
      <c r="Y35" s="571"/>
      <c r="Z35" s="571"/>
      <c r="AA35" s="571"/>
      <c r="AB35" s="571"/>
    </row>
    <row r="36" spans="1:30" s="575" customFormat="1" x14ac:dyDescent="0.2">
      <c r="A36" s="572"/>
      <c r="B36" s="572"/>
      <c r="C36" s="85" t="str">
        <f>TxPhase1Rx &amp; " - PBS"</f>
        <v xml:space="preserve"> - PBS</v>
      </c>
      <c r="D36" s="50">
        <f t="shared" ref="D36:I36" si="41">SUMIFS(D16:D35,$Z$50:$Z$69,TxPhase1Code)</f>
        <v>0</v>
      </c>
      <c r="E36" s="50">
        <f t="shared" si="41"/>
        <v>0</v>
      </c>
      <c r="F36" s="50">
        <f t="shared" si="41"/>
        <v>0</v>
      </c>
      <c r="G36" s="50">
        <f t="shared" si="41"/>
        <v>0</v>
      </c>
      <c r="H36" s="50">
        <f t="shared" si="41"/>
        <v>0</v>
      </c>
      <c r="I36" s="50">
        <f t="shared" si="41"/>
        <v>0</v>
      </c>
      <c r="J36" s="638"/>
      <c r="K36" s="50">
        <f t="shared" ref="K36:P36" si="42">SUMIFS(K16:K35,$Z$50:$Z$69,TxPhase1Code)</f>
        <v>0</v>
      </c>
      <c r="L36" s="50">
        <f t="shared" si="42"/>
        <v>0</v>
      </c>
      <c r="M36" s="50">
        <f t="shared" si="42"/>
        <v>0</v>
      </c>
      <c r="N36" s="50">
        <f t="shared" si="42"/>
        <v>0</v>
      </c>
      <c r="O36" s="50">
        <f t="shared" si="42"/>
        <v>0</v>
      </c>
      <c r="P36" s="50">
        <f t="shared" si="42"/>
        <v>0</v>
      </c>
      <c r="Q36" s="593"/>
      <c r="R36" s="593"/>
      <c r="S36" s="593"/>
      <c r="T36" s="593"/>
      <c r="X36" s="571"/>
      <c r="Y36" s="571"/>
      <c r="Z36" s="571"/>
      <c r="AA36" s="571"/>
      <c r="AB36" s="571"/>
    </row>
    <row r="37" spans="1:30" s="575" customFormat="1" x14ac:dyDescent="0.2">
      <c r="A37" s="572"/>
      <c r="B37" s="572"/>
      <c r="C37" s="85" t="str">
        <f>IF(TxPhase2Px&lt;&gt;"",TxPhase2Rx &amp; " - PBS","")</f>
        <v/>
      </c>
      <c r="D37" s="50">
        <f t="shared" ref="D37:I37" si="43">SUMIFS(D16:D35,$Z$50:$Z$69,TxPhase2Code)</f>
        <v>0</v>
      </c>
      <c r="E37" s="50">
        <f t="shared" si="43"/>
        <v>0</v>
      </c>
      <c r="F37" s="50">
        <f t="shared" si="43"/>
        <v>0</v>
      </c>
      <c r="G37" s="50">
        <f t="shared" si="43"/>
        <v>0</v>
      </c>
      <c r="H37" s="50">
        <f t="shared" si="43"/>
        <v>0</v>
      </c>
      <c r="I37" s="50">
        <f t="shared" si="43"/>
        <v>0</v>
      </c>
      <c r="J37" s="638"/>
      <c r="K37" s="50">
        <f t="shared" ref="K37:P37" si="44">SUMIFS(K16:K35,$Z$50:$Z$69,TxPhase2Code)</f>
        <v>0</v>
      </c>
      <c r="L37" s="50">
        <f t="shared" si="44"/>
        <v>0</v>
      </c>
      <c r="M37" s="50">
        <f t="shared" si="44"/>
        <v>0</v>
      </c>
      <c r="N37" s="50">
        <f t="shared" si="44"/>
        <v>0</v>
      </c>
      <c r="O37" s="50">
        <f t="shared" si="44"/>
        <v>0</v>
      </c>
      <c r="P37" s="50">
        <f t="shared" si="44"/>
        <v>0</v>
      </c>
      <c r="Q37" s="593"/>
      <c r="R37" s="593"/>
      <c r="S37" s="593"/>
      <c r="T37" s="593"/>
      <c r="X37" s="571"/>
      <c r="Y37" s="571"/>
      <c r="Z37" s="571"/>
      <c r="AA37" s="571"/>
      <c r="AB37" s="571"/>
    </row>
    <row r="38" spans="1:30" s="575" customFormat="1" x14ac:dyDescent="0.2">
      <c r="A38" s="572"/>
      <c r="B38" s="572"/>
      <c r="C38" s="572"/>
      <c r="D38" s="572"/>
      <c r="E38" s="572"/>
      <c r="F38" s="213"/>
      <c r="G38" s="213"/>
      <c r="H38" s="213"/>
      <c r="I38" s="213"/>
      <c r="J38" s="213"/>
      <c r="K38" s="213"/>
      <c r="L38" s="213"/>
      <c r="M38" s="213"/>
      <c r="N38" s="213"/>
      <c r="O38" s="213"/>
      <c r="P38" s="572"/>
      <c r="Q38" s="572"/>
      <c r="R38" s="572"/>
      <c r="S38" s="572"/>
      <c r="T38" s="572"/>
      <c r="U38" s="571"/>
      <c r="V38" s="571"/>
      <c r="W38" s="571"/>
      <c r="X38" s="571"/>
      <c r="Y38" s="571"/>
      <c r="Z38" s="571"/>
      <c r="AA38" s="571"/>
      <c r="AB38" s="571"/>
    </row>
    <row r="39" spans="1:30" s="575" customFormat="1" x14ac:dyDescent="0.2">
      <c r="A39" s="572"/>
      <c r="B39" s="572"/>
      <c r="C39" s="638"/>
      <c r="D39" s="629">
        <f>FirstYear</f>
        <v>0</v>
      </c>
      <c r="E39" s="629">
        <f>D39+1</f>
        <v>1</v>
      </c>
      <c r="F39" s="629">
        <f>E39+1</f>
        <v>2</v>
      </c>
      <c r="G39" s="629">
        <f>F39+1</f>
        <v>3</v>
      </c>
      <c r="H39" s="629">
        <f>G39+1</f>
        <v>4</v>
      </c>
      <c r="I39" s="629">
        <f>H39+1</f>
        <v>5</v>
      </c>
      <c r="J39" s="572"/>
      <c r="K39" s="572"/>
      <c r="L39" s="572"/>
      <c r="M39" s="572"/>
      <c r="N39" s="572"/>
      <c r="O39" s="572"/>
      <c r="P39" s="572"/>
      <c r="Q39" s="572"/>
      <c r="R39" s="572"/>
      <c r="S39" s="572"/>
      <c r="T39" s="572"/>
      <c r="U39" s="571"/>
      <c r="V39" s="571"/>
      <c r="W39" s="571"/>
      <c r="X39" s="571"/>
      <c r="Y39" s="571"/>
      <c r="Z39" s="571"/>
      <c r="AA39" s="571"/>
      <c r="AB39" s="571"/>
    </row>
    <row r="40" spans="1:30" s="575" customFormat="1" x14ac:dyDescent="0.2">
      <c r="A40" s="572"/>
      <c r="B40" s="572"/>
      <c r="C40" s="80" t="str">
        <f>TxPhase1RxTotal</f>
        <v/>
      </c>
      <c r="D40" s="55">
        <f t="shared" ref="D40:I41" si="45">D36+K36</f>
        <v>0</v>
      </c>
      <c r="E40" s="55">
        <f t="shared" si="45"/>
        <v>0</v>
      </c>
      <c r="F40" s="55">
        <f t="shared" si="45"/>
        <v>0</v>
      </c>
      <c r="G40" s="55">
        <f t="shared" si="45"/>
        <v>0</v>
      </c>
      <c r="H40" s="55">
        <f t="shared" si="45"/>
        <v>0</v>
      </c>
      <c r="I40" s="55">
        <f t="shared" si="45"/>
        <v>0</v>
      </c>
      <c r="J40" s="572"/>
      <c r="K40" s="572"/>
      <c r="L40" s="572"/>
      <c r="M40" s="572"/>
      <c r="N40" s="572"/>
      <c r="O40" s="572"/>
      <c r="P40" s="572"/>
      <c r="Q40" s="572"/>
      <c r="R40" s="572"/>
      <c r="S40" s="572"/>
      <c r="T40" s="572"/>
      <c r="U40" s="571"/>
      <c r="V40" s="571"/>
      <c r="W40" s="571"/>
      <c r="X40" s="571"/>
      <c r="Y40" s="571"/>
      <c r="Z40" s="571"/>
      <c r="AA40" s="571"/>
      <c r="AB40" s="571"/>
    </row>
    <row r="41" spans="1:30" s="575" customFormat="1" x14ac:dyDescent="0.2">
      <c r="A41" s="572"/>
      <c r="B41" s="572"/>
      <c r="C41" s="80" t="str">
        <f>TxPhase2RxTotal</f>
        <v/>
      </c>
      <c r="D41" s="55">
        <f t="shared" si="45"/>
        <v>0</v>
      </c>
      <c r="E41" s="55">
        <f t="shared" si="45"/>
        <v>0</v>
      </c>
      <c r="F41" s="55">
        <f t="shared" si="45"/>
        <v>0</v>
      </c>
      <c r="G41" s="55">
        <f t="shared" si="45"/>
        <v>0</v>
      </c>
      <c r="H41" s="55">
        <f t="shared" si="45"/>
        <v>0</v>
      </c>
      <c r="I41" s="55">
        <f t="shared" si="45"/>
        <v>0</v>
      </c>
      <c r="J41" s="572"/>
      <c r="K41" s="572"/>
      <c r="L41" s="572"/>
      <c r="M41" s="572"/>
      <c r="N41" s="572"/>
      <c r="O41" s="572"/>
      <c r="P41" s="572"/>
      <c r="Q41" s="572"/>
      <c r="R41" s="572"/>
      <c r="S41" s="572"/>
      <c r="T41" s="572"/>
      <c r="U41" s="571"/>
      <c r="V41" s="571"/>
      <c r="W41" s="571"/>
      <c r="X41" s="571"/>
      <c r="Y41" s="571"/>
      <c r="Z41" s="571"/>
      <c r="AA41" s="571"/>
      <c r="AB41" s="571"/>
    </row>
    <row r="42" spans="1:30" s="575" customFormat="1" x14ac:dyDescent="0.2">
      <c r="A42" s="572"/>
      <c r="B42" s="572"/>
      <c r="C42" s="572"/>
      <c r="D42" s="656"/>
      <c r="E42" s="656"/>
      <c r="F42" s="656"/>
      <c r="G42" s="656"/>
      <c r="H42" s="656"/>
      <c r="I42" s="656"/>
      <c r="J42" s="572"/>
      <c r="K42" s="572"/>
      <c r="L42" s="572"/>
      <c r="M42" s="572"/>
      <c r="N42" s="572"/>
      <c r="O42" s="572"/>
      <c r="P42" s="572"/>
      <c r="Q42" s="572"/>
      <c r="R42" s="572"/>
      <c r="S42" s="572"/>
      <c r="T42" s="572"/>
      <c r="U42" s="571"/>
      <c r="V42" s="571"/>
      <c r="W42" s="571"/>
      <c r="X42" s="571"/>
      <c r="Y42" s="571"/>
      <c r="Z42" s="571"/>
      <c r="AA42" s="571"/>
      <c r="AB42" s="571"/>
    </row>
    <row r="43" spans="1:30" s="575" customFormat="1" x14ac:dyDescent="0.2">
      <c r="A43" s="572"/>
      <c r="B43" s="572"/>
      <c r="C43" s="572"/>
      <c r="D43" s="657"/>
      <c r="E43" s="657"/>
      <c r="F43" s="657"/>
      <c r="G43" s="657"/>
      <c r="H43" s="657"/>
      <c r="I43" s="657"/>
      <c r="J43" s="572"/>
      <c r="K43" s="572"/>
      <c r="L43" s="572"/>
      <c r="M43" s="572"/>
      <c r="N43" s="572"/>
      <c r="O43" s="572"/>
      <c r="P43" s="572"/>
      <c r="Q43" s="572"/>
      <c r="R43" s="572"/>
      <c r="S43" s="572"/>
      <c r="T43" s="572"/>
      <c r="U43" s="571"/>
      <c r="V43" s="571"/>
      <c r="W43" s="571"/>
      <c r="X43" s="571"/>
      <c r="Y43" s="571"/>
      <c r="Z43" s="571"/>
      <c r="AA43" s="571"/>
      <c r="AB43" s="571"/>
    </row>
    <row r="44" spans="1:30" ht="15.75" x14ac:dyDescent="0.2">
      <c r="A44" s="176"/>
      <c r="B44" s="176"/>
      <c r="C44" s="110" t="str">
        <f>"2. Identify the " &amp; IF(AND(ScriptSourceCode&lt;&gt;2,ScriptSourceCode&lt;&gt;3),"PBS / RPBS split and co-payments",IF(MarketImpact=0,"expected substitutable medicines in the current PBS market","existing medicine that will be the basis for the proposed medicine"))</f>
        <v>2. Identify the PBS / RPBS split and co-payments</v>
      </c>
      <c r="D44" s="214"/>
      <c r="E44" s="178"/>
      <c r="F44" s="178"/>
      <c r="G44" s="178"/>
      <c r="H44" s="178"/>
      <c r="I44" s="178"/>
      <c r="J44" s="178"/>
      <c r="K44" s="178"/>
      <c r="L44" s="178"/>
      <c r="M44" s="178"/>
      <c r="N44" s="175"/>
      <c r="O44" s="175"/>
      <c r="P44" s="175"/>
      <c r="Q44" s="175"/>
      <c r="R44" s="175"/>
      <c r="S44" s="175"/>
      <c r="T44" s="175"/>
      <c r="U44" s="37"/>
      <c r="V44" s="37"/>
      <c r="W44" s="37"/>
      <c r="X44" s="37"/>
      <c r="Y44" s="37"/>
      <c r="Z44" s="37"/>
      <c r="AA44" s="37"/>
      <c r="AB44" s="37"/>
    </row>
    <row r="45" spans="1:30" ht="15.75" x14ac:dyDescent="0.2">
      <c r="A45" s="171"/>
      <c r="B45" s="171"/>
      <c r="C45" s="193"/>
      <c r="D45" s="215"/>
      <c r="E45" s="171"/>
      <c r="F45" s="171"/>
      <c r="G45" s="171"/>
      <c r="H45" s="171"/>
      <c r="I45" s="171"/>
      <c r="J45" s="171"/>
      <c r="K45" s="171"/>
      <c r="L45" s="171"/>
      <c r="M45" s="171"/>
      <c r="N45" s="171"/>
      <c r="O45" s="171"/>
      <c r="P45" s="171"/>
      <c r="Q45" s="171"/>
      <c r="R45" s="592"/>
      <c r="S45" s="171"/>
      <c r="T45" s="171"/>
      <c r="U45" s="171"/>
      <c r="V45" s="5"/>
      <c r="W45" s="5"/>
      <c r="X45" s="5"/>
      <c r="Y45" s="5"/>
      <c r="Z45" s="5"/>
      <c r="AA45" s="5"/>
      <c r="AB45" s="5"/>
    </row>
    <row r="46" spans="1:30" ht="14.25" customHeight="1" x14ac:dyDescent="0.2">
      <c r="A46" s="176"/>
      <c r="B46" s="171"/>
      <c r="C46" s="84" t="str">
        <f>IF(AND(ScriptSourceCode&lt;&gt;2,ScriptSourceCode&lt;&gt;3),"Please list the comparator(s) that will be used to derive the PBS / RPBS split and co-payments for this listing.","Please list the details of currently available medicines.") &amp; " The service volumes should be for the last full calendar year."</f>
        <v>Please list the comparator(s) that will be used to derive the PBS / RPBS split and co-payments for this listing. The service volumes should be for the last full calendar year.</v>
      </c>
      <c r="D46" s="6"/>
      <c r="E46" s="6"/>
      <c r="F46" s="6"/>
      <c r="G46" s="220"/>
      <c r="H46" s="6"/>
      <c r="I46" s="6"/>
      <c r="J46" s="6"/>
      <c r="K46" s="171"/>
      <c r="L46" s="171"/>
      <c r="M46" s="171"/>
      <c r="N46" s="171"/>
      <c r="O46" s="171"/>
      <c r="P46" s="171"/>
      <c r="Q46" s="171"/>
      <c r="R46" s="592"/>
      <c r="S46" s="171"/>
      <c r="T46" s="171"/>
      <c r="U46" s="171"/>
      <c r="V46" s="5"/>
      <c r="W46" s="5"/>
      <c r="X46" s="5"/>
      <c r="Y46" s="5"/>
      <c r="Z46" s="5"/>
      <c r="AA46" s="5"/>
      <c r="AB46" s="5"/>
    </row>
    <row r="47" spans="1:30" x14ac:dyDescent="0.2">
      <c r="A47" s="171"/>
      <c r="B47" s="171"/>
      <c r="C47" s="6"/>
      <c r="D47" s="6"/>
      <c r="E47" s="6"/>
      <c r="F47" s="6"/>
      <c r="G47" s="220"/>
      <c r="H47" s="6"/>
      <c r="I47" s="6"/>
      <c r="J47" s="6"/>
      <c r="K47" s="6"/>
      <c r="L47" s="171"/>
      <c r="M47" s="171"/>
      <c r="N47" s="171"/>
      <c r="O47" s="171"/>
      <c r="P47" s="171"/>
      <c r="Q47" s="171"/>
      <c r="R47" s="592"/>
      <c r="S47" s="171"/>
      <c r="T47" s="171"/>
      <c r="U47" s="171"/>
      <c r="V47" s="5"/>
      <c r="W47" s="5"/>
      <c r="X47" s="5"/>
      <c r="Y47" s="5"/>
      <c r="Z47" s="5"/>
      <c r="AA47" s="5"/>
      <c r="AB47" s="5"/>
    </row>
    <row r="48" spans="1:30" ht="14.25" customHeight="1" x14ac:dyDescent="0.2">
      <c r="A48" s="171"/>
      <c r="B48" s="171"/>
      <c r="C48" s="183" t="str">
        <f>"Service volumes for calendar year " &amp; FirstYear-1</f>
        <v>Service volumes for calendar year -1</v>
      </c>
      <c r="D48" s="215"/>
      <c r="E48" s="171"/>
      <c r="F48" s="171"/>
      <c r="G48" s="171"/>
      <c r="H48" s="171"/>
      <c r="I48" s="798" t="s">
        <v>122</v>
      </c>
      <c r="J48" s="799"/>
      <c r="K48" s="799"/>
      <c r="L48" s="799"/>
      <c r="M48" s="798" t="s">
        <v>121</v>
      </c>
      <c r="N48" s="799"/>
      <c r="O48" s="645"/>
      <c r="P48" s="785" t="s">
        <v>333</v>
      </c>
      <c r="Q48" s="786"/>
      <c r="R48" s="171"/>
      <c r="S48" s="171"/>
      <c r="T48" s="592"/>
      <c r="W48" s="5"/>
      <c r="X48" s="5"/>
      <c r="Y48" s="5"/>
      <c r="Z48" s="5"/>
      <c r="AA48" s="5"/>
      <c r="AB48" s="5"/>
      <c r="AC48" s="5"/>
      <c r="AD48" s="5"/>
    </row>
    <row r="49" spans="1:28" ht="38.25" x14ac:dyDescent="0.2">
      <c r="A49" s="171"/>
      <c r="B49" s="171"/>
      <c r="C49" s="113" t="s">
        <v>884</v>
      </c>
      <c r="D49" s="792" t="s">
        <v>128</v>
      </c>
      <c r="E49" s="793"/>
      <c r="F49" s="794"/>
      <c r="G49" s="114" t="s">
        <v>127</v>
      </c>
      <c r="H49" s="457" t="s">
        <v>296</v>
      </c>
      <c r="I49" s="113" t="s">
        <v>112</v>
      </c>
      <c r="J49" s="113" t="s">
        <v>113</v>
      </c>
      <c r="K49" s="113" t="s">
        <v>114</v>
      </c>
      <c r="L49" s="113" t="s">
        <v>115</v>
      </c>
      <c r="M49" s="113" t="s">
        <v>116</v>
      </c>
      <c r="N49" s="113" t="s">
        <v>117</v>
      </c>
      <c r="O49" s="614" t="s">
        <v>817</v>
      </c>
      <c r="P49" s="113" t="s">
        <v>331</v>
      </c>
      <c r="Q49" s="113" t="s">
        <v>332</v>
      </c>
      <c r="R49" s="113" t="s">
        <v>118</v>
      </c>
      <c r="S49" s="113" t="s">
        <v>123</v>
      </c>
      <c r="T49" s="113" t="s">
        <v>124</v>
      </c>
      <c r="U49" s="66" t="s">
        <v>331</v>
      </c>
      <c r="V49" s="66" t="s">
        <v>332</v>
      </c>
      <c r="W49" s="14" t="s">
        <v>119</v>
      </c>
      <c r="X49" s="14" t="s">
        <v>120</v>
      </c>
      <c r="Y49" s="71" t="s">
        <v>826</v>
      </c>
      <c r="Z49" s="14" t="s">
        <v>827</v>
      </c>
      <c r="AA49" s="620" t="s">
        <v>825</v>
      </c>
      <c r="AB49" s="14" t="s">
        <v>314</v>
      </c>
    </row>
    <row r="50" spans="1:28" x14ac:dyDescent="0.2">
      <c r="A50" s="171"/>
      <c r="B50" s="212">
        <v>1</v>
      </c>
      <c r="C50" s="516"/>
      <c r="D50" s="795"/>
      <c r="E50" s="796"/>
      <c r="F50" s="797"/>
      <c r="G50" s="460"/>
      <c r="H50" s="378"/>
      <c r="I50" s="587"/>
      <c r="J50" s="587"/>
      <c r="K50" s="587"/>
      <c r="L50" s="587"/>
      <c r="M50" s="583"/>
      <c r="N50" s="583"/>
      <c r="O50" s="624"/>
      <c r="P50" s="380"/>
      <c r="Q50" s="380"/>
      <c r="R50" s="86">
        <f t="shared" ref="R50:R69" si="46">X50+W50</f>
        <v>0</v>
      </c>
      <c r="S50" s="69">
        <f t="shared" ref="S50:S69" si="47">IF(AND(W50&lt;&gt;0,R50&lt;&gt;0),W50/R50,0)</f>
        <v>0</v>
      </c>
      <c r="T50" s="69">
        <f t="shared" ref="T50:T69" si="48">IF(AND(X50&lt;&gt;0,R50&lt;&gt;0),X50/R50,0)</f>
        <v>0</v>
      </c>
      <c r="U50" s="506">
        <f t="shared" ref="U50:U69" si="49">IF(P50="Yes",R50,0)</f>
        <v>0</v>
      </c>
      <c r="V50" s="506">
        <f t="shared" ref="V50:V69" si="50">IF(Q50="Yes",R50,0)</f>
        <v>0</v>
      </c>
      <c r="W50" s="507">
        <f t="shared" ref="W50:W69" si="51">SUM($I50:$L50)</f>
        <v>0</v>
      </c>
      <c r="X50" s="507">
        <f t="shared" ref="X50:X69" si="52">SUM($M50:$N50)</f>
        <v>0</v>
      </c>
      <c r="Y50" s="72" t="str">
        <f t="shared" ref="Y50:Y69" si="53">IF(Z50&lt;&gt;"",R50/INDEX(ScriptsOldTotal,O50,AA50),"")</f>
        <v/>
      </c>
      <c r="Z50" s="101" t="str">
        <f t="shared" ref="Z50:Z69" si="54">IF(H50="Initiating","I",IF(H50="Continuing","C",IF(H50="All","IC","")))</f>
        <v/>
      </c>
      <c r="AA50" s="101" t="str">
        <f t="shared" ref="AA50:AA69" si="55">IF(Z50&lt;&gt;"",VLOOKUP(Z50,TPShortReverse,3,FALSE),"")</f>
        <v/>
      </c>
      <c r="AB50" s="102" t="str">
        <f t="shared" ref="AB50:AB69" si="56">IF(AND(C50&lt;&gt;"",OR(ScriptSourceCode=2,ScriptSourceCode=3)),CONCATENATE(G50," - ",C50," ",D50," - ",H50),MsgNotUsed)</f>
        <v>** NOT USED **</v>
      </c>
    </row>
    <row r="51" spans="1:28" x14ac:dyDescent="0.2">
      <c r="A51" s="171"/>
      <c r="B51" s="212">
        <v>2</v>
      </c>
      <c r="C51" s="663"/>
      <c r="D51" s="795"/>
      <c r="E51" s="796"/>
      <c r="F51" s="797"/>
      <c r="G51" s="460"/>
      <c r="H51" s="378"/>
      <c r="I51" s="587"/>
      <c r="J51" s="587"/>
      <c r="K51" s="587"/>
      <c r="L51" s="587"/>
      <c r="M51" s="583"/>
      <c r="N51" s="583"/>
      <c r="O51" s="624"/>
      <c r="P51" s="380"/>
      <c r="Q51" s="380"/>
      <c r="R51" s="86">
        <f t="shared" si="46"/>
        <v>0</v>
      </c>
      <c r="S51" s="69">
        <f t="shared" si="47"/>
        <v>0</v>
      </c>
      <c r="T51" s="69">
        <f t="shared" si="48"/>
        <v>0</v>
      </c>
      <c r="U51" s="506">
        <f t="shared" si="49"/>
        <v>0</v>
      </c>
      <c r="V51" s="506">
        <f t="shared" si="50"/>
        <v>0</v>
      </c>
      <c r="W51" s="507">
        <f t="shared" si="51"/>
        <v>0</v>
      </c>
      <c r="X51" s="507">
        <f t="shared" si="52"/>
        <v>0</v>
      </c>
      <c r="Y51" s="72" t="str">
        <f t="shared" si="53"/>
        <v/>
      </c>
      <c r="Z51" s="101" t="str">
        <f t="shared" si="54"/>
        <v/>
      </c>
      <c r="AA51" s="101" t="str">
        <f t="shared" si="55"/>
        <v/>
      </c>
      <c r="AB51" s="102" t="str">
        <f t="shared" si="56"/>
        <v>** NOT USED **</v>
      </c>
    </row>
    <row r="52" spans="1:28" x14ac:dyDescent="0.2">
      <c r="A52" s="171"/>
      <c r="B52" s="212">
        <v>3</v>
      </c>
      <c r="C52" s="663"/>
      <c r="D52" s="795"/>
      <c r="E52" s="796"/>
      <c r="F52" s="797"/>
      <c r="G52" s="460"/>
      <c r="H52" s="378"/>
      <c r="I52" s="587"/>
      <c r="J52" s="587"/>
      <c r="K52" s="587"/>
      <c r="L52" s="587"/>
      <c r="M52" s="583"/>
      <c r="N52" s="583"/>
      <c r="O52" s="624"/>
      <c r="P52" s="380"/>
      <c r="Q52" s="380"/>
      <c r="R52" s="86">
        <f t="shared" si="46"/>
        <v>0</v>
      </c>
      <c r="S52" s="69">
        <f t="shared" si="47"/>
        <v>0</v>
      </c>
      <c r="T52" s="69">
        <f t="shared" si="48"/>
        <v>0</v>
      </c>
      <c r="U52" s="506">
        <f t="shared" si="49"/>
        <v>0</v>
      </c>
      <c r="V52" s="506">
        <f t="shared" si="50"/>
        <v>0</v>
      </c>
      <c r="W52" s="507">
        <f t="shared" si="51"/>
        <v>0</v>
      </c>
      <c r="X52" s="507">
        <f t="shared" si="52"/>
        <v>0</v>
      </c>
      <c r="Y52" s="72" t="str">
        <f t="shared" si="53"/>
        <v/>
      </c>
      <c r="Z52" s="101" t="str">
        <f t="shared" si="54"/>
        <v/>
      </c>
      <c r="AA52" s="101" t="str">
        <f t="shared" si="55"/>
        <v/>
      </c>
      <c r="AB52" s="102" t="str">
        <f t="shared" si="56"/>
        <v>** NOT USED **</v>
      </c>
    </row>
    <row r="53" spans="1:28" x14ac:dyDescent="0.2">
      <c r="A53" s="171"/>
      <c r="B53" s="212">
        <v>4</v>
      </c>
      <c r="C53" s="663"/>
      <c r="D53" s="795"/>
      <c r="E53" s="796"/>
      <c r="F53" s="797"/>
      <c r="G53" s="460"/>
      <c r="H53" s="378"/>
      <c r="I53" s="587"/>
      <c r="J53" s="587"/>
      <c r="K53" s="587"/>
      <c r="L53" s="587"/>
      <c r="M53" s="583"/>
      <c r="N53" s="583"/>
      <c r="O53" s="624"/>
      <c r="P53" s="380"/>
      <c r="Q53" s="380"/>
      <c r="R53" s="86">
        <f t="shared" si="46"/>
        <v>0</v>
      </c>
      <c r="S53" s="69">
        <f t="shared" si="47"/>
        <v>0</v>
      </c>
      <c r="T53" s="69">
        <f t="shared" si="48"/>
        <v>0</v>
      </c>
      <c r="U53" s="506">
        <f t="shared" si="49"/>
        <v>0</v>
      </c>
      <c r="V53" s="506">
        <f t="shared" si="50"/>
        <v>0</v>
      </c>
      <c r="W53" s="507">
        <f t="shared" si="51"/>
        <v>0</v>
      </c>
      <c r="X53" s="507">
        <f t="shared" si="52"/>
        <v>0</v>
      </c>
      <c r="Y53" s="72" t="str">
        <f t="shared" si="53"/>
        <v/>
      </c>
      <c r="Z53" s="101" t="str">
        <f t="shared" si="54"/>
        <v/>
      </c>
      <c r="AA53" s="101" t="str">
        <f t="shared" si="55"/>
        <v/>
      </c>
      <c r="AB53" s="102" t="str">
        <f t="shared" si="56"/>
        <v>** NOT USED **</v>
      </c>
    </row>
    <row r="54" spans="1:28" x14ac:dyDescent="0.2">
      <c r="A54" s="171"/>
      <c r="B54" s="212">
        <v>5</v>
      </c>
      <c r="C54" s="663"/>
      <c r="D54" s="795"/>
      <c r="E54" s="796"/>
      <c r="F54" s="797"/>
      <c r="G54" s="460"/>
      <c r="H54" s="378"/>
      <c r="I54" s="587"/>
      <c r="J54" s="587"/>
      <c r="K54" s="587"/>
      <c r="L54" s="587"/>
      <c r="M54" s="583"/>
      <c r="N54" s="583"/>
      <c r="O54" s="624"/>
      <c r="P54" s="380"/>
      <c r="Q54" s="380"/>
      <c r="R54" s="86">
        <f t="shared" si="46"/>
        <v>0</v>
      </c>
      <c r="S54" s="69">
        <f t="shared" si="47"/>
        <v>0</v>
      </c>
      <c r="T54" s="69">
        <f t="shared" si="48"/>
        <v>0</v>
      </c>
      <c r="U54" s="506">
        <f t="shared" si="49"/>
        <v>0</v>
      </c>
      <c r="V54" s="506">
        <f t="shared" si="50"/>
        <v>0</v>
      </c>
      <c r="W54" s="507">
        <f t="shared" si="51"/>
        <v>0</v>
      </c>
      <c r="X54" s="507">
        <f t="shared" si="52"/>
        <v>0</v>
      </c>
      <c r="Y54" s="72" t="str">
        <f t="shared" si="53"/>
        <v/>
      </c>
      <c r="Z54" s="101" t="str">
        <f t="shared" si="54"/>
        <v/>
      </c>
      <c r="AA54" s="101" t="str">
        <f t="shared" si="55"/>
        <v/>
      </c>
      <c r="AB54" s="102" t="str">
        <f t="shared" si="56"/>
        <v>** NOT USED **</v>
      </c>
    </row>
    <row r="55" spans="1:28" x14ac:dyDescent="0.2">
      <c r="A55" s="171"/>
      <c r="B55" s="212">
        <v>6</v>
      </c>
      <c r="C55" s="663"/>
      <c r="D55" s="795"/>
      <c r="E55" s="796"/>
      <c r="F55" s="797"/>
      <c r="G55" s="460"/>
      <c r="H55" s="378"/>
      <c r="I55" s="587"/>
      <c r="J55" s="587"/>
      <c r="K55" s="587"/>
      <c r="L55" s="587"/>
      <c r="M55" s="583"/>
      <c r="N55" s="583"/>
      <c r="O55" s="624"/>
      <c r="P55" s="380"/>
      <c r="Q55" s="380"/>
      <c r="R55" s="86">
        <f t="shared" si="46"/>
        <v>0</v>
      </c>
      <c r="S55" s="69">
        <f t="shared" si="47"/>
        <v>0</v>
      </c>
      <c r="T55" s="69">
        <f t="shared" si="48"/>
        <v>0</v>
      </c>
      <c r="U55" s="506">
        <f t="shared" si="49"/>
        <v>0</v>
      </c>
      <c r="V55" s="506">
        <f t="shared" si="50"/>
        <v>0</v>
      </c>
      <c r="W55" s="507">
        <f t="shared" si="51"/>
        <v>0</v>
      </c>
      <c r="X55" s="507">
        <f t="shared" si="52"/>
        <v>0</v>
      </c>
      <c r="Y55" s="72" t="str">
        <f t="shared" si="53"/>
        <v/>
      </c>
      <c r="Z55" s="101" t="str">
        <f t="shared" si="54"/>
        <v/>
      </c>
      <c r="AA55" s="101" t="str">
        <f t="shared" si="55"/>
        <v/>
      </c>
      <c r="AB55" s="102" t="str">
        <f t="shared" si="56"/>
        <v>** NOT USED **</v>
      </c>
    </row>
    <row r="56" spans="1:28" x14ac:dyDescent="0.2">
      <c r="A56" s="171"/>
      <c r="B56" s="212">
        <v>7</v>
      </c>
      <c r="C56" s="663"/>
      <c r="D56" s="795"/>
      <c r="E56" s="796"/>
      <c r="F56" s="797"/>
      <c r="G56" s="460"/>
      <c r="H56" s="378"/>
      <c r="I56" s="583"/>
      <c r="J56" s="583"/>
      <c r="K56" s="583"/>
      <c r="L56" s="583"/>
      <c r="M56" s="583"/>
      <c r="N56" s="583"/>
      <c r="O56" s="624"/>
      <c r="P56" s="380"/>
      <c r="Q56" s="380"/>
      <c r="R56" s="86">
        <f t="shared" si="46"/>
        <v>0</v>
      </c>
      <c r="S56" s="69">
        <f t="shared" si="47"/>
        <v>0</v>
      </c>
      <c r="T56" s="69">
        <f t="shared" si="48"/>
        <v>0</v>
      </c>
      <c r="U56" s="506">
        <f t="shared" si="49"/>
        <v>0</v>
      </c>
      <c r="V56" s="506">
        <f t="shared" si="50"/>
        <v>0</v>
      </c>
      <c r="W56" s="507">
        <f t="shared" si="51"/>
        <v>0</v>
      </c>
      <c r="X56" s="507">
        <f t="shared" si="52"/>
        <v>0</v>
      </c>
      <c r="Y56" s="72" t="str">
        <f t="shared" si="53"/>
        <v/>
      </c>
      <c r="Z56" s="101" t="str">
        <f t="shared" si="54"/>
        <v/>
      </c>
      <c r="AA56" s="101" t="str">
        <f t="shared" si="55"/>
        <v/>
      </c>
      <c r="AB56" s="102" t="str">
        <f t="shared" si="56"/>
        <v>** NOT USED **</v>
      </c>
    </row>
    <row r="57" spans="1:28" x14ac:dyDescent="0.2">
      <c r="A57" s="171"/>
      <c r="B57" s="212">
        <v>8</v>
      </c>
      <c r="C57" s="663"/>
      <c r="D57" s="795"/>
      <c r="E57" s="796"/>
      <c r="F57" s="797"/>
      <c r="G57" s="460"/>
      <c r="H57" s="378"/>
      <c r="I57" s="583"/>
      <c r="J57" s="583"/>
      <c r="K57" s="583"/>
      <c r="L57" s="583"/>
      <c r="M57" s="583"/>
      <c r="N57" s="583"/>
      <c r="O57" s="624"/>
      <c r="P57" s="380"/>
      <c r="Q57" s="380"/>
      <c r="R57" s="86">
        <f t="shared" si="46"/>
        <v>0</v>
      </c>
      <c r="S57" s="69">
        <f t="shared" si="47"/>
        <v>0</v>
      </c>
      <c r="T57" s="69">
        <f t="shared" si="48"/>
        <v>0</v>
      </c>
      <c r="U57" s="506">
        <f t="shared" si="49"/>
        <v>0</v>
      </c>
      <c r="V57" s="506">
        <f t="shared" si="50"/>
        <v>0</v>
      </c>
      <c r="W57" s="507">
        <f t="shared" si="51"/>
        <v>0</v>
      </c>
      <c r="X57" s="507">
        <f t="shared" si="52"/>
        <v>0</v>
      </c>
      <c r="Y57" s="72" t="str">
        <f t="shared" si="53"/>
        <v/>
      </c>
      <c r="Z57" s="101" t="str">
        <f t="shared" si="54"/>
        <v/>
      </c>
      <c r="AA57" s="101" t="str">
        <f t="shared" si="55"/>
        <v/>
      </c>
      <c r="AB57" s="102" t="str">
        <f t="shared" si="56"/>
        <v>** NOT USED **</v>
      </c>
    </row>
    <row r="58" spans="1:28" x14ac:dyDescent="0.2">
      <c r="A58" s="171"/>
      <c r="B58" s="212">
        <v>9</v>
      </c>
      <c r="C58" s="663"/>
      <c r="D58" s="795"/>
      <c r="E58" s="796"/>
      <c r="F58" s="797"/>
      <c r="G58" s="460"/>
      <c r="H58" s="378"/>
      <c r="I58" s="583"/>
      <c r="J58" s="583"/>
      <c r="K58" s="583"/>
      <c r="L58" s="583"/>
      <c r="M58" s="583"/>
      <c r="N58" s="583"/>
      <c r="O58" s="624"/>
      <c r="P58" s="380"/>
      <c r="Q58" s="380"/>
      <c r="R58" s="86">
        <f t="shared" si="46"/>
        <v>0</v>
      </c>
      <c r="S58" s="69">
        <f t="shared" si="47"/>
        <v>0</v>
      </c>
      <c r="T58" s="69">
        <f t="shared" si="48"/>
        <v>0</v>
      </c>
      <c r="U58" s="506">
        <f t="shared" si="49"/>
        <v>0</v>
      </c>
      <c r="V58" s="506">
        <f t="shared" si="50"/>
        <v>0</v>
      </c>
      <c r="W58" s="507">
        <f t="shared" si="51"/>
        <v>0</v>
      </c>
      <c r="X58" s="507">
        <f t="shared" si="52"/>
        <v>0</v>
      </c>
      <c r="Y58" s="72" t="str">
        <f t="shared" si="53"/>
        <v/>
      </c>
      <c r="Z58" s="101" t="str">
        <f t="shared" si="54"/>
        <v/>
      </c>
      <c r="AA58" s="101" t="str">
        <f t="shared" si="55"/>
        <v/>
      </c>
      <c r="AB58" s="102" t="str">
        <f t="shared" si="56"/>
        <v>** NOT USED **</v>
      </c>
    </row>
    <row r="59" spans="1:28" x14ac:dyDescent="0.2">
      <c r="A59" s="171"/>
      <c r="B59" s="212">
        <v>10</v>
      </c>
      <c r="C59" s="663"/>
      <c r="D59" s="795"/>
      <c r="E59" s="796"/>
      <c r="F59" s="797"/>
      <c r="G59" s="460"/>
      <c r="H59" s="378"/>
      <c r="I59" s="583"/>
      <c r="J59" s="583"/>
      <c r="K59" s="583"/>
      <c r="L59" s="583"/>
      <c r="M59" s="583"/>
      <c r="N59" s="583"/>
      <c r="O59" s="624"/>
      <c r="P59" s="380"/>
      <c r="Q59" s="380"/>
      <c r="R59" s="86">
        <f t="shared" si="46"/>
        <v>0</v>
      </c>
      <c r="S59" s="69">
        <f t="shared" si="47"/>
        <v>0</v>
      </c>
      <c r="T59" s="69">
        <f t="shared" si="48"/>
        <v>0</v>
      </c>
      <c r="U59" s="506">
        <f t="shared" si="49"/>
        <v>0</v>
      </c>
      <c r="V59" s="506">
        <f t="shared" si="50"/>
        <v>0</v>
      </c>
      <c r="W59" s="507">
        <f t="shared" si="51"/>
        <v>0</v>
      </c>
      <c r="X59" s="507">
        <f t="shared" si="52"/>
        <v>0</v>
      </c>
      <c r="Y59" s="72" t="str">
        <f t="shared" si="53"/>
        <v/>
      </c>
      <c r="Z59" s="101" t="str">
        <f t="shared" si="54"/>
        <v/>
      </c>
      <c r="AA59" s="101" t="str">
        <f t="shared" si="55"/>
        <v/>
      </c>
      <c r="AB59" s="102" t="str">
        <f t="shared" si="56"/>
        <v>** NOT USED **</v>
      </c>
    </row>
    <row r="60" spans="1:28" x14ac:dyDescent="0.2">
      <c r="A60" s="171"/>
      <c r="B60" s="212">
        <v>11</v>
      </c>
      <c r="C60" s="663"/>
      <c r="D60" s="795"/>
      <c r="E60" s="796"/>
      <c r="F60" s="797"/>
      <c r="G60" s="460"/>
      <c r="H60" s="378"/>
      <c r="I60" s="583"/>
      <c r="J60" s="583"/>
      <c r="K60" s="583"/>
      <c r="L60" s="583"/>
      <c r="M60" s="583"/>
      <c r="N60" s="583"/>
      <c r="O60" s="624"/>
      <c r="P60" s="380"/>
      <c r="Q60" s="380"/>
      <c r="R60" s="86">
        <f t="shared" si="46"/>
        <v>0</v>
      </c>
      <c r="S60" s="69">
        <f t="shared" si="47"/>
        <v>0</v>
      </c>
      <c r="T60" s="69">
        <f t="shared" si="48"/>
        <v>0</v>
      </c>
      <c r="U60" s="506">
        <f t="shared" si="49"/>
        <v>0</v>
      </c>
      <c r="V60" s="506">
        <f t="shared" si="50"/>
        <v>0</v>
      </c>
      <c r="W60" s="507">
        <f t="shared" si="51"/>
        <v>0</v>
      </c>
      <c r="X60" s="507">
        <f t="shared" si="52"/>
        <v>0</v>
      </c>
      <c r="Y60" s="72" t="str">
        <f t="shared" si="53"/>
        <v/>
      </c>
      <c r="Z60" s="101" t="str">
        <f t="shared" si="54"/>
        <v/>
      </c>
      <c r="AA60" s="101" t="str">
        <f t="shared" si="55"/>
        <v/>
      </c>
      <c r="AB60" s="102" t="str">
        <f t="shared" si="56"/>
        <v>** NOT USED **</v>
      </c>
    </row>
    <row r="61" spans="1:28" x14ac:dyDescent="0.2">
      <c r="A61" s="171"/>
      <c r="B61" s="212">
        <v>12</v>
      </c>
      <c r="C61" s="663"/>
      <c r="D61" s="795"/>
      <c r="E61" s="796"/>
      <c r="F61" s="797"/>
      <c r="G61" s="460"/>
      <c r="H61" s="378"/>
      <c r="I61" s="583"/>
      <c r="J61" s="583"/>
      <c r="K61" s="583"/>
      <c r="L61" s="583"/>
      <c r="M61" s="583"/>
      <c r="N61" s="583"/>
      <c r="O61" s="624"/>
      <c r="P61" s="380"/>
      <c r="Q61" s="380"/>
      <c r="R61" s="86">
        <f t="shared" si="46"/>
        <v>0</v>
      </c>
      <c r="S61" s="69">
        <f t="shared" si="47"/>
        <v>0</v>
      </c>
      <c r="T61" s="69">
        <f t="shared" si="48"/>
        <v>0</v>
      </c>
      <c r="U61" s="506">
        <f t="shared" si="49"/>
        <v>0</v>
      </c>
      <c r="V61" s="506">
        <f t="shared" si="50"/>
        <v>0</v>
      </c>
      <c r="W61" s="507">
        <f t="shared" si="51"/>
        <v>0</v>
      </c>
      <c r="X61" s="507">
        <f t="shared" si="52"/>
        <v>0</v>
      </c>
      <c r="Y61" s="72" t="str">
        <f t="shared" si="53"/>
        <v/>
      </c>
      <c r="Z61" s="101" t="str">
        <f t="shared" si="54"/>
        <v/>
      </c>
      <c r="AA61" s="101" t="str">
        <f t="shared" si="55"/>
        <v/>
      </c>
      <c r="AB61" s="102" t="str">
        <f t="shared" si="56"/>
        <v>** NOT USED **</v>
      </c>
    </row>
    <row r="62" spans="1:28" x14ac:dyDescent="0.2">
      <c r="A62" s="171"/>
      <c r="B62" s="212">
        <v>13</v>
      </c>
      <c r="C62" s="663"/>
      <c r="D62" s="795"/>
      <c r="E62" s="796"/>
      <c r="F62" s="797"/>
      <c r="G62" s="460"/>
      <c r="H62" s="378"/>
      <c r="I62" s="583"/>
      <c r="J62" s="583"/>
      <c r="K62" s="583"/>
      <c r="L62" s="583"/>
      <c r="M62" s="583"/>
      <c r="N62" s="583"/>
      <c r="O62" s="624"/>
      <c r="P62" s="380"/>
      <c r="Q62" s="380"/>
      <c r="R62" s="86">
        <f t="shared" si="46"/>
        <v>0</v>
      </c>
      <c r="S62" s="69">
        <f t="shared" si="47"/>
        <v>0</v>
      </c>
      <c r="T62" s="69">
        <f t="shared" si="48"/>
        <v>0</v>
      </c>
      <c r="U62" s="506">
        <f t="shared" si="49"/>
        <v>0</v>
      </c>
      <c r="V62" s="506">
        <f t="shared" si="50"/>
        <v>0</v>
      </c>
      <c r="W62" s="507">
        <f t="shared" si="51"/>
        <v>0</v>
      </c>
      <c r="X62" s="507">
        <f t="shared" si="52"/>
        <v>0</v>
      </c>
      <c r="Y62" s="72" t="str">
        <f t="shared" si="53"/>
        <v/>
      </c>
      <c r="Z62" s="101" t="str">
        <f t="shared" si="54"/>
        <v/>
      </c>
      <c r="AA62" s="101" t="str">
        <f t="shared" si="55"/>
        <v/>
      </c>
      <c r="AB62" s="102" t="str">
        <f t="shared" si="56"/>
        <v>** NOT USED **</v>
      </c>
    </row>
    <row r="63" spans="1:28" x14ac:dyDescent="0.2">
      <c r="A63" s="171"/>
      <c r="B63" s="212">
        <v>14</v>
      </c>
      <c r="C63" s="663"/>
      <c r="D63" s="795"/>
      <c r="E63" s="796"/>
      <c r="F63" s="797"/>
      <c r="G63" s="460"/>
      <c r="H63" s="378"/>
      <c r="I63" s="583"/>
      <c r="J63" s="583"/>
      <c r="K63" s="583"/>
      <c r="L63" s="583"/>
      <c r="M63" s="583"/>
      <c r="N63" s="583"/>
      <c r="O63" s="624"/>
      <c r="P63" s="380"/>
      <c r="Q63" s="380"/>
      <c r="R63" s="86">
        <f t="shared" si="46"/>
        <v>0</v>
      </c>
      <c r="S63" s="69">
        <f t="shared" si="47"/>
        <v>0</v>
      </c>
      <c r="T63" s="69">
        <f t="shared" si="48"/>
        <v>0</v>
      </c>
      <c r="U63" s="506">
        <f t="shared" si="49"/>
        <v>0</v>
      </c>
      <c r="V63" s="506">
        <f t="shared" si="50"/>
        <v>0</v>
      </c>
      <c r="W63" s="507">
        <f t="shared" si="51"/>
        <v>0</v>
      </c>
      <c r="X63" s="507">
        <f t="shared" si="52"/>
        <v>0</v>
      </c>
      <c r="Y63" s="72" t="str">
        <f t="shared" si="53"/>
        <v/>
      </c>
      <c r="Z63" s="101" t="str">
        <f t="shared" si="54"/>
        <v/>
      </c>
      <c r="AA63" s="101" t="str">
        <f t="shared" si="55"/>
        <v/>
      </c>
      <c r="AB63" s="102" t="str">
        <f t="shared" si="56"/>
        <v>** NOT USED **</v>
      </c>
    </row>
    <row r="64" spans="1:28" x14ac:dyDescent="0.2">
      <c r="A64" s="171"/>
      <c r="B64" s="212">
        <v>15</v>
      </c>
      <c r="C64" s="663"/>
      <c r="D64" s="795"/>
      <c r="E64" s="796"/>
      <c r="F64" s="797"/>
      <c r="G64" s="460"/>
      <c r="H64" s="378"/>
      <c r="I64" s="583"/>
      <c r="J64" s="583"/>
      <c r="K64" s="583"/>
      <c r="L64" s="583"/>
      <c r="M64" s="583"/>
      <c r="N64" s="583"/>
      <c r="O64" s="624"/>
      <c r="P64" s="380"/>
      <c r="Q64" s="380"/>
      <c r="R64" s="86">
        <f t="shared" si="46"/>
        <v>0</v>
      </c>
      <c r="S64" s="69">
        <f t="shared" si="47"/>
        <v>0</v>
      </c>
      <c r="T64" s="69">
        <f t="shared" si="48"/>
        <v>0</v>
      </c>
      <c r="U64" s="506">
        <f t="shared" si="49"/>
        <v>0</v>
      </c>
      <c r="V64" s="506">
        <f t="shared" si="50"/>
        <v>0</v>
      </c>
      <c r="W64" s="507">
        <f t="shared" si="51"/>
        <v>0</v>
      </c>
      <c r="X64" s="507">
        <f t="shared" si="52"/>
        <v>0</v>
      </c>
      <c r="Y64" s="72" t="str">
        <f t="shared" si="53"/>
        <v/>
      </c>
      <c r="Z64" s="101" t="str">
        <f t="shared" si="54"/>
        <v/>
      </c>
      <c r="AA64" s="101" t="str">
        <f t="shared" si="55"/>
        <v/>
      </c>
      <c r="AB64" s="102" t="str">
        <f t="shared" si="56"/>
        <v>** NOT USED **</v>
      </c>
    </row>
    <row r="65" spans="1:30" x14ac:dyDescent="0.2">
      <c r="A65" s="171"/>
      <c r="B65" s="212">
        <v>16</v>
      </c>
      <c r="C65" s="663"/>
      <c r="D65" s="795"/>
      <c r="E65" s="796"/>
      <c r="F65" s="797"/>
      <c r="G65" s="460"/>
      <c r="H65" s="378"/>
      <c r="I65" s="583"/>
      <c r="J65" s="583"/>
      <c r="K65" s="583"/>
      <c r="L65" s="583"/>
      <c r="M65" s="583"/>
      <c r="N65" s="583"/>
      <c r="O65" s="624"/>
      <c r="P65" s="380"/>
      <c r="Q65" s="380"/>
      <c r="R65" s="86">
        <f t="shared" si="46"/>
        <v>0</v>
      </c>
      <c r="S65" s="69">
        <f t="shared" si="47"/>
        <v>0</v>
      </c>
      <c r="T65" s="69">
        <f t="shared" si="48"/>
        <v>0</v>
      </c>
      <c r="U65" s="506">
        <f t="shared" si="49"/>
        <v>0</v>
      </c>
      <c r="V65" s="506">
        <f t="shared" si="50"/>
        <v>0</v>
      </c>
      <c r="W65" s="507">
        <f t="shared" si="51"/>
        <v>0</v>
      </c>
      <c r="X65" s="507">
        <f t="shared" si="52"/>
        <v>0</v>
      </c>
      <c r="Y65" s="72" t="str">
        <f t="shared" si="53"/>
        <v/>
      </c>
      <c r="Z65" s="101" t="str">
        <f t="shared" si="54"/>
        <v/>
      </c>
      <c r="AA65" s="101" t="str">
        <f t="shared" si="55"/>
        <v/>
      </c>
      <c r="AB65" s="102" t="str">
        <f t="shared" si="56"/>
        <v>** NOT USED **</v>
      </c>
    </row>
    <row r="66" spans="1:30" x14ac:dyDescent="0.2">
      <c r="A66" s="171"/>
      <c r="B66" s="212">
        <v>17</v>
      </c>
      <c r="C66" s="514"/>
      <c r="D66" s="800"/>
      <c r="E66" s="800"/>
      <c r="F66" s="800"/>
      <c r="G66" s="460"/>
      <c r="H66" s="378"/>
      <c r="I66" s="504"/>
      <c r="J66" s="504"/>
      <c r="K66" s="504"/>
      <c r="L66" s="504"/>
      <c r="M66" s="504"/>
      <c r="N66" s="504"/>
      <c r="O66" s="624"/>
      <c r="P66" s="380"/>
      <c r="Q66" s="380"/>
      <c r="R66" s="86">
        <f t="shared" si="46"/>
        <v>0</v>
      </c>
      <c r="S66" s="69">
        <f t="shared" si="47"/>
        <v>0</v>
      </c>
      <c r="T66" s="69">
        <f t="shared" si="48"/>
        <v>0</v>
      </c>
      <c r="U66" s="506">
        <f t="shared" si="49"/>
        <v>0</v>
      </c>
      <c r="V66" s="506">
        <f t="shared" si="50"/>
        <v>0</v>
      </c>
      <c r="W66" s="507">
        <f t="shared" si="51"/>
        <v>0</v>
      </c>
      <c r="X66" s="507">
        <f t="shared" si="52"/>
        <v>0</v>
      </c>
      <c r="Y66" s="72" t="str">
        <f t="shared" si="53"/>
        <v/>
      </c>
      <c r="Z66" s="101" t="str">
        <f t="shared" si="54"/>
        <v/>
      </c>
      <c r="AA66" s="101" t="str">
        <f t="shared" si="55"/>
        <v/>
      </c>
      <c r="AB66" s="102" t="str">
        <f t="shared" si="56"/>
        <v>** NOT USED **</v>
      </c>
    </row>
    <row r="67" spans="1:30" x14ac:dyDescent="0.2">
      <c r="A67" s="171"/>
      <c r="B67" s="212">
        <v>18</v>
      </c>
      <c r="C67" s="514"/>
      <c r="D67" s="800"/>
      <c r="E67" s="800"/>
      <c r="F67" s="800"/>
      <c r="G67" s="460"/>
      <c r="H67" s="378"/>
      <c r="I67" s="504"/>
      <c r="J67" s="504"/>
      <c r="K67" s="504"/>
      <c r="L67" s="504"/>
      <c r="M67" s="504"/>
      <c r="N67" s="504"/>
      <c r="O67" s="624"/>
      <c r="P67" s="380"/>
      <c r="Q67" s="380"/>
      <c r="R67" s="86">
        <f t="shared" si="46"/>
        <v>0</v>
      </c>
      <c r="S67" s="69">
        <f t="shared" si="47"/>
        <v>0</v>
      </c>
      <c r="T67" s="69">
        <f t="shared" si="48"/>
        <v>0</v>
      </c>
      <c r="U67" s="506">
        <f t="shared" si="49"/>
        <v>0</v>
      </c>
      <c r="V67" s="506">
        <f t="shared" si="50"/>
        <v>0</v>
      </c>
      <c r="W67" s="507">
        <f t="shared" si="51"/>
        <v>0</v>
      </c>
      <c r="X67" s="507">
        <f t="shared" si="52"/>
        <v>0</v>
      </c>
      <c r="Y67" s="72" t="str">
        <f t="shared" si="53"/>
        <v/>
      </c>
      <c r="Z67" s="101" t="str">
        <f t="shared" si="54"/>
        <v/>
      </c>
      <c r="AA67" s="101" t="str">
        <f t="shared" si="55"/>
        <v/>
      </c>
      <c r="AB67" s="102" t="str">
        <f t="shared" si="56"/>
        <v>** NOT USED **</v>
      </c>
    </row>
    <row r="68" spans="1:30" x14ac:dyDescent="0.2">
      <c r="A68" s="171"/>
      <c r="B68" s="212">
        <v>19</v>
      </c>
      <c r="C68" s="514"/>
      <c r="D68" s="800"/>
      <c r="E68" s="800"/>
      <c r="F68" s="800"/>
      <c r="G68" s="460"/>
      <c r="H68" s="378"/>
      <c r="I68" s="504"/>
      <c r="J68" s="504"/>
      <c r="K68" s="504"/>
      <c r="L68" s="504"/>
      <c r="M68" s="504"/>
      <c r="N68" s="504"/>
      <c r="O68" s="624"/>
      <c r="P68" s="380"/>
      <c r="Q68" s="380"/>
      <c r="R68" s="86">
        <f t="shared" si="46"/>
        <v>0</v>
      </c>
      <c r="S68" s="69">
        <f t="shared" si="47"/>
        <v>0</v>
      </c>
      <c r="T68" s="69">
        <f t="shared" si="48"/>
        <v>0</v>
      </c>
      <c r="U68" s="506">
        <f t="shared" si="49"/>
        <v>0</v>
      </c>
      <c r="V68" s="506">
        <f t="shared" si="50"/>
        <v>0</v>
      </c>
      <c r="W68" s="507">
        <f t="shared" si="51"/>
        <v>0</v>
      </c>
      <c r="X68" s="507">
        <f t="shared" si="52"/>
        <v>0</v>
      </c>
      <c r="Y68" s="72" t="str">
        <f t="shared" si="53"/>
        <v/>
      </c>
      <c r="Z68" s="101" t="str">
        <f t="shared" si="54"/>
        <v/>
      </c>
      <c r="AA68" s="101" t="str">
        <f t="shared" si="55"/>
        <v/>
      </c>
      <c r="AB68" s="102" t="str">
        <f t="shared" si="56"/>
        <v>** NOT USED **</v>
      </c>
    </row>
    <row r="69" spans="1:30" x14ac:dyDescent="0.2">
      <c r="A69" s="171"/>
      <c r="B69" s="212">
        <v>20</v>
      </c>
      <c r="C69" s="514"/>
      <c r="D69" s="800"/>
      <c r="E69" s="800"/>
      <c r="F69" s="800"/>
      <c r="G69" s="460"/>
      <c r="H69" s="378"/>
      <c r="I69" s="504"/>
      <c r="J69" s="504"/>
      <c r="K69" s="504"/>
      <c r="L69" s="504"/>
      <c r="M69" s="504"/>
      <c r="N69" s="504"/>
      <c r="O69" s="624"/>
      <c r="P69" s="380"/>
      <c r="Q69" s="380"/>
      <c r="R69" s="86">
        <f t="shared" si="46"/>
        <v>0</v>
      </c>
      <c r="S69" s="69">
        <f t="shared" si="47"/>
        <v>0</v>
      </c>
      <c r="T69" s="69">
        <f t="shared" si="48"/>
        <v>0</v>
      </c>
      <c r="U69" s="506">
        <f t="shared" si="49"/>
        <v>0</v>
      </c>
      <c r="V69" s="506">
        <f t="shared" si="50"/>
        <v>0</v>
      </c>
      <c r="W69" s="507">
        <f t="shared" si="51"/>
        <v>0</v>
      </c>
      <c r="X69" s="507">
        <f t="shared" si="52"/>
        <v>0</v>
      </c>
      <c r="Y69" s="72" t="str">
        <f t="shared" si="53"/>
        <v/>
      </c>
      <c r="Z69" s="101" t="str">
        <f t="shared" si="54"/>
        <v/>
      </c>
      <c r="AA69" s="101" t="str">
        <f t="shared" si="55"/>
        <v/>
      </c>
      <c r="AB69" s="102" t="str">
        <f t="shared" si="56"/>
        <v>** NOT USED **</v>
      </c>
    </row>
    <row r="70" spans="1:30" x14ac:dyDescent="0.2">
      <c r="A70" s="171"/>
      <c r="B70" s="171"/>
      <c r="C70" s="171"/>
      <c r="D70" s="171"/>
      <c r="E70" s="171"/>
      <c r="F70" s="171"/>
      <c r="G70" s="171"/>
      <c r="H70" s="67" t="s">
        <v>76</v>
      </c>
      <c r="I70" s="86">
        <f>SUM(I50:I69)</f>
        <v>0</v>
      </c>
      <c r="J70" s="86">
        <f t="shared" ref="J70:N70" si="57">SUM(J50:J69)</f>
        <v>0</v>
      </c>
      <c r="K70" s="86">
        <f t="shared" si="57"/>
        <v>0</v>
      </c>
      <c r="L70" s="86">
        <f t="shared" si="57"/>
        <v>0</v>
      </c>
      <c r="M70" s="86">
        <f t="shared" si="57"/>
        <v>0</v>
      </c>
      <c r="N70" s="86">
        <f t="shared" si="57"/>
        <v>0</v>
      </c>
      <c r="Q70" s="570"/>
      <c r="R70"/>
      <c r="S70" s="171"/>
      <c r="T70" s="171"/>
      <c r="U70" s="508">
        <f>SUM(U50:U69)</f>
        <v>0</v>
      </c>
      <c r="V70" s="508">
        <f>SUM(V50:V69)</f>
        <v>0</v>
      </c>
      <c r="W70" s="508">
        <f>SUM(W50:W69)</f>
        <v>0</v>
      </c>
      <c r="X70" s="508">
        <f>SUM(X50:X69)</f>
        <v>0</v>
      </c>
      <c r="AA70" s="5"/>
      <c r="AB70" s="5"/>
      <c r="AC70" s="5"/>
      <c r="AD70" s="5"/>
    </row>
    <row r="71" spans="1:30" s="570" customFormat="1" hidden="1" x14ac:dyDescent="0.2">
      <c r="A71" s="592"/>
      <c r="B71" s="592"/>
      <c r="C71" s="592"/>
      <c r="D71" s="592"/>
      <c r="E71" s="592"/>
      <c r="F71" s="592"/>
      <c r="G71" s="592"/>
      <c r="H71"/>
      <c r="I71"/>
      <c r="J71"/>
      <c r="K71"/>
      <c r="L71"/>
      <c r="M71"/>
      <c r="N71"/>
      <c r="O71"/>
      <c r="R71"/>
      <c r="S71" s="592"/>
      <c r="T71" s="592"/>
      <c r="U71" s="592"/>
      <c r="V71" s="592"/>
      <c r="W71"/>
      <c r="X71"/>
      <c r="Y71"/>
      <c r="Z71"/>
      <c r="AD71" s="5"/>
    </row>
    <row r="72" spans="1:30" s="570" customFormat="1" hidden="1" x14ac:dyDescent="0.2">
      <c r="A72" s="592"/>
      <c r="B72" s="592"/>
      <c r="C72" s="592"/>
      <c r="F72" s="592"/>
      <c r="G72" s="592"/>
      <c r="H72" s="67" t="s">
        <v>814</v>
      </c>
      <c r="I72"/>
      <c r="J72"/>
      <c r="K72"/>
      <c r="L72"/>
      <c r="M72"/>
      <c r="N72"/>
      <c r="O72"/>
      <c r="P72" s="616" t="s">
        <v>119</v>
      </c>
      <c r="Q72" s="616" t="s">
        <v>120</v>
      </c>
      <c r="R72" s="616" t="s">
        <v>118</v>
      </c>
      <c r="S72" s="615" t="s">
        <v>123</v>
      </c>
      <c r="T72" s="615" t="s">
        <v>124</v>
      </c>
      <c r="U72" s="615" t="s">
        <v>815</v>
      </c>
      <c r="V72" s="615" t="s">
        <v>816</v>
      </c>
      <c r="W72" s="620" t="s">
        <v>331</v>
      </c>
      <c r="X72" s="620" t="s">
        <v>332</v>
      </c>
      <c r="Y72" s="636" t="s">
        <v>324</v>
      </c>
      <c r="Z72" s="636" t="s">
        <v>175</v>
      </c>
      <c r="AA72" s="636" t="s">
        <v>325</v>
      </c>
      <c r="AD72" s="5"/>
    </row>
    <row r="73" spans="1:30" hidden="1" x14ac:dyDescent="0.2">
      <c r="A73" s="172"/>
      <c r="B73" s="172"/>
      <c r="C73" s="172"/>
      <c r="F73" s="172"/>
      <c r="G73" s="498"/>
      <c r="H73" s="625">
        <v>1</v>
      </c>
      <c r="I73" s="626">
        <f t="shared" ref="I73:L77" si="58">IF($P73&lt;&gt;0,SUMIF($O$50:$O$69,$H73,I$50:I$69)/$P73,0)</f>
        <v>0</v>
      </c>
      <c r="J73" s="626">
        <f t="shared" si="58"/>
        <v>0</v>
      </c>
      <c r="K73" s="626">
        <f t="shared" si="58"/>
        <v>0</v>
      </c>
      <c r="L73" s="626">
        <f t="shared" si="58"/>
        <v>0</v>
      </c>
      <c r="M73" s="626">
        <f t="shared" ref="M73:N77" si="59">IF($Q73&lt;&gt;0,SUMIF($O$50:$O$69,$H73,M$50:M$69)/$Q73,0)</f>
        <v>0</v>
      </c>
      <c r="N73" s="626">
        <f t="shared" si="59"/>
        <v>0</v>
      </c>
      <c r="P73" s="506">
        <f t="shared" ref="P73:Q77" si="60">SUMIF($O$50:$O$69,$H73,W$50:W$69)</f>
        <v>0</v>
      </c>
      <c r="Q73" s="506">
        <f t="shared" si="60"/>
        <v>0</v>
      </c>
      <c r="R73" s="506">
        <f>P73+Q73</f>
        <v>0</v>
      </c>
      <c r="S73" s="633">
        <f>IF(R73&lt;&gt;0,P73/R73,0)</f>
        <v>0</v>
      </c>
      <c r="T73" s="633">
        <f>IF(R73&lt;&gt;0,Q73/R73,0)</f>
        <v>0</v>
      </c>
      <c r="U73" s="634">
        <f>SUMPRODUCT(I73:L73,$I$78:$L$78)</f>
        <v>0</v>
      </c>
      <c r="V73" s="634">
        <f>SUMPRODUCT(M73:N73,$M$78:$N$78)</f>
        <v>0</v>
      </c>
      <c r="W73" s="506">
        <f t="shared" ref="W73:X77" si="61">SUMIF($O$50:$O$69,$H73,U$50:U$69)</f>
        <v>0</v>
      </c>
      <c r="X73" s="506">
        <f t="shared" si="61"/>
        <v>0</v>
      </c>
      <c r="Y73" s="637">
        <f t="shared" ref="Y73:AA77" si="62">SUMIFS($R$50:$R$69,$Z$50:$Z$69,Y$72,$O$50:$O$69,$H73)</f>
        <v>0</v>
      </c>
      <c r="Z73" s="637">
        <f t="shared" si="62"/>
        <v>0</v>
      </c>
      <c r="AA73" s="637">
        <f t="shared" si="62"/>
        <v>0</v>
      </c>
    </row>
    <row r="74" spans="1:30" s="570" customFormat="1" hidden="1" x14ac:dyDescent="0.2">
      <c r="A74" s="498"/>
      <c r="B74" s="498"/>
      <c r="C74" s="498"/>
      <c r="D74" s="498"/>
      <c r="E74" s="498"/>
      <c r="F74" s="498"/>
      <c r="G74" s="498"/>
      <c r="H74" s="625">
        <v>2</v>
      </c>
      <c r="I74" s="626">
        <f t="shared" si="58"/>
        <v>0</v>
      </c>
      <c r="J74" s="626">
        <f t="shared" si="58"/>
        <v>0</v>
      </c>
      <c r="K74" s="626">
        <f t="shared" si="58"/>
        <v>0</v>
      </c>
      <c r="L74" s="626">
        <f t="shared" si="58"/>
        <v>0</v>
      </c>
      <c r="M74" s="626">
        <f t="shared" si="59"/>
        <v>0</v>
      </c>
      <c r="N74" s="626">
        <f t="shared" si="59"/>
        <v>0</v>
      </c>
      <c r="O74"/>
      <c r="P74" s="506">
        <f t="shared" si="60"/>
        <v>0</v>
      </c>
      <c r="Q74" s="506">
        <f t="shared" si="60"/>
        <v>0</v>
      </c>
      <c r="R74" s="506">
        <f t="shared" ref="R74:R77" si="63">P74+Q74</f>
        <v>0</v>
      </c>
      <c r="S74" s="633">
        <f>IF(R74&lt;&gt;0,P74/R74,0)</f>
        <v>0</v>
      </c>
      <c r="T74" s="633">
        <f>IF(R74&lt;&gt;0,Q74/R74,0)</f>
        <v>0</v>
      </c>
      <c r="U74" s="634">
        <f>SUMPRODUCT(I74:L74,$I$78:$L$78)</f>
        <v>0</v>
      </c>
      <c r="V74" s="634">
        <f>SUMPRODUCT(M74:N74,$M$78:$N$78)</f>
        <v>0</v>
      </c>
      <c r="W74" s="506">
        <f t="shared" si="61"/>
        <v>0</v>
      </c>
      <c r="X74" s="506">
        <f t="shared" si="61"/>
        <v>0</v>
      </c>
      <c r="Y74" s="637">
        <f t="shared" si="62"/>
        <v>0</v>
      </c>
      <c r="Z74" s="637">
        <f t="shared" si="62"/>
        <v>0</v>
      </c>
      <c r="AA74" s="637">
        <f t="shared" si="62"/>
        <v>0</v>
      </c>
    </row>
    <row r="75" spans="1:30" s="570" customFormat="1" hidden="1" x14ac:dyDescent="0.2">
      <c r="A75" s="498"/>
      <c r="B75" s="498"/>
      <c r="C75" s="498"/>
      <c r="D75" s="498"/>
      <c r="E75" s="498"/>
      <c r="F75" s="498"/>
      <c r="G75" s="498"/>
      <c r="H75" s="625">
        <v>3</v>
      </c>
      <c r="I75" s="626">
        <f t="shared" si="58"/>
        <v>0</v>
      </c>
      <c r="J75" s="626">
        <f t="shared" si="58"/>
        <v>0</v>
      </c>
      <c r="K75" s="626">
        <f t="shared" si="58"/>
        <v>0</v>
      </c>
      <c r="L75" s="626">
        <f t="shared" si="58"/>
        <v>0</v>
      </c>
      <c r="M75" s="626">
        <f t="shared" si="59"/>
        <v>0</v>
      </c>
      <c r="N75" s="626">
        <f t="shared" si="59"/>
        <v>0</v>
      </c>
      <c r="O75"/>
      <c r="P75" s="506">
        <f t="shared" si="60"/>
        <v>0</v>
      </c>
      <c r="Q75" s="506">
        <f t="shared" si="60"/>
        <v>0</v>
      </c>
      <c r="R75" s="506">
        <f t="shared" si="63"/>
        <v>0</v>
      </c>
      <c r="S75" s="633">
        <f>IF(R75&lt;&gt;0,P75/R75,0)</f>
        <v>0</v>
      </c>
      <c r="T75" s="633">
        <f>IF(R75&lt;&gt;0,Q75/R75,0)</f>
        <v>0</v>
      </c>
      <c r="U75" s="634">
        <f>SUMPRODUCT(I75:L75,$I$78:$L$78)</f>
        <v>0</v>
      </c>
      <c r="V75" s="634">
        <f>SUMPRODUCT(M75:N75,$M$78:$N$78)</f>
        <v>0</v>
      </c>
      <c r="W75" s="506">
        <f t="shared" si="61"/>
        <v>0</v>
      </c>
      <c r="X75" s="506">
        <f t="shared" si="61"/>
        <v>0</v>
      </c>
      <c r="Y75" s="637">
        <f t="shared" si="62"/>
        <v>0</v>
      </c>
      <c r="Z75" s="637">
        <f t="shared" si="62"/>
        <v>0</v>
      </c>
      <c r="AA75" s="637">
        <f t="shared" si="62"/>
        <v>0</v>
      </c>
    </row>
    <row r="76" spans="1:30" s="570" customFormat="1" hidden="1" x14ac:dyDescent="0.2">
      <c r="A76" s="498"/>
      <c r="B76" s="498"/>
      <c r="C76" s="498"/>
      <c r="D76" s="498"/>
      <c r="E76" s="498"/>
      <c r="F76" s="498"/>
      <c r="G76" s="498"/>
      <c r="H76" s="625">
        <v>4</v>
      </c>
      <c r="I76" s="626">
        <f t="shared" si="58"/>
        <v>0</v>
      </c>
      <c r="J76" s="626">
        <f t="shared" si="58"/>
        <v>0</v>
      </c>
      <c r="K76" s="626">
        <f t="shared" si="58"/>
        <v>0</v>
      </c>
      <c r="L76" s="626">
        <f t="shared" si="58"/>
        <v>0</v>
      </c>
      <c r="M76" s="626">
        <f t="shared" si="59"/>
        <v>0</v>
      </c>
      <c r="N76" s="626">
        <f t="shared" si="59"/>
        <v>0</v>
      </c>
      <c r="O76"/>
      <c r="P76" s="506">
        <f t="shared" si="60"/>
        <v>0</v>
      </c>
      <c r="Q76" s="506">
        <f t="shared" si="60"/>
        <v>0</v>
      </c>
      <c r="R76" s="506">
        <f t="shared" si="63"/>
        <v>0</v>
      </c>
      <c r="S76" s="633">
        <f>IF(R76&lt;&gt;0,P76/R76,0)</f>
        <v>0</v>
      </c>
      <c r="T76" s="633">
        <f>IF(R76&lt;&gt;0,Q76/R76,0)</f>
        <v>0</v>
      </c>
      <c r="U76" s="634">
        <f>SUMPRODUCT(I76:L76,$I$78:$L$78)</f>
        <v>0</v>
      </c>
      <c r="V76" s="634">
        <f>SUMPRODUCT(M76:N76,$M$78:$N$78)</f>
        <v>0</v>
      </c>
      <c r="W76" s="506">
        <f t="shared" si="61"/>
        <v>0</v>
      </c>
      <c r="X76" s="506">
        <f t="shared" si="61"/>
        <v>0</v>
      </c>
      <c r="Y76" s="637">
        <f t="shared" si="62"/>
        <v>0</v>
      </c>
      <c r="Z76" s="637">
        <f t="shared" si="62"/>
        <v>0</v>
      </c>
      <c r="AA76" s="637">
        <f t="shared" si="62"/>
        <v>0</v>
      </c>
    </row>
    <row r="77" spans="1:30" s="570" customFormat="1" hidden="1" x14ac:dyDescent="0.2">
      <c r="A77" s="498"/>
      <c r="B77" s="498"/>
      <c r="C77" s="498"/>
      <c r="D77" s="498"/>
      <c r="E77" s="498"/>
      <c r="F77" s="498"/>
      <c r="G77" s="498"/>
      <c r="H77" s="625">
        <v>5</v>
      </c>
      <c r="I77" s="626">
        <f t="shared" si="58"/>
        <v>0</v>
      </c>
      <c r="J77" s="626">
        <f t="shared" si="58"/>
        <v>0</v>
      </c>
      <c r="K77" s="626">
        <f t="shared" si="58"/>
        <v>0</v>
      </c>
      <c r="L77" s="626">
        <f t="shared" si="58"/>
        <v>0</v>
      </c>
      <c r="M77" s="626">
        <f t="shared" si="59"/>
        <v>0</v>
      </c>
      <c r="N77" s="626">
        <f t="shared" si="59"/>
        <v>0</v>
      </c>
      <c r="O77"/>
      <c r="P77" s="506">
        <f t="shared" si="60"/>
        <v>0</v>
      </c>
      <c r="Q77" s="506">
        <f t="shared" si="60"/>
        <v>0</v>
      </c>
      <c r="R77" s="506">
        <f t="shared" si="63"/>
        <v>0</v>
      </c>
      <c r="S77" s="633">
        <f>IF(R77&lt;&gt;0,P77/R77,0)</f>
        <v>0</v>
      </c>
      <c r="T77" s="633">
        <f>IF(R77&lt;&gt;0,Q77/R77,0)</f>
        <v>0</v>
      </c>
      <c r="U77" s="634">
        <f>SUMPRODUCT(I77:L77,$I$78:$L$78)</f>
        <v>0</v>
      </c>
      <c r="V77" s="634">
        <f>SUMPRODUCT(M77:N77,$M$78:$N$78)</f>
        <v>0</v>
      </c>
      <c r="W77" s="506">
        <f t="shared" si="61"/>
        <v>0</v>
      </c>
      <c r="X77" s="506">
        <f t="shared" si="61"/>
        <v>0</v>
      </c>
      <c r="Y77" s="637">
        <f t="shared" si="62"/>
        <v>0</v>
      </c>
      <c r="Z77" s="637">
        <f t="shared" si="62"/>
        <v>0</v>
      </c>
      <c r="AA77" s="637">
        <f t="shared" si="62"/>
        <v>0</v>
      </c>
    </row>
    <row r="78" spans="1:30" x14ac:dyDescent="0.2">
      <c r="A78" s="172"/>
      <c r="B78" s="172"/>
      <c r="C78" s="172"/>
      <c r="D78" s="172"/>
      <c r="F78" s="172"/>
      <c r="G78" s="172"/>
      <c r="H78" s="67" t="s">
        <v>77</v>
      </c>
      <c r="I78" s="512">
        <f>CoPayG2</f>
        <v>41</v>
      </c>
      <c r="J78" s="512">
        <f>CoPayG1</f>
        <v>6.6</v>
      </c>
      <c r="K78" s="512">
        <f>CoPayC1</f>
        <v>6.6</v>
      </c>
      <c r="L78" s="512">
        <f>CoPayC0</f>
        <v>0</v>
      </c>
      <c r="M78" s="512">
        <f>CoPayR1</f>
        <v>6.6</v>
      </c>
      <c r="N78" s="512">
        <f>CoPayR0</f>
        <v>0</v>
      </c>
      <c r="P78" s="216"/>
      <c r="Q78" s="217"/>
      <c r="R78"/>
      <c r="Z78" s="1"/>
      <c r="AA78" s="1"/>
      <c r="AB78" s="571"/>
    </row>
    <row r="79" spans="1:30" x14ac:dyDescent="0.2">
      <c r="A79" s="172"/>
      <c r="B79" s="172"/>
      <c r="C79" s="172"/>
      <c r="D79" s="172"/>
      <c r="F79" s="172"/>
      <c r="G79" s="172"/>
      <c r="H79" s="172"/>
      <c r="I79" s="172"/>
      <c r="J79" s="172"/>
      <c r="K79" s="172"/>
      <c r="L79" s="172"/>
      <c r="M79" s="172"/>
      <c r="N79" s="172"/>
      <c r="P79" s="172"/>
      <c r="Q79" s="217"/>
      <c r="R79" s="172"/>
      <c r="S79" s="498"/>
      <c r="T79" s="172"/>
      <c r="U79" s="172"/>
      <c r="Y79" s="5"/>
      <c r="Z79" s="571"/>
      <c r="AA79" s="571"/>
      <c r="AB79" s="571"/>
    </row>
    <row r="80" spans="1:30" s="570" customFormat="1" x14ac:dyDescent="0.2">
      <c r="A80" s="498"/>
      <c r="B80" s="498"/>
      <c r="C80" s="498"/>
      <c r="D80" s="498"/>
      <c r="F80" s="498"/>
      <c r="G80" s="498"/>
      <c r="H80" s="498"/>
      <c r="I80" s="498"/>
      <c r="J80" s="498"/>
      <c r="K80" s="498"/>
      <c r="L80" s="498"/>
      <c r="M80" s="498"/>
      <c r="N80" s="498"/>
      <c r="P80" s="498"/>
      <c r="Q80" s="219"/>
      <c r="R80" s="498"/>
      <c r="S80" s="498"/>
      <c r="T80" s="498"/>
      <c r="U80" s="498"/>
      <c r="Y80" s="5"/>
      <c r="Z80" s="571"/>
      <c r="AA80" s="571"/>
      <c r="AB80" s="571"/>
    </row>
    <row r="81" spans="1:28" s="570" customFormat="1" x14ac:dyDescent="0.2">
      <c r="A81" s="498"/>
      <c r="B81" s="498"/>
      <c r="C81" s="498"/>
      <c r="H81" s="648" t="s">
        <v>656</v>
      </c>
      <c r="I81" s="620" t="s">
        <v>0</v>
      </c>
      <c r="J81" s="620" t="s">
        <v>1</v>
      </c>
      <c r="K81" s="620" t="s">
        <v>0</v>
      </c>
      <c r="L81" s="620" t="s">
        <v>1</v>
      </c>
      <c r="M81" s="498"/>
      <c r="T81" s="498"/>
      <c r="U81" s="498"/>
      <c r="Y81" s="5"/>
      <c r="Z81" s="571"/>
      <c r="AA81" s="571"/>
      <c r="AB81" s="571"/>
    </row>
    <row r="82" spans="1:28" s="570" customFormat="1" x14ac:dyDescent="0.2">
      <c r="A82" s="498"/>
      <c r="B82" s="498"/>
      <c r="C82" s="498"/>
      <c r="H82" s="122" t="s">
        <v>818</v>
      </c>
      <c r="I82" s="68">
        <f t="shared" ref="I82:L86" si="64">S73</f>
        <v>0</v>
      </c>
      <c r="J82" s="68">
        <f t="shared" si="64"/>
        <v>0</v>
      </c>
      <c r="K82" s="627">
        <f t="shared" si="64"/>
        <v>0</v>
      </c>
      <c r="L82" s="627">
        <f t="shared" si="64"/>
        <v>0</v>
      </c>
      <c r="M82" s="498"/>
      <c r="T82" s="498"/>
      <c r="U82" s="498"/>
      <c r="Y82" s="5"/>
    </row>
    <row r="83" spans="1:28" s="570" customFormat="1" x14ac:dyDescent="0.2">
      <c r="A83" s="498"/>
      <c r="B83" s="498"/>
      <c r="C83" s="498"/>
      <c r="H83" s="122" t="s">
        <v>819</v>
      </c>
      <c r="I83" s="68">
        <f t="shared" si="64"/>
        <v>0</v>
      </c>
      <c r="J83" s="68">
        <f t="shared" si="64"/>
        <v>0</v>
      </c>
      <c r="K83" s="627">
        <f t="shared" si="64"/>
        <v>0</v>
      </c>
      <c r="L83" s="627">
        <f t="shared" si="64"/>
        <v>0</v>
      </c>
      <c r="M83" s="498"/>
      <c r="T83" s="498"/>
      <c r="U83" s="498"/>
      <c r="Y83" s="5"/>
      <c r="AB83" s="635"/>
    </row>
    <row r="84" spans="1:28" s="570" customFormat="1" x14ac:dyDescent="0.2">
      <c r="A84" s="498"/>
      <c r="B84" s="498"/>
      <c r="C84" s="498"/>
      <c r="H84" s="122" t="s">
        <v>820</v>
      </c>
      <c r="I84" s="68">
        <f t="shared" si="64"/>
        <v>0</v>
      </c>
      <c r="J84" s="68">
        <f t="shared" si="64"/>
        <v>0</v>
      </c>
      <c r="K84" s="627">
        <f t="shared" si="64"/>
        <v>0</v>
      </c>
      <c r="L84" s="627">
        <f t="shared" si="64"/>
        <v>0</v>
      </c>
      <c r="M84" s="498"/>
      <c r="T84" s="498"/>
      <c r="X84" s="5"/>
      <c r="Y84" s="571"/>
      <c r="Z84" s="571"/>
      <c r="AA84" s="571"/>
    </row>
    <row r="85" spans="1:28" s="570" customFormat="1" x14ac:dyDescent="0.2">
      <c r="A85" s="498"/>
      <c r="B85" s="498"/>
      <c r="C85" s="498"/>
      <c r="H85" s="122" t="s">
        <v>821</v>
      </c>
      <c r="I85" s="68">
        <f t="shared" si="64"/>
        <v>0</v>
      </c>
      <c r="J85" s="68">
        <f t="shared" si="64"/>
        <v>0</v>
      </c>
      <c r="K85" s="627">
        <f t="shared" si="64"/>
        <v>0</v>
      </c>
      <c r="L85" s="627">
        <f t="shared" si="64"/>
        <v>0</v>
      </c>
      <c r="M85" s="498"/>
      <c r="T85" s="498"/>
      <c r="X85" s="5"/>
      <c r="Y85" s="571"/>
      <c r="Z85" s="571"/>
      <c r="AA85" s="571"/>
    </row>
    <row r="86" spans="1:28" s="570" customFormat="1" x14ac:dyDescent="0.2">
      <c r="A86" s="498"/>
      <c r="B86" s="498"/>
      <c r="C86" s="498"/>
      <c r="H86" s="122" t="s">
        <v>822</v>
      </c>
      <c r="I86" s="68">
        <f t="shared" si="64"/>
        <v>0</v>
      </c>
      <c r="J86" s="68">
        <f t="shared" si="64"/>
        <v>0</v>
      </c>
      <c r="K86" s="627">
        <f t="shared" si="64"/>
        <v>0</v>
      </c>
      <c r="L86" s="627">
        <f t="shared" si="64"/>
        <v>0</v>
      </c>
      <c r="M86" s="498"/>
      <c r="T86" s="498"/>
      <c r="X86" s="5"/>
      <c r="Y86" s="571"/>
      <c r="Z86" s="571"/>
      <c r="AA86" s="571"/>
    </row>
    <row r="87" spans="1:28" s="570" customFormat="1" x14ac:dyDescent="0.2">
      <c r="A87" s="498"/>
      <c r="B87" s="498"/>
      <c r="C87" s="498"/>
      <c r="D87" s="498"/>
      <c r="F87" s="498"/>
      <c r="G87" s="498"/>
      <c r="H87" s="498"/>
      <c r="I87" s="498"/>
      <c r="J87" s="498"/>
      <c r="K87" s="498"/>
      <c r="L87" s="498"/>
      <c r="M87" s="498"/>
      <c r="N87" s="498"/>
      <c r="T87" s="498"/>
      <c r="X87" s="5"/>
      <c r="Y87" s="571"/>
      <c r="Z87" s="571"/>
      <c r="AA87" s="571"/>
    </row>
    <row r="88" spans="1:28" s="570" customFormat="1" x14ac:dyDescent="0.2">
      <c r="A88" s="498"/>
      <c r="B88" s="498"/>
      <c r="C88" s="498"/>
      <c r="D88" s="498"/>
      <c r="F88" s="498"/>
      <c r="G88" s="498"/>
      <c r="H88" s="498"/>
      <c r="I88" s="498"/>
      <c r="J88" s="498"/>
      <c r="K88" s="498"/>
      <c r="L88" s="498"/>
      <c r="M88" s="498"/>
      <c r="N88" s="498"/>
      <c r="T88" s="498"/>
      <c r="X88" s="5"/>
      <c r="Y88" s="571"/>
      <c r="Z88" s="571"/>
      <c r="AA88" s="571"/>
    </row>
    <row r="89" spans="1:28" x14ac:dyDescent="0.2">
      <c r="A89" s="171"/>
      <c r="B89" s="171"/>
      <c r="C89" s="218"/>
      <c r="G89" s="6"/>
      <c r="H89" s="195" t="s">
        <v>338</v>
      </c>
      <c r="I89" s="621" t="s">
        <v>331</v>
      </c>
      <c r="J89" s="621" t="s">
        <v>332</v>
      </c>
      <c r="L89" s="195" t="s">
        <v>823</v>
      </c>
      <c r="M89" s="621" t="s">
        <v>331</v>
      </c>
      <c r="N89" s="621" t="s">
        <v>332</v>
      </c>
      <c r="P89" s="195" t="s">
        <v>292</v>
      </c>
      <c r="Q89" s="6"/>
      <c r="R89" s="6"/>
      <c r="S89" s="6"/>
      <c r="T89" s="6"/>
      <c r="U89" s="1"/>
      <c r="V89" s="1"/>
      <c r="W89" s="1"/>
      <c r="X89" s="1"/>
      <c r="Y89" s="571"/>
      <c r="Z89" s="571"/>
      <c r="AA89" s="571"/>
      <c r="AB89" s="1"/>
    </row>
    <row r="90" spans="1:28" x14ac:dyDescent="0.2">
      <c r="A90" s="220"/>
      <c r="B90" s="220"/>
      <c r="G90" s="6"/>
      <c r="H90" s="122" t="s">
        <v>818</v>
      </c>
      <c r="I90" s="68">
        <f>IF(M90&lt;&gt;0,M90,IF(OR(W73&lt;&gt;0,X73&lt;&gt;0),W73/(W73+X73),0))</f>
        <v>0</v>
      </c>
      <c r="J90" s="68">
        <f>IF(N90&lt;&gt;0,N90,IF(OR(W73&lt;&gt;0,X73&lt;&gt;0),X73/(W73+X73),0))</f>
        <v>0</v>
      </c>
      <c r="L90" s="122" t="s">
        <v>818</v>
      </c>
      <c r="M90" s="632"/>
      <c r="N90" s="73"/>
      <c r="P90" s="788"/>
      <c r="Q90" s="788"/>
      <c r="R90" s="788"/>
      <c r="S90" s="788"/>
      <c r="T90" s="788"/>
      <c r="U90" s="346">
        <f>IF(M90+N90&lt;&gt;100%,IF(M90+N90&lt;&gt;0,1,0),0)</f>
        <v>0</v>
      </c>
      <c r="V90" s="1"/>
      <c r="W90" s="1"/>
      <c r="X90" s="1"/>
      <c r="Y90" s="571"/>
      <c r="Z90" s="571"/>
      <c r="AA90" s="571"/>
      <c r="AB90" s="1"/>
    </row>
    <row r="91" spans="1:28" x14ac:dyDescent="0.2">
      <c r="A91" s="220"/>
      <c r="B91" s="220"/>
      <c r="G91" s="6"/>
      <c r="H91" s="122" t="s">
        <v>819</v>
      </c>
      <c r="I91" s="68">
        <f>IF(M91&lt;&gt;0,M91,IF(OR(W74&lt;&gt;0,X74&lt;&gt;0),W74/(W74+X74),0))</f>
        <v>0</v>
      </c>
      <c r="J91" s="68">
        <f>IF(N91&lt;&gt;0,N91,IF(OR(W74&lt;&gt;0,X74&lt;&gt;0),X74/(W74+X74),0))</f>
        <v>0</v>
      </c>
      <c r="L91" s="122" t="s">
        <v>819</v>
      </c>
      <c r="M91" s="632"/>
      <c r="N91" s="73"/>
      <c r="P91" s="788"/>
      <c r="Q91" s="788"/>
      <c r="R91" s="788"/>
      <c r="S91" s="788"/>
      <c r="T91" s="788"/>
      <c r="U91" s="346">
        <f>IF(M91+N91&lt;&gt;100%,IF(M91+N91&lt;&gt;0,1,0),0)</f>
        <v>0</v>
      </c>
      <c r="V91" s="1"/>
      <c r="W91" s="1"/>
      <c r="X91" s="1"/>
      <c r="Y91" s="571"/>
      <c r="Z91" s="571"/>
      <c r="AA91" s="571"/>
      <c r="AB91" s="1"/>
    </row>
    <row r="92" spans="1:28" x14ac:dyDescent="0.2">
      <c r="A92" s="220"/>
      <c r="B92" s="220"/>
      <c r="C92" s="171"/>
      <c r="G92" s="199"/>
      <c r="H92" s="122" t="s">
        <v>820</v>
      </c>
      <c r="I92" s="68">
        <f>IF(M92&lt;&gt;0,M92,IF(OR(W75&lt;&gt;0,X75&lt;&gt;0),W75/(W75+X75),0))</f>
        <v>0</v>
      </c>
      <c r="J92" s="68">
        <f>IF(N92&lt;&gt;0,N92,IF(OR(W75&lt;&gt;0,X75&lt;&gt;0),X75/(W75+X75),0))</f>
        <v>0</v>
      </c>
      <c r="L92" s="122" t="s">
        <v>820</v>
      </c>
      <c r="M92" s="632"/>
      <c r="N92" s="73"/>
      <c r="P92" s="788"/>
      <c r="Q92" s="788"/>
      <c r="R92" s="788"/>
      <c r="S92" s="788"/>
      <c r="T92" s="788"/>
      <c r="U92" s="346">
        <f>IF(M92+N92&lt;&gt;100%,IF(M92+N92&lt;&gt;0,1,0),0)</f>
        <v>0</v>
      </c>
      <c r="V92" s="1"/>
      <c r="W92" s="1"/>
      <c r="X92" s="1"/>
      <c r="Y92" s="1"/>
      <c r="Z92" s="1"/>
      <c r="AA92" s="571"/>
      <c r="AB92" s="1"/>
    </row>
    <row r="93" spans="1:28" x14ac:dyDescent="0.2">
      <c r="A93" s="220"/>
      <c r="B93" s="220"/>
      <c r="G93" s="6"/>
      <c r="H93" s="122" t="s">
        <v>821</v>
      </c>
      <c r="I93" s="68">
        <f>IF(M93&lt;&gt;0,M93,IF(OR(W76&lt;&gt;0,X76&lt;&gt;0),W76/(W76+X76),0))</f>
        <v>0</v>
      </c>
      <c r="J93" s="68">
        <f>IF(N93&lt;&gt;0,N93,IF(OR(W76&lt;&gt;0,X76&lt;&gt;0),X76/(W76+X76),0))</f>
        <v>0</v>
      </c>
      <c r="L93" s="122" t="s">
        <v>821</v>
      </c>
      <c r="M93" s="632"/>
      <c r="N93" s="73"/>
      <c r="P93" s="788"/>
      <c r="Q93" s="788"/>
      <c r="R93" s="788"/>
      <c r="S93" s="788"/>
      <c r="T93" s="788"/>
      <c r="U93" s="346">
        <f>IF(M93+N93&lt;&gt;100%,IF(M93+N93&lt;&gt;0,1,0),0)</f>
        <v>0</v>
      </c>
      <c r="V93" s="1"/>
      <c r="W93" s="1"/>
      <c r="X93" s="1"/>
      <c r="Y93" s="1"/>
      <c r="Z93" s="1"/>
      <c r="AA93" s="571"/>
      <c r="AB93" s="1"/>
    </row>
    <row r="94" spans="1:28" x14ac:dyDescent="0.2">
      <c r="A94" s="220"/>
      <c r="B94" s="220"/>
      <c r="G94" s="6"/>
      <c r="H94" s="122" t="s">
        <v>822</v>
      </c>
      <c r="I94" s="68">
        <f>IF(M94&lt;&gt;0,M94,IF(OR(W77&lt;&gt;0,X77&lt;&gt;0),W77/(W77+X77),0))</f>
        <v>0</v>
      </c>
      <c r="J94" s="68">
        <f>IF(N94&lt;&gt;0,N94,IF(OR(W77&lt;&gt;0,X77&lt;&gt;0),X77/(W77+X77),0))</f>
        <v>0</v>
      </c>
      <c r="L94" s="122" t="s">
        <v>822</v>
      </c>
      <c r="M94" s="632"/>
      <c r="N94" s="73"/>
      <c r="P94" s="788"/>
      <c r="Q94" s="788"/>
      <c r="R94" s="788"/>
      <c r="S94" s="788"/>
      <c r="T94" s="788"/>
      <c r="U94" s="346">
        <f>IF(M94+N94&lt;&gt;100%,IF(M94+N94&lt;&gt;0,1,0),0)</f>
        <v>0</v>
      </c>
      <c r="V94" s="1"/>
      <c r="W94" s="1"/>
      <c r="X94" s="1"/>
      <c r="Y94" s="1"/>
      <c r="Z94" s="1"/>
      <c r="AA94" s="571"/>
      <c r="AB94" s="1"/>
    </row>
    <row r="95" spans="1:28" x14ac:dyDescent="0.2">
      <c r="A95" s="220"/>
      <c r="E95" s="171"/>
      <c r="F95" s="6"/>
      <c r="G95" s="6"/>
      <c r="K95" s="199"/>
      <c r="L95" s="199"/>
      <c r="M95" s="6"/>
      <c r="N95" s="6"/>
      <c r="O95" s="6"/>
      <c r="P95" s="6"/>
      <c r="Q95" s="6"/>
      <c r="R95" s="572"/>
      <c r="S95" s="6"/>
      <c r="T95" s="6"/>
      <c r="U95" s="1"/>
      <c r="V95" s="1"/>
      <c r="W95" s="1"/>
      <c r="X95" s="1"/>
      <c r="Y95" s="1"/>
      <c r="Z95" s="1"/>
      <c r="AA95" s="571"/>
      <c r="AB95" s="1"/>
    </row>
    <row r="96" spans="1:28" x14ac:dyDescent="0.2">
      <c r="A96" s="220"/>
      <c r="B96" s="220"/>
      <c r="C96" s="171"/>
      <c r="D96" s="215"/>
      <c r="E96" s="171"/>
      <c r="F96" s="6"/>
      <c r="G96" s="199"/>
      <c r="H96" s="199"/>
      <c r="I96" s="199"/>
      <c r="J96" s="199"/>
      <c r="K96" s="199"/>
      <c r="L96" s="199"/>
      <c r="M96" s="6"/>
      <c r="N96" s="6"/>
      <c r="O96" s="6"/>
      <c r="P96" s="6"/>
      <c r="Q96" s="6"/>
      <c r="R96" s="572"/>
      <c r="S96" s="6"/>
      <c r="T96" s="6"/>
      <c r="U96" s="1"/>
      <c r="V96" s="1"/>
      <c r="W96" s="1"/>
      <c r="X96" s="1"/>
      <c r="Y96" s="1"/>
      <c r="Z96" s="1"/>
      <c r="AA96" s="571"/>
      <c r="AB96" s="1"/>
    </row>
    <row r="97" spans="1:28" ht="15.75" x14ac:dyDescent="0.2">
      <c r="A97" s="173"/>
      <c r="B97" s="173"/>
      <c r="C97" s="174" t="s">
        <v>940</v>
      </c>
      <c r="D97" s="188"/>
      <c r="E97" s="188"/>
      <c r="F97" s="188"/>
      <c r="G97" s="188"/>
      <c r="H97" s="188"/>
      <c r="I97" s="771" t="str">
        <f>IF(AND(ScriptSourceCode&lt;&gt;2,ScriptSourceCode&lt;&gt;3),MsgNotRequired,"")</f>
        <v>** NOT REQUIRED **</v>
      </c>
      <c r="J97" s="772"/>
      <c r="K97" s="175"/>
      <c r="L97" s="175"/>
      <c r="M97" s="175"/>
      <c r="N97" s="175"/>
      <c r="O97" s="175"/>
      <c r="P97" s="175"/>
      <c r="Q97" s="175"/>
      <c r="R97" s="175"/>
      <c r="S97" s="175"/>
      <c r="T97" s="175"/>
      <c r="U97" s="37"/>
      <c r="V97" s="37"/>
      <c r="W97" s="37"/>
      <c r="X97" s="37"/>
      <c r="Y97" s="37"/>
      <c r="Z97" s="37"/>
      <c r="AA97" s="37"/>
      <c r="AB97" s="37"/>
    </row>
    <row r="98" spans="1:28" s="575" customFormat="1" x14ac:dyDescent="0.2">
      <c r="A98" s="572"/>
      <c r="B98" s="572"/>
      <c r="C98" s="595"/>
      <c r="D98" s="599"/>
      <c r="E98" s="599"/>
      <c r="F98" s="599"/>
      <c r="G98" s="599"/>
      <c r="H98" s="599"/>
      <c r="I98" s="599"/>
      <c r="J98" s="599"/>
      <c r="K98" s="599"/>
      <c r="L98" s="599"/>
      <c r="M98" s="599"/>
      <c r="N98" s="599"/>
      <c r="O98" s="599"/>
      <c r="P98" s="599"/>
      <c r="Q98" s="599"/>
      <c r="R98" s="599"/>
      <c r="S98" s="599"/>
      <c r="T98" s="599"/>
      <c r="U98" s="658"/>
      <c r="V98" s="658"/>
      <c r="W98" s="658"/>
      <c r="X98" s="658"/>
      <c r="Y98" s="658"/>
      <c r="Z98" s="658"/>
      <c r="AA98" s="658"/>
      <c r="AB98" s="658"/>
    </row>
    <row r="99" spans="1:28" s="575" customFormat="1" ht="15" customHeight="1" x14ac:dyDescent="0.2">
      <c r="A99" s="572"/>
      <c r="B99" s="572"/>
      <c r="C99" s="572" t="s">
        <v>253</v>
      </c>
      <c r="D99" s="572"/>
      <c r="E99" s="572"/>
      <c r="F99" s="572"/>
      <c r="G99" s="572"/>
      <c r="H99" s="572"/>
      <c r="I99" s="572"/>
      <c r="J99" s="599"/>
      <c r="K99" s="599"/>
      <c r="L99" s="599"/>
      <c r="M99" s="599"/>
      <c r="N99" s="599"/>
      <c r="O99" s="599"/>
      <c r="P99" s="599"/>
      <c r="Q99" s="599"/>
      <c r="R99" s="599"/>
      <c r="S99" s="599"/>
      <c r="T99" s="599"/>
      <c r="U99" s="658"/>
      <c r="V99" s="658"/>
      <c r="W99" s="658"/>
      <c r="X99" s="658"/>
      <c r="Y99" s="658"/>
      <c r="Z99" s="658"/>
      <c r="AA99" s="658"/>
      <c r="AB99" s="658"/>
    </row>
    <row r="100" spans="1:28" s="575" customFormat="1" ht="15.75" customHeight="1" x14ac:dyDescent="0.2">
      <c r="A100" s="572"/>
      <c r="B100" s="572"/>
      <c r="C100" s="572"/>
      <c r="D100" s="572"/>
      <c r="E100" s="572"/>
      <c r="F100" s="572"/>
      <c r="G100" s="572"/>
      <c r="H100" s="572"/>
      <c r="I100" s="572"/>
      <c r="J100" s="599"/>
      <c r="K100" s="599"/>
      <c r="L100" s="599"/>
      <c r="M100" s="599"/>
      <c r="N100" s="599"/>
      <c r="O100" s="599"/>
      <c r="P100" s="599"/>
      <c r="Q100" s="599"/>
      <c r="R100" s="599"/>
      <c r="S100" s="599"/>
      <c r="T100" s="599"/>
      <c r="U100" s="658"/>
      <c r="V100" s="658"/>
      <c r="W100" s="658"/>
      <c r="X100" s="658"/>
      <c r="Y100" s="658"/>
      <c r="Z100" s="658"/>
      <c r="AA100" s="658"/>
      <c r="AB100" s="658"/>
    </row>
    <row r="101" spans="1:28" ht="15" x14ac:dyDescent="0.2">
      <c r="A101" s="187"/>
      <c r="B101" s="422">
        <v>1</v>
      </c>
      <c r="C101" s="221" t="str">
        <f>IF($I$97&lt;&gt;"",MsgNotUsed,INDEX(NamesOverallChanged,B101))</f>
        <v>** NOT USED **</v>
      </c>
      <c r="D101" s="207"/>
      <c r="E101" s="207"/>
      <c r="F101" s="207"/>
      <c r="G101" s="207"/>
      <c r="H101" s="189"/>
      <c r="I101" s="782" t="str">
        <f>IF(C101&lt;&gt;MsgNotUsed,"Co-payment group " &amp; INDEX(CoPayBandMS,B101),"")</f>
        <v/>
      </c>
      <c r="J101" s="782"/>
      <c r="K101" s="207"/>
      <c r="L101" s="207"/>
      <c r="M101" s="207"/>
      <c r="N101" s="207"/>
      <c r="O101" s="207"/>
      <c r="P101" s="207"/>
      <c r="Q101" s="207"/>
      <c r="R101" s="207"/>
      <c r="S101" s="207"/>
      <c r="T101" s="207"/>
      <c r="U101" s="41"/>
      <c r="V101" s="41"/>
      <c r="W101" s="41"/>
      <c r="X101" s="41"/>
      <c r="Y101" s="41"/>
      <c r="Z101" s="41"/>
      <c r="AA101" s="41"/>
      <c r="AB101" s="41"/>
    </row>
    <row r="102" spans="1:28" ht="15.75" outlineLevel="1" x14ac:dyDescent="0.2">
      <c r="A102" s="192"/>
      <c r="B102" s="95">
        <f>INDEX(CoPayBandMS,B101)</f>
        <v>0</v>
      </c>
      <c r="C102" s="193"/>
      <c r="D102" s="192"/>
      <c r="E102" s="192"/>
      <c r="F102" s="192"/>
      <c r="G102" s="192"/>
      <c r="H102" s="192"/>
      <c r="I102" s="192"/>
      <c r="J102" s="192"/>
      <c r="K102" s="192"/>
      <c r="L102" s="192"/>
      <c r="M102" s="192"/>
      <c r="N102" s="192"/>
      <c r="O102" s="192"/>
      <c r="P102" s="192"/>
      <c r="Q102" s="192"/>
      <c r="R102" s="192"/>
      <c r="S102" s="192"/>
      <c r="T102" s="192"/>
      <c r="U102" s="3"/>
      <c r="V102" s="3"/>
      <c r="W102" s="3"/>
      <c r="X102" s="3"/>
      <c r="Y102" s="3"/>
      <c r="Z102" s="3"/>
      <c r="AA102" s="3"/>
      <c r="AB102" s="3"/>
    </row>
    <row r="103" spans="1:28" ht="14.25" customHeight="1" outlineLevel="1" x14ac:dyDescent="0.2">
      <c r="A103" s="6"/>
      <c r="B103" s="180"/>
      <c r="C103" s="15"/>
      <c r="D103" s="87">
        <f>E103-1</f>
        <v>-1</v>
      </c>
      <c r="E103" s="87">
        <f>FirstYear</f>
        <v>0</v>
      </c>
      <c r="F103" s="87">
        <f>E103+1</f>
        <v>1</v>
      </c>
      <c r="G103" s="87">
        <f>F103+1</f>
        <v>2</v>
      </c>
      <c r="H103" s="87">
        <f>G103+1</f>
        <v>3</v>
      </c>
      <c r="I103" s="87">
        <f>H103+1</f>
        <v>4</v>
      </c>
      <c r="J103" s="87">
        <f>I103+1</f>
        <v>5</v>
      </c>
      <c r="K103" s="6"/>
      <c r="L103" s="195"/>
      <c r="M103" s="6"/>
      <c r="N103" s="6"/>
      <c r="O103" s="6"/>
      <c r="P103" s="6"/>
      <c r="Q103" s="6"/>
      <c r="R103" s="572"/>
      <c r="S103" s="6"/>
      <c r="T103" s="6"/>
      <c r="U103" s="1"/>
      <c r="V103" s="1"/>
      <c r="W103" s="1"/>
      <c r="X103" s="1"/>
      <c r="Y103" s="1"/>
      <c r="Z103" s="1"/>
      <c r="AA103" s="571"/>
      <c r="AB103" s="1"/>
    </row>
    <row r="104" spans="1:28" outlineLevel="1" x14ac:dyDescent="0.2">
      <c r="A104" s="6"/>
      <c r="B104" s="180"/>
      <c r="C104" s="8" t="s">
        <v>132</v>
      </c>
      <c r="D104" s="53">
        <f>IF($I$97="",-R50,0)</f>
        <v>0</v>
      </c>
      <c r="E104" s="53">
        <f t="shared" ref="E104:J104" si="65">IF(D104="","",D104*(1+D105))</f>
        <v>0</v>
      </c>
      <c r="F104" s="53">
        <f t="shared" si="65"/>
        <v>0</v>
      </c>
      <c r="G104" s="53">
        <f t="shared" si="65"/>
        <v>0</v>
      </c>
      <c r="H104" s="53">
        <f t="shared" si="65"/>
        <v>0</v>
      </c>
      <c r="I104" s="53">
        <f t="shared" si="65"/>
        <v>0</v>
      </c>
      <c r="J104" s="53">
        <f t="shared" si="65"/>
        <v>0</v>
      </c>
      <c r="K104" s="6"/>
      <c r="L104" s="19" t="s">
        <v>292</v>
      </c>
      <c r="M104" s="6"/>
      <c r="N104" s="195"/>
      <c r="O104" s="6"/>
      <c r="P104" s="6"/>
      <c r="Q104" s="6"/>
      <c r="R104" s="572"/>
      <c r="S104" s="6"/>
      <c r="T104" s="6"/>
      <c r="U104" s="1"/>
      <c r="V104" s="1"/>
      <c r="W104" s="1"/>
      <c r="X104" s="1"/>
      <c r="Y104" s="1"/>
      <c r="Z104" s="1"/>
      <c r="AA104" s="571"/>
      <c r="AB104" s="1"/>
    </row>
    <row r="105" spans="1:28" outlineLevel="1" x14ac:dyDescent="0.2">
      <c r="A105" s="6"/>
      <c r="B105" s="180"/>
      <c r="C105" s="21" t="s">
        <v>27</v>
      </c>
      <c r="D105" s="76"/>
      <c r="E105" s="76"/>
      <c r="F105" s="76"/>
      <c r="G105" s="76"/>
      <c r="H105" s="76"/>
      <c r="I105" s="76"/>
      <c r="J105" s="48"/>
      <c r="K105" s="6"/>
      <c r="L105" s="783"/>
      <c r="M105" s="784"/>
      <c r="N105" s="784"/>
      <c r="O105" s="784"/>
      <c r="P105" s="784"/>
      <c r="Q105" s="784"/>
      <c r="R105" s="784"/>
      <c r="S105" s="784"/>
      <c r="T105" s="784"/>
      <c r="U105" s="1"/>
      <c r="V105" s="1"/>
      <c r="W105" s="1"/>
      <c r="X105" s="1"/>
      <c r="Y105" s="1"/>
      <c r="Z105" s="1"/>
      <c r="AA105" s="571"/>
      <c r="AB105" s="1"/>
    </row>
    <row r="106" spans="1:28" outlineLevel="1" x14ac:dyDescent="0.2">
      <c r="A106" s="6"/>
      <c r="B106" s="180"/>
      <c r="C106" s="21" t="s">
        <v>34</v>
      </c>
      <c r="D106" s="76"/>
      <c r="E106" s="76"/>
      <c r="F106" s="76"/>
      <c r="G106" s="76"/>
      <c r="H106" s="76"/>
      <c r="I106" s="76"/>
      <c r="J106" s="76"/>
      <c r="K106" s="6"/>
      <c r="L106" s="783"/>
      <c r="M106" s="784"/>
      <c r="N106" s="784"/>
      <c r="O106" s="784"/>
      <c r="P106" s="784"/>
      <c r="Q106" s="784"/>
      <c r="R106" s="784"/>
      <c r="S106" s="784"/>
      <c r="T106" s="784"/>
      <c r="U106" s="1"/>
      <c r="V106" s="1"/>
      <c r="W106" s="1"/>
      <c r="X106" s="1"/>
      <c r="Y106" s="1"/>
      <c r="Z106" s="1"/>
      <c r="AA106" s="571"/>
      <c r="AB106" s="1"/>
    </row>
    <row r="107" spans="1:28" outlineLevel="1" x14ac:dyDescent="0.2">
      <c r="A107" s="104"/>
      <c r="B107" s="180"/>
      <c r="C107" s="88" t="str">
        <f>"Proportion " &amp; IF(MarketImpact=0,"affected by","affected") &amp; " the proposed medicine"</f>
        <v>Proportion affected the proposed medicine</v>
      </c>
      <c r="D107" s="76"/>
      <c r="E107" s="76"/>
      <c r="F107" s="76"/>
      <c r="G107" s="76"/>
      <c r="H107" s="76"/>
      <c r="I107" s="76"/>
      <c r="J107" s="76"/>
      <c r="K107" s="6"/>
      <c r="L107" s="783"/>
      <c r="M107" s="784"/>
      <c r="N107" s="784"/>
      <c r="O107" s="784"/>
      <c r="P107" s="784"/>
      <c r="Q107" s="784"/>
      <c r="R107" s="784"/>
      <c r="S107" s="784"/>
      <c r="T107" s="784"/>
      <c r="U107" s="1"/>
      <c r="V107" s="1"/>
      <c r="W107" s="1"/>
      <c r="X107" s="1"/>
      <c r="Y107" s="1"/>
      <c r="Z107" s="1"/>
      <c r="AA107" s="571"/>
      <c r="AB107" s="1"/>
    </row>
    <row r="108" spans="1:28" outlineLevel="1" x14ac:dyDescent="0.2">
      <c r="A108" s="197"/>
      <c r="B108" s="205"/>
      <c r="C108" s="23" t="s">
        <v>125</v>
      </c>
      <c r="D108" s="47">
        <f t="shared" ref="D108:J108" si="66">D110-D109</f>
        <v>0</v>
      </c>
      <c r="E108" s="47">
        <f t="shared" si="66"/>
        <v>0</v>
      </c>
      <c r="F108" s="47">
        <f t="shared" si="66"/>
        <v>0</v>
      </c>
      <c r="G108" s="47">
        <f t="shared" si="66"/>
        <v>0</v>
      </c>
      <c r="H108" s="47">
        <f t="shared" si="66"/>
        <v>0</v>
      </c>
      <c r="I108" s="47">
        <f t="shared" si="66"/>
        <v>0</v>
      </c>
      <c r="J108" s="47">
        <f t="shared" si="66"/>
        <v>0</v>
      </c>
      <c r="K108" s="197"/>
      <c r="L108" s="197"/>
      <c r="M108" s="197"/>
      <c r="N108" s="197"/>
      <c r="O108" s="197"/>
      <c r="P108" s="197"/>
      <c r="Q108" s="197"/>
      <c r="R108" s="597"/>
      <c r="S108" s="197"/>
      <c r="T108" s="197"/>
      <c r="U108" s="2"/>
      <c r="V108" s="2"/>
      <c r="W108" s="2"/>
      <c r="X108" s="2"/>
      <c r="Y108" s="2"/>
      <c r="Z108" s="2"/>
      <c r="AA108" s="10"/>
      <c r="AB108" s="2"/>
    </row>
    <row r="109" spans="1:28" outlineLevel="1" x14ac:dyDescent="0.2">
      <c r="A109" s="197"/>
      <c r="B109" s="205"/>
      <c r="C109" s="23" t="s">
        <v>126</v>
      </c>
      <c r="D109" s="47">
        <f t="shared" ref="D109:J109" si="67">IF($B102&lt;&gt;0,ROUND(D110*INDEX(ServiceSplitRPBS,$B102),0),0)</f>
        <v>0</v>
      </c>
      <c r="E109" s="47">
        <f t="shared" si="67"/>
        <v>0</v>
      </c>
      <c r="F109" s="47">
        <f t="shared" si="67"/>
        <v>0</v>
      </c>
      <c r="G109" s="47">
        <f t="shared" si="67"/>
        <v>0</v>
      </c>
      <c r="H109" s="47">
        <f t="shared" si="67"/>
        <v>0</v>
      </c>
      <c r="I109" s="47">
        <f t="shared" si="67"/>
        <v>0</v>
      </c>
      <c r="J109" s="47">
        <f t="shared" si="67"/>
        <v>0</v>
      </c>
      <c r="K109" s="197"/>
      <c r="L109" s="197"/>
      <c r="M109" s="197"/>
      <c r="N109" s="197"/>
      <c r="O109" s="197"/>
      <c r="P109" s="197"/>
      <c r="Q109" s="197"/>
      <c r="R109" s="597"/>
      <c r="S109" s="197"/>
      <c r="T109" s="197"/>
      <c r="U109" s="2"/>
      <c r="V109" s="2"/>
      <c r="W109" s="2"/>
      <c r="X109" s="2"/>
      <c r="Y109" s="2"/>
      <c r="Z109" s="2"/>
      <c r="AA109" s="10"/>
      <c r="AB109" s="2"/>
    </row>
    <row r="110" spans="1:28" outlineLevel="1" x14ac:dyDescent="0.2">
      <c r="A110" s="197"/>
      <c r="B110" s="205"/>
      <c r="C110" s="117" t="s">
        <v>918</v>
      </c>
      <c r="D110" s="50">
        <f t="shared" ref="D110:J110" si="68">IF(D104="","",D107*D106*D104)</f>
        <v>0</v>
      </c>
      <c r="E110" s="50">
        <f t="shared" si="68"/>
        <v>0</v>
      </c>
      <c r="F110" s="50">
        <f t="shared" si="68"/>
        <v>0</v>
      </c>
      <c r="G110" s="50">
        <f t="shared" si="68"/>
        <v>0</v>
      </c>
      <c r="H110" s="50">
        <f t="shared" si="68"/>
        <v>0</v>
      </c>
      <c r="I110" s="50">
        <f t="shared" si="68"/>
        <v>0</v>
      </c>
      <c r="J110" s="50">
        <f t="shared" si="68"/>
        <v>0</v>
      </c>
      <c r="K110" s="197"/>
      <c r="L110" s="197"/>
      <c r="M110" s="197"/>
      <c r="N110" s="197"/>
      <c r="O110" s="197"/>
      <c r="P110" s="197"/>
      <c r="Q110" s="197"/>
      <c r="R110" s="597"/>
      <c r="S110" s="197"/>
      <c r="T110" s="197"/>
      <c r="U110" s="2"/>
      <c r="V110" s="2"/>
      <c r="W110" s="2"/>
      <c r="X110" s="2"/>
      <c r="Y110" s="2"/>
      <c r="Z110" s="2"/>
      <c r="AA110" s="10"/>
      <c r="AB110" s="2"/>
    </row>
    <row r="111" spans="1:28" outlineLevel="1" x14ac:dyDescent="0.2">
      <c r="A111" s="6"/>
      <c r="B111" s="180"/>
      <c r="C111" s="6"/>
      <c r="D111" s="6"/>
      <c r="E111" s="6"/>
      <c r="F111" s="6"/>
      <c r="G111" s="6"/>
      <c r="H111" s="6"/>
      <c r="I111" s="6"/>
      <c r="J111" s="6"/>
      <c r="K111" s="6"/>
      <c r="L111" s="6"/>
      <c r="M111" s="6"/>
      <c r="N111" s="6"/>
      <c r="O111" s="6"/>
      <c r="P111" s="6"/>
      <c r="Q111" s="6"/>
      <c r="R111" s="572"/>
      <c r="S111" s="6"/>
      <c r="T111" s="6"/>
      <c r="U111" s="1"/>
      <c r="V111" s="1"/>
      <c r="W111" s="1"/>
      <c r="X111" s="1"/>
      <c r="Y111" s="1"/>
      <c r="Z111" s="1"/>
      <c r="AA111" s="571"/>
      <c r="AB111" s="1"/>
    </row>
    <row r="112" spans="1:28" x14ac:dyDescent="0.2">
      <c r="A112" s="6"/>
      <c r="B112" s="180"/>
      <c r="C112" s="6"/>
      <c r="D112" s="6"/>
      <c r="E112" s="6"/>
      <c r="F112" s="6"/>
      <c r="G112" s="6"/>
      <c r="H112" s="6"/>
      <c r="I112" s="6"/>
      <c r="J112" s="6"/>
      <c r="K112" s="6"/>
      <c r="L112" s="6"/>
      <c r="M112" s="6"/>
      <c r="N112" s="6"/>
      <c r="O112" s="6"/>
      <c r="P112" s="6"/>
      <c r="Q112" s="6"/>
      <c r="R112" s="572"/>
      <c r="S112" s="6"/>
      <c r="T112" s="6"/>
      <c r="U112" s="1"/>
      <c r="V112" s="1"/>
      <c r="W112" s="1"/>
      <c r="X112" s="1"/>
      <c r="Y112" s="1"/>
      <c r="Z112" s="1"/>
      <c r="AA112" s="571"/>
      <c r="AB112" s="1"/>
    </row>
    <row r="113" spans="1:28" ht="15" x14ac:dyDescent="0.2">
      <c r="A113" s="187"/>
      <c r="B113" s="422">
        <v>2</v>
      </c>
      <c r="C113" s="221" t="str">
        <f>IF($I$97&lt;&gt;"",MsgNotUsed,INDEX(NamesOverallChanged,B113))</f>
        <v>** NOT USED **</v>
      </c>
      <c r="D113" s="207"/>
      <c r="E113" s="207"/>
      <c r="F113" s="207"/>
      <c r="G113" s="207"/>
      <c r="H113" s="189"/>
      <c r="I113" s="782" t="str">
        <f>IF(C113&lt;&gt;MsgNotUsed,"Co-payment group " &amp; INDEX(CoPayBandMS,B113),"")</f>
        <v/>
      </c>
      <c r="J113" s="782"/>
      <c r="K113" s="207"/>
      <c r="L113" s="207"/>
      <c r="M113" s="207"/>
      <c r="N113" s="207"/>
      <c r="O113" s="207"/>
      <c r="P113" s="207"/>
      <c r="Q113" s="207"/>
      <c r="R113" s="207"/>
      <c r="S113" s="207"/>
      <c r="T113" s="207"/>
      <c r="U113" s="41"/>
      <c r="V113" s="41"/>
      <c r="W113" s="41"/>
      <c r="X113" s="41"/>
      <c r="Y113" s="41"/>
      <c r="Z113" s="41"/>
      <c r="AA113" s="41"/>
      <c r="AB113" s="41"/>
    </row>
    <row r="114" spans="1:28" ht="15.75" outlineLevel="1" x14ac:dyDescent="0.2">
      <c r="A114" s="192"/>
      <c r="B114" s="95">
        <f>INDEX(CoPayBandMS,B113)</f>
        <v>0</v>
      </c>
      <c r="C114" s="193"/>
      <c r="D114" s="192"/>
      <c r="E114" s="192"/>
      <c r="F114" s="192"/>
      <c r="G114" s="192"/>
      <c r="H114" s="192"/>
      <c r="I114" s="192"/>
      <c r="J114" s="192"/>
      <c r="K114" s="192"/>
      <c r="L114" s="192"/>
      <c r="M114" s="192"/>
      <c r="N114" s="192"/>
      <c r="O114" s="192"/>
      <c r="P114" s="192"/>
      <c r="Q114" s="192"/>
      <c r="R114" s="192"/>
      <c r="S114" s="192"/>
      <c r="T114" s="192"/>
      <c r="U114" s="3"/>
      <c r="V114" s="3"/>
      <c r="W114" s="3"/>
      <c r="X114" s="3"/>
      <c r="Y114" s="3"/>
      <c r="Z114" s="3"/>
      <c r="AA114" s="3"/>
      <c r="AB114" s="3"/>
    </row>
    <row r="115" spans="1:28" ht="14.25" customHeight="1" outlineLevel="1" x14ac:dyDescent="0.2">
      <c r="A115" s="6"/>
      <c r="B115" s="180"/>
      <c r="C115" s="15"/>
      <c r="D115" s="87">
        <f>E115-1</f>
        <v>-1</v>
      </c>
      <c r="E115" s="87">
        <f>FirstYear</f>
        <v>0</v>
      </c>
      <c r="F115" s="87">
        <f>E115+1</f>
        <v>1</v>
      </c>
      <c r="G115" s="87">
        <f>F115+1</f>
        <v>2</v>
      </c>
      <c r="H115" s="87">
        <f>G115+1</f>
        <v>3</v>
      </c>
      <c r="I115" s="87">
        <f>H115+1</f>
        <v>4</v>
      </c>
      <c r="J115" s="87">
        <f>I115+1</f>
        <v>5</v>
      </c>
      <c r="K115" s="6"/>
      <c r="L115" s="195"/>
      <c r="M115" s="6"/>
      <c r="N115" s="6"/>
      <c r="O115" s="6"/>
      <c r="P115" s="6"/>
      <c r="Q115" s="6"/>
      <c r="R115" s="572"/>
      <c r="S115" s="6"/>
      <c r="T115" s="6"/>
      <c r="U115" s="1"/>
      <c r="V115" s="1"/>
      <c r="W115" s="1"/>
      <c r="X115" s="1"/>
      <c r="Y115" s="1"/>
      <c r="Z115" s="1"/>
      <c r="AA115" s="571"/>
      <c r="AB115" s="1"/>
    </row>
    <row r="116" spans="1:28" outlineLevel="1" x14ac:dyDescent="0.2">
      <c r="A116" s="6"/>
      <c r="B116" s="180"/>
      <c r="C116" s="8" t="s">
        <v>132</v>
      </c>
      <c r="D116" s="53">
        <f>IF($I$97="",-R51,0)</f>
        <v>0</v>
      </c>
      <c r="E116" s="53">
        <f t="shared" ref="E116:J116" si="69">IF(D116="","",D116*(1+D117))</f>
        <v>0</v>
      </c>
      <c r="F116" s="53">
        <f t="shared" si="69"/>
        <v>0</v>
      </c>
      <c r="G116" s="53">
        <f t="shared" si="69"/>
        <v>0</v>
      </c>
      <c r="H116" s="53">
        <f t="shared" si="69"/>
        <v>0</v>
      </c>
      <c r="I116" s="53">
        <f t="shared" si="69"/>
        <v>0</v>
      </c>
      <c r="J116" s="53">
        <f t="shared" si="69"/>
        <v>0</v>
      </c>
      <c r="K116" s="6"/>
      <c r="L116" s="19" t="s">
        <v>292</v>
      </c>
      <c r="M116" s="6"/>
      <c r="N116" s="195"/>
      <c r="O116" s="6"/>
      <c r="P116" s="6"/>
      <c r="Q116" s="6"/>
      <c r="R116" s="572"/>
      <c r="S116" s="6"/>
      <c r="T116" s="6"/>
      <c r="U116" s="1"/>
      <c r="V116" s="1"/>
      <c r="W116" s="1"/>
      <c r="X116" s="1"/>
      <c r="Y116" s="1"/>
      <c r="Z116" s="1"/>
      <c r="AA116" s="571"/>
      <c r="AB116" s="1"/>
    </row>
    <row r="117" spans="1:28" outlineLevel="1" x14ac:dyDescent="0.2">
      <c r="A117" s="6"/>
      <c r="B117" s="180"/>
      <c r="C117" s="21" t="s">
        <v>27</v>
      </c>
      <c r="D117" s="76"/>
      <c r="E117" s="76"/>
      <c r="F117" s="76"/>
      <c r="G117" s="76"/>
      <c r="H117" s="76"/>
      <c r="I117" s="76"/>
      <c r="J117" s="48"/>
      <c r="K117" s="6"/>
      <c r="L117" s="783"/>
      <c r="M117" s="784"/>
      <c r="N117" s="784"/>
      <c r="O117" s="784"/>
      <c r="P117" s="784"/>
      <c r="Q117" s="784"/>
      <c r="R117" s="784"/>
      <c r="S117" s="784"/>
      <c r="T117" s="784"/>
      <c r="U117" s="1"/>
      <c r="V117" s="1"/>
      <c r="W117" s="1"/>
      <c r="X117" s="1"/>
      <c r="Y117" s="1"/>
      <c r="Z117" s="1"/>
      <c r="AA117" s="571"/>
      <c r="AB117" s="1"/>
    </row>
    <row r="118" spans="1:28" outlineLevel="1" x14ac:dyDescent="0.2">
      <c r="A118" s="6"/>
      <c r="B118" s="180"/>
      <c r="C118" s="21" t="s">
        <v>34</v>
      </c>
      <c r="D118" s="76"/>
      <c r="E118" s="76"/>
      <c r="F118" s="76"/>
      <c r="G118" s="76"/>
      <c r="H118" s="76"/>
      <c r="I118" s="76"/>
      <c r="J118" s="76"/>
      <c r="K118" s="6"/>
      <c r="L118" s="783"/>
      <c r="M118" s="784"/>
      <c r="N118" s="784"/>
      <c r="O118" s="784"/>
      <c r="P118" s="784"/>
      <c r="Q118" s="784"/>
      <c r="R118" s="784"/>
      <c r="S118" s="784"/>
      <c r="T118" s="784"/>
      <c r="U118" s="1"/>
      <c r="V118" s="1"/>
      <c r="W118" s="1"/>
      <c r="X118" s="1"/>
      <c r="Y118" s="1"/>
      <c r="Z118" s="1"/>
      <c r="AA118" s="571"/>
      <c r="AB118" s="1"/>
    </row>
    <row r="119" spans="1:28" outlineLevel="1" x14ac:dyDescent="0.2">
      <c r="A119" s="104"/>
      <c r="B119" s="180"/>
      <c r="C119" s="88" t="str">
        <f>"Proportion " &amp; IF(MarketImpact=0,"affected by","affected") &amp; " the proposed medicine"</f>
        <v>Proportion affected the proposed medicine</v>
      </c>
      <c r="D119" s="76"/>
      <c r="E119" s="76"/>
      <c r="F119" s="76"/>
      <c r="G119" s="76"/>
      <c r="H119" s="76"/>
      <c r="I119" s="76"/>
      <c r="J119" s="76"/>
      <c r="K119" s="6"/>
      <c r="L119" s="783"/>
      <c r="M119" s="784"/>
      <c r="N119" s="784"/>
      <c r="O119" s="784"/>
      <c r="P119" s="784"/>
      <c r="Q119" s="784"/>
      <c r="R119" s="784"/>
      <c r="S119" s="784"/>
      <c r="T119" s="784"/>
      <c r="U119" s="1"/>
      <c r="V119" s="1"/>
      <c r="W119" s="1"/>
      <c r="X119" s="1"/>
      <c r="Y119" s="1"/>
      <c r="Z119" s="1"/>
      <c r="AA119" s="571"/>
      <c r="AB119" s="1"/>
    </row>
    <row r="120" spans="1:28" outlineLevel="1" x14ac:dyDescent="0.2">
      <c r="A120" s="197"/>
      <c r="B120" s="205"/>
      <c r="C120" s="23" t="s">
        <v>125</v>
      </c>
      <c r="D120" s="47">
        <f t="shared" ref="D120:J120" si="70">D122-D121</f>
        <v>0</v>
      </c>
      <c r="E120" s="47">
        <f t="shared" si="70"/>
        <v>0</v>
      </c>
      <c r="F120" s="47">
        <f t="shared" si="70"/>
        <v>0</v>
      </c>
      <c r="G120" s="47">
        <f t="shared" si="70"/>
        <v>0</v>
      </c>
      <c r="H120" s="47">
        <f t="shared" si="70"/>
        <v>0</v>
      </c>
      <c r="I120" s="47">
        <f t="shared" si="70"/>
        <v>0</v>
      </c>
      <c r="J120" s="47">
        <f t="shared" si="70"/>
        <v>0</v>
      </c>
      <c r="K120" s="197"/>
      <c r="L120" s="197"/>
      <c r="M120" s="197"/>
      <c r="N120" s="197"/>
      <c r="O120" s="197"/>
      <c r="P120" s="197"/>
      <c r="Q120" s="197"/>
      <c r="R120" s="597"/>
      <c r="S120" s="197"/>
      <c r="T120" s="197"/>
      <c r="U120" s="2"/>
      <c r="V120" s="2"/>
      <c r="W120" s="2"/>
      <c r="X120" s="2"/>
      <c r="Y120" s="2"/>
      <c r="Z120" s="2"/>
      <c r="AA120" s="10"/>
      <c r="AB120" s="2"/>
    </row>
    <row r="121" spans="1:28" outlineLevel="1" x14ac:dyDescent="0.2">
      <c r="A121" s="197"/>
      <c r="B121" s="205"/>
      <c r="C121" s="23" t="s">
        <v>126</v>
      </c>
      <c r="D121" s="47">
        <f t="shared" ref="D121:J121" si="71">IF($B114&lt;&gt;0,ROUND(D122*INDEX(ServiceSplitRPBS,$B114),0),0)</f>
        <v>0</v>
      </c>
      <c r="E121" s="47">
        <f t="shared" si="71"/>
        <v>0</v>
      </c>
      <c r="F121" s="47">
        <f t="shared" si="71"/>
        <v>0</v>
      </c>
      <c r="G121" s="47">
        <f t="shared" si="71"/>
        <v>0</v>
      </c>
      <c r="H121" s="47">
        <f t="shared" si="71"/>
        <v>0</v>
      </c>
      <c r="I121" s="47">
        <f t="shared" si="71"/>
        <v>0</v>
      </c>
      <c r="J121" s="47">
        <f t="shared" si="71"/>
        <v>0</v>
      </c>
      <c r="K121" s="197"/>
      <c r="L121" s="197"/>
      <c r="M121" s="197"/>
      <c r="N121" s="197"/>
      <c r="O121" s="197"/>
      <c r="P121" s="197"/>
      <c r="Q121" s="197"/>
      <c r="R121" s="597"/>
      <c r="S121" s="197"/>
      <c r="T121" s="197"/>
      <c r="U121" s="2"/>
      <c r="V121" s="2"/>
      <c r="W121" s="2"/>
      <c r="X121" s="2"/>
      <c r="Y121" s="2"/>
      <c r="Z121" s="2"/>
      <c r="AA121" s="10"/>
      <c r="AB121" s="2"/>
    </row>
    <row r="122" spans="1:28" outlineLevel="1" x14ac:dyDescent="0.2">
      <c r="A122" s="197"/>
      <c r="B122" s="205"/>
      <c r="C122" s="117" t="s">
        <v>918</v>
      </c>
      <c r="D122" s="50">
        <f t="shared" ref="D122:J122" si="72">IF(D116="","",D119*D118*D116)</f>
        <v>0</v>
      </c>
      <c r="E122" s="50">
        <f t="shared" si="72"/>
        <v>0</v>
      </c>
      <c r="F122" s="50">
        <f t="shared" si="72"/>
        <v>0</v>
      </c>
      <c r="G122" s="50">
        <f t="shared" si="72"/>
        <v>0</v>
      </c>
      <c r="H122" s="50">
        <f t="shared" si="72"/>
        <v>0</v>
      </c>
      <c r="I122" s="50">
        <f t="shared" si="72"/>
        <v>0</v>
      </c>
      <c r="J122" s="50">
        <f t="shared" si="72"/>
        <v>0</v>
      </c>
      <c r="K122" s="197"/>
      <c r="L122" s="197"/>
      <c r="M122" s="197"/>
      <c r="N122" s="197"/>
      <c r="O122" s="197"/>
      <c r="P122" s="197"/>
      <c r="Q122" s="197"/>
      <c r="R122" s="597"/>
      <c r="S122" s="197"/>
      <c r="T122" s="197"/>
      <c r="U122" s="2"/>
      <c r="V122" s="2"/>
      <c r="W122" s="2"/>
      <c r="X122" s="2"/>
      <c r="Y122" s="2"/>
      <c r="Z122" s="2"/>
      <c r="AA122" s="10"/>
      <c r="AB122" s="2"/>
    </row>
    <row r="123" spans="1:28" outlineLevel="1" x14ac:dyDescent="0.2">
      <c r="A123" s="6"/>
      <c r="B123" s="180"/>
      <c r="C123" s="6"/>
      <c r="D123" s="6"/>
      <c r="E123" s="6"/>
      <c r="F123" s="6"/>
      <c r="G123" s="6"/>
      <c r="H123" s="6"/>
      <c r="I123" s="6"/>
      <c r="J123" s="6"/>
      <c r="K123" s="6"/>
      <c r="L123" s="6"/>
      <c r="M123" s="6"/>
      <c r="N123" s="6"/>
      <c r="O123" s="6"/>
      <c r="P123" s="6"/>
      <c r="Q123" s="6"/>
      <c r="R123" s="572"/>
      <c r="S123" s="6"/>
      <c r="T123" s="6"/>
      <c r="U123" s="1"/>
      <c r="V123" s="1"/>
      <c r="W123" s="1"/>
      <c r="X123" s="1"/>
      <c r="Y123" s="1"/>
      <c r="Z123" s="1"/>
      <c r="AA123" s="571"/>
      <c r="AB123" s="1"/>
    </row>
    <row r="124" spans="1:28" x14ac:dyDescent="0.2">
      <c r="A124" s="6"/>
      <c r="B124" s="180"/>
      <c r="C124" s="6"/>
      <c r="D124" s="222"/>
      <c r="E124" s="222"/>
      <c r="F124" s="222"/>
      <c r="G124" s="222"/>
      <c r="H124" s="222"/>
      <c r="I124" s="222"/>
      <c r="J124" s="222"/>
      <c r="K124" s="6"/>
      <c r="L124" s="6"/>
      <c r="M124" s="6"/>
      <c r="N124" s="6"/>
      <c r="O124" s="6"/>
      <c r="P124" s="6"/>
      <c r="Q124" s="6"/>
      <c r="R124" s="572"/>
      <c r="S124" s="6"/>
      <c r="T124" s="6"/>
      <c r="U124" s="1"/>
      <c r="V124" s="1"/>
      <c r="W124" s="1"/>
      <c r="X124" s="1"/>
      <c r="Y124" s="1"/>
      <c r="Z124" s="1"/>
      <c r="AA124" s="571"/>
      <c r="AB124" s="1"/>
    </row>
    <row r="125" spans="1:28" ht="15" x14ac:dyDescent="0.2">
      <c r="A125" s="187"/>
      <c r="B125" s="422">
        <v>3</v>
      </c>
      <c r="C125" s="221" t="str">
        <f>IF($I$97&lt;&gt;"",MsgNotUsed,INDEX(NamesOverallChanged,B125))</f>
        <v>** NOT USED **</v>
      </c>
      <c r="D125" s="207"/>
      <c r="E125" s="207"/>
      <c r="F125" s="207"/>
      <c r="G125" s="207"/>
      <c r="H125" s="189"/>
      <c r="I125" s="782" t="str">
        <f>IF(C125&lt;&gt;MsgNotUsed,"Co-payment group " &amp; INDEX(CoPayBandMS,B125),"")</f>
        <v/>
      </c>
      <c r="J125" s="782"/>
      <c r="K125" s="207"/>
      <c r="L125" s="207"/>
      <c r="M125" s="207"/>
      <c r="N125" s="207"/>
      <c r="O125" s="207"/>
      <c r="P125" s="207"/>
      <c r="Q125" s="207"/>
      <c r="R125" s="207"/>
      <c r="S125" s="207"/>
      <c r="T125" s="207"/>
      <c r="U125" s="41"/>
      <c r="V125" s="41"/>
      <c r="W125" s="41"/>
      <c r="X125" s="41"/>
      <c r="Y125" s="41"/>
      <c r="Z125" s="41"/>
      <c r="AA125" s="41"/>
      <c r="AB125" s="41"/>
    </row>
    <row r="126" spans="1:28" ht="15.75" outlineLevel="1" x14ac:dyDescent="0.2">
      <c r="A126" s="192"/>
      <c r="B126" s="95">
        <f>INDEX(CoPayBandMS,B125)</f>
        <v>0</v>
      </c>
      <c r="C126" s="193"/>
      <c r="D126" s="192"/>
      <c r="E126" s="192"/>
      <c r="F126" s="192"/>
      <c r="G126" s="192"/>
      <c r="H126" s="192"/>
      <c r="I126" s="192"/>
      <c r="J126" s="192"/>
      <c r="K126" s="192"/>
      <c r="L126" s="192"/>
      <c r="M126" s="192"/>
      <c r="N126" s="192"/>
      <c r="O126" s="192"/>
      <c r="P126" s="192"/>
      <c r="Q126" s="192"/>
      <c r="R126" s="192"/>
      <c r="S126" s="192"/>
      <c r="T126" s="192"/>
      <c r="U126" s="3"/>
      <c r="V126" s="3"/>
      <c r="W126" s="3"/>
      <c r="X126" s="3"/>
      <c r="Y126" s="3"/>
      <c r="Z126" s="3"/>
      <c r="AA126" s="3"/>
      <c r="AB126" s="3"/>
    </row>
    <row r="127" spans="1:28" ht="14.25" customHeight="1" outlineLevel="1" x14ac:dyDescent="0.2">
      <c r="A127" s="6"/>
      <c r="B127" s="180"/>
      <c r="C127" s="15"/>
      <c r="D127" s="87">
        <f>E127-1</f>
        <v>-1</v>
      </c>
      <c r="E127" s="87">
        <f>FirstYear</f>
        <v>0</v>
      </c>
      <c r="F127" s="87">
        <f>E127+1</f>
        <v>1</v>
      </c>
      <c r="G127" s="87">
        <f>F127+1</f>
        <v>2</v>
      </c>
      <c r="H127" s="87">
        <f>G127+1</f>
        <v>3</v>
      </c>
      <c r="I127" s="87">
        <f>H127+1</f>
        <v>4</v>
      </c>
      <c r="J127" s="87">
        <f>I127+1</f>
        <v>5</v>
      </c>
      <c r="K127" s="6"/>
      <c r="L127" s="195"/>
      <c r="M127" s="6"/>
      <c r="N127" s="6"/>
      <c r="O127" s="6"/>
      <c r="P127" s="6"/>
      <c r="Q127" s="6"/>
      <c r="R127" s="572"/>
      <c r="S127" s="6"/>
      <c r="T127" s="6"/>
      <c r="U127" s="1"/>
      <c r="V127" s="1"/>
      <c r="W127" s="1"/>
      <c r="X127" s="1"/>
      <c r="Y127" s="1"/>
      <c r="Z127" s="1"/>
      <c r="AA127" s="571"/>
      <c r="AB127" s="1"/>
    </row>
    <row r="128" spans="1:28" outlineLevel="1" x14ac:dyDescent="0.2">
      <c r="A128" s="6"/>
      <c r="B128" s="180"/>
      <c r="C128" s="8" t="s">
        <v>132</v>
      </c>
      <c r="D128" s="53">
        <f>IF($I$97="",-R52,0)</f>
        <v>0</v>
      </c>
      <c r="E128" s="53">
        <f t="shared" ref="E128:J128" si="73">IF(D128="","",D128*(1+D129))</f>
        <v>0</v>
      </c>
      <c r="F128" s="53">
        <f t="shared" si="73"/>
        <v>0</v>
      </c>
      <c r="G128" s="53">
        <f t="shared" si="73"/>
        <v>0</v>
      </c>
      <c r="H128" s="53">
        <f t="shared" si="73"/>
        <v>0</v>
      </c>
      <c r="I128" s="53">
        <f t="shared" si="73"/>
        <v>0</v>
      </c>
      <c r="J128" s="53">
        <f t="shared" si="73"/>
        <v>0</v>
      </c>
      <c r="K128" s="6"/>
      <c r="L128" s="19" t="s">
        <v>292</v>
      </c>
      <c r="M128" s="6"/>
      <c r="N128" s="195"/>
      <c r="O128" s="6"/>
      <c r="P128" s="6"/>
      <c r="Q128" s="6"/>
      <c r="R128" s="572"/>
      <c r="S128" s="6"/>
      <c r="T128" s="6"/>
      <c r="U128" s="1"/>
      <c r="V128" s="1"/>
      <c r="W128" s="1"/>
      <c r="X128" s="1"/>
      <c r="Y128" s="1"/>
      <c r="Z128" s="1"/>
      <c r="AA128" s="571"/>
      <c r="AB128" s="1"/>
    </row>
    <row r="129" spans="1:28" outlineLevel="1" x14ac:dyDescent="0.2">
      <c r="A129" s="6"/>
      <c r="B129" s="180"/>
      <c r="C129" s="21" t="s">
        <v>27</v>
      </c>
      <c r="D129" s="76"/>
      <c r="E129" s="76"/>
      <c r="F129" s="76"/>
      <c r="G129" s="76"/>
      <c r="H129" s="76"/>
      <c r="I129" s="76"/>
      <c r="J129" s="48"/>
      <c r="K129" s="6"/>
      <c r="L129" s="783"/>
      <c r="M129" s="784"/>
      <c r="N129" s="784"/>
      <c r="O129" s="784"/>
      <c r="P129" s="784"/>
      <c r="Q129" s="784"/>
      <c r="R129" s="784"/>
      <c r="S129" s="784"/>
      <c r="T129" s="784"/>
      <c r="U129" s="1"/>
      <c r="V129" s="1"/>
      <c r="W129" s="1"/>
      <c r="X129" s="1"/>
      <c r="Y129" s="1"/>
      <c r="Z129" s="1"/>
      <c r="AA129" s="571"/>
      <c r="AB129" s="1"/>
    </row>
    <row r="130" spans="1:28" outlineLevel="1" x14ac:dyDescent="0.2">
      <c r="A130" s="6"/>
      <c r="B130" s="180"/>
      <c r="C130" s="21" t="s">
        <v>34</v>
      </c>
      <c r="D130" s="76"/>
      <c r="E130" s="76"/>
      <c r="F130" s="76"/>
      <c r="G130" s="76"/>
      <c r="H130" s="76"/>
      <c r="I130" s="76"/>
      <c r="J130" s="76"/>
      <c r="K130" s="6"/>
      <c r="L130" s="783"/>
      <c r="M130" s="784"/>
      <c r="N130" s="784"/>
      <c r="O130" s="784"/>
      <c r="P130" s="784"/>
      <c r="Q130" s="784"/>
      <c r="R130" s="784"/>
      <c r="S130" s="784"/>
      <c r="T130" s="784"/>
      <c r="U130" s="1"/>
      <c r="V130" s="1"/>
      <c r="W130" s="1"/>
      <c r="X130" s="1"/>
      <c r="Y130" s="1"/>
      <c r="Z130" s="1"/>
      <c r="AA130" s="571"/>
      <c r="AB130" s="1"/>
    </row>
    <row r="131" spans="1:28" outlineLevel="1" x14ac:dyDescent="0.2">
      <c r="A131" s="104"/>
      <c r="B131" s="180"/>
      <c r="C131" s="88" t="str">
        <f>"Proportion " &amp; IF(MarketImpact=0,"affected by","affected") &amp; " the proposed medicine"</f>
        <v>Proportion affected the proposed medicine</v>
      </c>
      <c r="D131" s="76"/>
      <c r="E131" s="76"/>
      <c r="F131" s="76"/>
      <c r="G131" s="76"/>
      <c r="H131" s="76"/>
      <c r="I131" s="76"/>
      <c r="J131" s="76"/>
      <c r="K131" s="6"/>
      <c r="L131" s="783"/>
      <c r="M131" s="784"/>
      <c r="N131" s="784"/>
      <c r="O131" s="784"/>
      <c r="P131" s="784"/>
      <c r="Q131" s="784"/>
      <c r="R131" s="784"/>
      <c r="S131" s="784"/>
      <c r="T131" s="784"/>
      <c r="U131" s="1"/>
      <c r="V131" s="1"/>
      <c r="W131" s="1"/>
      <c r="X131" s="1"/>
      <c r="Y131" s="1"/>
      <c r="Z131" s="1"/>
      <c r="AA131" s="571"/>
      <c r="AB131" s="1"/>
    </row>
    <row r="132" spans="1:28" outlineLevel="1" x14ac:dyDescent="0.2">
      <c r="A132" s="197"/>
      <c r="B132" s="205"/>
      <c r="C132" s="23" t="s">
        <v>125</v>
      </c>
      <c r="D132" s="47">
        <f t="shared" ref="D132:J132" si="74">D134-D133</f>
        <v>0</v>
      </c>
      <c r="E132" s="47">
        <f t="shared" si="74"/>
        <v>0</v>
      </c>
      <c r="F132" s="47">
        <f t="shared" si="74"/>
        <v>0</v>
      </c>
      <c r="G132" s="47">
        <f t="shared" si="74"/>
        <v>0</v>
      </c>
      <c r="H132" s="47">
        <f t="shared" si="74"/>
        <v>0</v>
      </c>
      <c r="I132" s="47">
        <f t="shared" si="74"/>
        <v>0</v>
      </c>
      <c r="J132" s="47">
        <f t="shared" si="74"/>
        <v>0</v>
      </c>
      <c r="K132" s="197"/>
      <c r="L132" s="197"/>
      <c r="M132" s="197"/>
      <c r="N132" s="197"/>
      <c r="O132" s="223"/>
      <c r="P132" s="223"/>
      <c r="Q132" s="223"/>
      <c r="R132" s="223"/>
      <c r="S132" s="223"/>
      <c r="T132" s="223"/>
      <c r="U132" s="2"/>
      <c r="V132" s="2"/>
      <c r="W132" s="2"/>
      <c r="X132" s="2"/>
      <c r="Y132" s="2"/>
      <c r="Z132" s="2"/>
      <c r="AA132" s="10"/>
      <c r="AB132" s="2"/>
    </row>
    <row r="133" spans="1:28" outlineLevel="1" x14ac:dyDescent="0.2">
      <c r="A133" s="197"/>
      <c r="B133" s="205"/>
      <c r="C133" s="23" t="s">
        <v>126</v>
      </c>
      <c r="D133" s="47">
        <f t="shared" ref="D133:J133" si="75">IF($B126&lt;&gt;0,ROUND(D134*INDEX(ServiceSplitRPBS,$B126),0),0)</f>
        <v>0</v>
      </c>
      <c r="E133" s="47">
        <f t="shared" si="75"/>
        <v>0</v>
      </c>
      <c r="F133" s="47">
        <f t="shared" si="75"/>
        <v>0</v>
      </c>
      <c r="G133" s="47">
        <f t="shared" si="75"/>
        <v>0</v>
      </c>
      <c r="H133" s="47">
        <f t="shared" si="75"/>
        <v>0</v>
      </c>
      <c r="I133" s="47">
        <f t="shared" si="75"/>
        <v>0</v>
      </c>
      <c r="J133" s="47">
        <f t="shared" si="75"/>
        <v>0</v>
      </c>
      <c r="K133" s="197"/>
      <c r="L133" s="197"/>
      <c r="M133" s="197"/>
      <c r="N133" s="197"/>
      <c r="O133" s="223"/>
      <c r="P133" s="223"/>
      <c r="Q133" s="223"/>
      <c r="R133" s="223"/>
      <c r="S133" s="223"/>
      <c r="T133" s="223"/>
      <c r="U133" s="2"/>
      <c r="V133" s="2"/>
      <c r="W133" s="2"/>
      <c r="X133" s="2"/>
      <c r="Y133" s="2"/>
      <c r="Z133" s="2"/>
      <c r="AA133" s="10"/>
      <c r="AB133" s="2"/>
    </row>
    <row r="134" spans="1:28" outlineLevel="1" x14ac:dyDescent="0.2">
      <c r="A134" s="197"/>
      <c r="B134" s="205"/>
      <c r="C134" s="117" t="s">
        <v>918</v>
      </c>
      <c r="D134" s="50">
        <f t="shared" ref="D134:J134" si="76">IF(D128="","",D131*D130*D128)</f>
        <v>0</v>
      </c>
      <c r="E134" s="50">
        <f t="shared" si="76"/>
        <v>0</v>
      </c>
      <c r="F134" s="50">
        <f t="shared" si="76"/>
        <v>0</v>
      </c>
      <c r="G134" s="50">
        <f t="shared" si="76"/>
        <v>0</v>
      </c>
      <c r="H134" s="50">
        <f t="shared" si="76"/>
        <v>0</v>
      </c>
      <c r="I134" s="50">
        <f t="shared" si="76"/>
        <v>0</v>
      </c>
      <c r="J134" s="50">
        <f t="shared" si="76"/>
        <v>0</v>
      </c>
      <c r="K134" s="197"/>
      <c r="L134" s="197"/>
      <c r="M134" s="197"/>
      <c r="N134" s="197"/>
      <c r="O134" s="223"/>
      <c r="P134" s="223"/>
      <c r="Q134" s="223"/>
      <c r="R134" s="223"/>
      <c r="S134" s="223"/>
      <c r="T134" s="223"/>
      <c r="U134" s="2"/>
      <c r="V134" s="2"/>
      <c r="W134" s="2"/>
      <c r="X134" s="2"/>
      <c r="Y134" s="2"/>
      <c r="Z134" s="2"/>
      <c r="AA134" s="10"/>
      <c r="AB134" s="2"/>
    </row>
    <row r="135" spans="1:28" outlineLevel="1" x14ac:dyDescent="0.2">
      <c r="A135" s="6"/>
      <c r="B135" s="180"/>
      <c r="C135" s="6"/>
      <c r="D135" s="6"/>
      <c r="E135" s="6"/>
      <c r="F135" s="6"/>
      <c r="G135" s="6"/>
      <c r="H135" s="6"/>
      <c r="I135" s="6"/>
      <c r="J135" s="6"/>
      <c r="K135" s="6"/>
      <c r="L135" s="6"/>
      <c r="M135" s="6"/>
      <c r="N135" s="6"/>
      <c r="O135" s="224"/>
      <c r="P135" s="224"/>
      <c r="Q135" s="224"/>
      <c r="R135" s="224"/>
      <c r="S135" s="224"/>
      <c r="T135" s="224"/>
      <c r="U135" s="1"/>
      <c r="V135" s="1"/>
      <c r="W135" s="1"/>
      <c r="X135" s="1"/>
      <c r="Y135" s="1"/>
      <c r="Z135" s="1"/>
      <c r="AA135" s="571"/>
      <c r="AB135" s="1"/>
    </row>
    <row r="136" spans="1:28" x14ac:dyDescent="0.2">
      <c r="A136" s="6"/>
      <c r="B136" s="180"/>
      <c r="C136" s="6"/>
      <c r="D136" s="6"/>
      <c r="E136" s="6"/>
      <c r="F136" s="6"/>
      <c r="G136" s="6"/>
      <c r="H136" s="6"/>
      <c r="I136" s="6"/>
      <c r="J136" s="6"/>
      <c r="K136" s="6"/>
      <c r="L136" s="6"/>
      <c r="M136" s="6"/>
      <c r="N136" s="6"/>
      <c r="O136" s="224"/>
      <c r="P136" s="224"/>
      <c r="Q136" s="224"/>
      <c r="R136" s="224"/>
      <c r="S136" s="224"/>
      <c r="T136" s="224"/>
      <c r="U136" s="1"/>
      <c r="V136" s="1"/>
      <c r="W136" s="1"/>
      <c r="X136" s="1"/>
      <c r="Y136" s="1"/>
      <c r="Z136" s="1"/>
      <c r="AA136" s="571"/>
      <c r="AB136" s="1"/>
    </row>
    <row r="137" spans="1:28" ht="15" x14ac:dyDescent="0.2">
      <c r="A137" s="187"/>
      <c r="B137" s="422">
        <v>4</v>
      </c>
      <c r="C137" s="221" t="str">
        <f>IF($I$97&lt;&gt;"",MsgNotUsed,INDEX(NamesOverallChanged,B137))</f>
        <v>** NOT USED **</v>
      </c>
      <c r="D137" s="207"/>
      <c r="E137" s="207"/>
      <c r="F137" s="207"/>
      <c r="G137" s="207"/>
      <c r="H137" s="189"/>
      <c r="I137" s="782" t="str">
        <f>IF(C137&lt;&gt;MsgNotUsed,"Co-payment group " &amp; INDEX(CoPayBandMS,B137),"")</f>
        <v/>
      </c>
      <c r="J137" s="782"/>
      <c r="K137" s="207"/>
      <c r="L137" s="207"/>
      <c r="M137" s="207"/>
      <c r="N137" s="207"/>
      <c r="O137" s="225"/>
      <c r="P137" s="225"/>
      <c r="Q137" s="225"/>
      <c r="R137" s="225"/>
      <c r="S137" s="225"/>
      <c r="T137" s="225"/>
      <c r="U137" s="41"/>
      <c r="V137" s="41"/>
      <c r="W137" s="41"/>
      <c r="X137" s="41"/>
      <c r="Y137" s="41"/>
      <c r="Z137" s="41"/>
      <c r="AA137" s="41"/>
      <c r="AB137" s="41"/>
    </row>
    <row r="138" spans="1:28" ht="15.75" outlineLevel="1" x14ac:dyDescent="0.2">
      <c r="A138" s="192"/>
      <c r="B138" s="95">
        <f>INDEX(CoPayBandMS,B137)</f>
        <v>0</v>
      </c>
      <c r="C138" s="193"/>
      <c r="D138" s="192"/>
      <c r="E138" s="192"/>
      <c r="F138" s="192"/>
      <c r="G138" s="192"/>
      <c r="H138" s="192"/>
      <c r="I138" s="192"/>
      <c r="J138" s="192"/>
      <c r="K138" s="192"/>
      <c r="L138" s="192"/>
      <c r="M138" s="192"/>
      <c r="N138" s="192"/>
      <c r="O138" s="226"/>
      <c r="P138" s="226"/>
      <c r="Q138" s="226"/>
      <c r="R138" s="226"/>
      <c r="S138" s="226"/>
      <c r="T138" s="226"/>
      <c r="U138" s="3"/>
      <c r="V138" s="3"/>
      <c r="W138" s="3"/>
      <c r="X138" s="3"/>
      <c r="Y138" s="3"/>
      <c r="Z138" s="3"/>
      <c r="AA138" s="3"/>
      <c r="AB138" s="3"/>
    </row>
    <row r="139" spans="1:28" ht="14.25" customHeight="1" outlineLevel="1" x14ac:dyDescent="0.2">
      <c r="A139" s="6"/>
      <c r="B139" s="180"/>
      <c r="C139" s="15"/>
      <c r="D139" s="87">
        <f>E139-1</f>
        <v>-1</v>
      </c>
      <c r="E139" s="87">
        <f>FirstYear</f>
        <v>0</v>
      </c>
      <c r="F139" s="87">
        <f>E139+1</f>
        <v>1</v>
      </c>
      <c r="G139" s="87">
        <f>F139+1</f>
        <v>2</v>
      </c>
      <c r="H139" s="87">
        <f>G139+1</f>
        <v>3</v>
      </c>
      <c r="I139" s="87">
        <f>H139+1</f>
        <v>4</v>
      </c>
      <c r="J139" s="87">
        <f>I139+1</f>
        <v>5</v>
      </c>
      <c r="K139" s="6"/>
      <c r="L139" s="195"/>
      <c r="M139" s="6"/>
      <c r="N139" s="6"/>
      <c r="O139" s="224"/>
      <c r="P139" s="224"/>
      <c r="Q139" s="224"/>
      <c r="R139" s="224"/>
      <c r="S139" s="224"/>
      <c r="T139" s="224"/>
      <c r="U139" s="1"/>
      <c r="V139" s="1"/>
      <c r="W139" s="1"/>
      <c r="X139" s="1"/>
      <c r="Y139" s="1"/>
      <c r="Z139" s="1"/>
      <c r="AA139" s="571"/>
      <c r="AB139" s="1"/>
    </row>
    <row r="140" spans="1:28" outlineLevel="1" x14ac:dyDescent="0.2">
      <c r="A140" s="6"/>
      <c r="B140" s="180"/>
      <c r="C140" s="8" t="s">
        <v>132</v>
      </c>
      <c r="D140" s="53">
        <f>IF($I$97="",-R53,0)</f>
        <v>0</v>
      </c>
      <c r="E140" s="53">
        <f t="shared" ref="E140:J140" si="77">IF(D140="","",D140*(1+D141))</f>
        <v>0</v>
      </c>
      <c r="F140" s="53">
        <f t="shared" si="77"/>
        <v>0</v>
      </c>
      <c r="G140" s="53">
        <f t="shared" si="77"/>
        <v>0</v>
      </c>
      <c r="H140" s="53">
        <f t="shared" si="77"/>
        <v>0</v>
      </c>
      <c r="I140" s="53">
        <f t="shared" si="77"/>
        <v>0</v>
      </c>
      <c r="J140" s="53">
        <f t="shared" si="77"/>
        <v>0</v>
      </c>
      <c r="K140" s="6"/>
      <c r="L140" s="19" t="s">
        <v>292</v>
      </c>
      <c r="M140" s="6"/>
      <c r="N140" s="195"/>
      <c r="O140" s="224"/>
      <c r="P140" s="224"/>
      <c r="Q140" s="224"/>
      <c r="R140" s="224"/>
      <c r="S140" s="224"/>
      <c r="T140" s="224"/>
      <c r="U140" s="1"/>
      <c r="V140" s="1"/>
      <c r="W140" s="1"/>
      <c r="X140" s="1"/>
      <c r="Y140" s="1"/>
      <c r="Z140" s="1"/>
      <c r="AA140" s="571"/>
      <c r="AB140" s="1"/>
    </row>
    <row r="141" spans="1:28" outlineLevel="1" x14ac:dyDescent="0.2">
      <c r="A141" s="6"/>
      <c r="B141" s="180"/>
      <c r="C141" s="21" t="s">
        <v>27</v>
      </c>
      <c r="D141" s="76"/>
      <c r="E141" s="76"/>
      <c r="F141" s="76"/>
      <c r="G141" s="76"/>
      <c r="H141" s="76"/>
      <c r="I141" s="76"/>
      <c r="J141" s="48"/>
      <c r="K141" s="6"/>
      <c r="L141" s="783"/>
      <c r="M141" s="784"/>
      <c r="N141" s="784"/>
      <c r="O141" s="784"/>
      <c r="P141" s="784"/>
      <c r="Q141" s="784"/>
      <c r="R141" s="784"/>
      <c r="S141" s="784"/>
      <c r="T141" s="784"/>
      <c r="U141" s="1"/>
      <c r="V141" s="1"/>
      <c r="W141" s="1"/>
      <c r="X141" s="1"/>
      <c r="Y141" s="1"/>
      <c r="Z141" s="1"/>
      <c r="AA141" s="571"/>
      <c r="AB141" s="1"/>
    </row>
    <row r="142" spans="1:28" outlineLevel="1" x14ac:dyDescent="0.2">
      <c r="A142" s="6"/>
      <c r="B142" s="180"/>
      <c r="C142" s="21" t="s">
        <v>34</v>
      </c>
      <c r="D142" s="76"/>
      <c r="E142" s="76"/>
      <c r="F142" s="76"/>
      <c r="G142" s="76"/>
      <c r="H142" s="76"/>
      <c r="I142" s="76"/>
      <c r="J142" s="76"/>
      <c r="K142" s="6"/>
      <c r="L142" s="783"/>
      <c r="M142" s="784"/>
      <c r="N142" s="784"/>
      <c r="O142" s="784"/>
      <c r="P142" s="784"/>
      <c r="Q142" s="784"/>
      <c r="R142" s="784"/>
      <c r="S142" s="784"/>
      <c r="T142" s="784"/>
      <c r="U142" s="1"/>
      <c r="V142" s="1"/>
      <c r="W142" s="1"/>
      <c r="X142" s="1"/>
      <c r="Y142" s="1"/>
      <c r="Z142" s="1"/>
      <c r="AA142" s="571"/>
      <c r="AB142" s="1"/>
    </row>
    <row r="143" spans="1:28" outlineLevel="1" x14ac:dyDescent="0.2">
      <c r="A143" s="104"/>
      <c r="B143" s="180"/>
      <c r="C143" s="88" t="str">
        <f>"Proportion " &amp; IF(MarketImpact=0,"affected by","affected") &amp; " the proposed medicine"</f>
        <v>Proportion affected the proposed medicine</v>
      </c>
      <c r="D143" s="76"/>
      <c r="E143" s="76"/>
      <c r="F143" s="76"/>
      <c r="G143" s="76"/>
      <c r="H143" s="76"/>
      <c r="I143" s="76"/>
      <c r="J143" s="76"/>
      <c r="K143" s="6"/>
      <c r="L143" s="783"/>
      <c r="M143" s="784"/>
      <c r="N143" s="784"/>
      <c r="O143" s="784"/>
      <c r="P143" s="784"/>
      <c r="Q143" s="784"/>
      <c r="R143" s="784"/>
      <c r="S143" s="784"/>
      <c r="T143" s="784"/>
      <c r="U143" s="1"/>
      <c r="V143" s="1"/>
      <c r="W143" s="1"/>
      <c r="X143" s="1"/>
      <c r="Y143" s="1"/>
      <c r="Z143" s="1"/>
      <c r="AA143" s="571"/>
      <c r="AB143" s="1"/>
    </row>
    <row r="144" spans="1:28" outlineLevel="1" x14ac:dyDescent="0.2">
      <c r="A144" s="197"/>
      <c r="B144" s="205"/>
      <c r="C144" s="23" t="s">
        <v>125</v>
      </c>
      <c r="D144" s="47">
        <f t="shared" ref="D144:J144" si="78">D146-D145</f>
        <v>0</v>
      </c>
      <c r="E144" s="47">
        <f t="shared" si="78"/>
        <v>0</v>
      </c>
      <c r="F144" s="47">
        <f t="shared" si="78"/>
        <v>0</v>
      </c>
      <c r="G144" s="47">
        <f t="shared" si="78"/>
        <v>0</v>
      </c>
      <c r="H144" s="47">
        <f t="shared" si="78"/>
        <v>0</v>
      </c>
      <c r="I144" s="47">
        <f t="shared" si="78"/>
        <v>0</v>
      </c>
      <c r="J144" s="47">
        <f t="shared" si="78"/>
        <v>0</v>
      </c>
      <c r="K144" s="197"/>
      <c r="L144" s="197"/>
      <c r="M144" s="197"/>
      <c r="N144" s="197"/>
      <c r="O144" s="223"/>
      <c r="P144" s="223"/>
      <c r="Q144" s="223"/>
      <c r="R144" s="223"/>
      <c r="S144" s="223"/>
      <c r="T144" s="223"/>
      <c r="U144" s="2"/>
      <c r="V144" s="2"/>
      <c r="W144" s="2"/>
      <c r="X144" s="2"/>
      <c r="Y144" s="2"/>
      <c r="Z144" s="2"/>
      <c r="AA144" s="10"/>
      <c r="AB144" s="2"/>
    </row>
    <row r="145" spans="1:28" outlineLevel="1" x14ac:dyDescent="0.2">
      <c r="A145" s="197"/>
      <c r="B145" s="205"/>
      <c r="C145" s="23" t="s">
        <v>126</v>
      </c>
      <c r="D145" s="47">
        <f t="shared" ref="D145:J145" si="79">IF($B138&lt;&gt;0,ROUND(D146*INDEX(ServiceSplitRPBS,$B138),0),0)</f>
        <v>0</v>
      </c>
      <c r="E145" s="47">
        <f t="shared" si="79"/>
        <v>0</v>
      </c>
      <c r="F145" s="47">
        <f t="shared" si="79"/>
        <v>0</v>
      </c>
      <c r="G145" s="47">
        <f t="shared" si="79"/>
        <v>0</v>
      </c>
      <c r="H145" s="47">
        <f t="shared" si="79"/>
        <v>0</v>
      </c>
      <c r="I145" s="47">
        <f t="shared" si="79"/>
        <v>0</v>
      </c>
      <c r="J145" s="47">
        <f t="shared" si="79"/>
        <v>0</v>
      </c>
      <c r="K145" s="197"/>
      <c r="L145" s="197"/>
      <c r="M145" s="197"/>
      <c r="N145" s="197"/>
      <c r="O145" s="223"/>
      <c r="P145" s="223"/>
      <c r="Q145" s="223"/>
      <c r="R145" s="223"/>
      <c r="S145" s="223"/>
      <c r="T145" s="223"/>
      <c r="U145" s="2"/>
      <c r="V145" s="2"/>
      <c r="W145" s="2"/>
      <c r="X145" s="2"/>
      <c r="Y145" s="2"/>
      <c r="Z145" s="2"/>
      <c r="AA145" s="10"/>
      <c r="AB145" s="2"/>
    </row>
    <row r="146" spans="1:28" outlineLevel="1" x14ac:dyDescent="0.2">
      <c r="A146" s="197"/>
      <c r="B146" s="205"/>
      <c r="C146" s="117" t="s">
        <v>918</v>
      </c>
      <c r="D146" s="50">
        <f t="shared" ref="D146:J146" si="80">IF(D140="","",D143*D142*D140)</f>
        <v>0</v>
      </c>
      <c r="E146" s="50">
        <f t="shared" si="80"/>
        <v>0</v>
      </c>
      <c r="F146" s="50">
        <f t="shared" si="80"/>
        <v>0</v>
      </c>
      <c r="G146" s="50">
        <f t="shared" si="80"/>
        <v>0</v>
      </c>
      <c r="H146" s="50">
        <f t="shared" si="80"/>
        <v>0</v>
      </c>
      <c r="I146" s="50">
        <f t="shared" si="80"/>
        <v>0</v>
      </c>
      <c r="J146" s="50">
        <f t="shared" si="80"/>
        <v>0</v>
      </c>
      <c r="K146" s="197"/>
      <c r="L146" s="197"/>
      <c r="M146" s="197"/>
      <c r="N146" s="197"/>
      <c r="O146" s="223"/>
      <c r="P146" s="223"/>
      <c r="Q146" s="223"/>
      <c r="R146" s="223"/>
      <c r="S146" s="223"/>
      <c r="T146" s="223"/>
      <c r="U146" s="2"/>
      <c r="V146" s="2"/>
      <c r="W146" s="2"/>
      <c r="X146" s="2"/>
      <c r="Y146" s="2"/>
      <c r="Z146" s="2"/>
      <c r="AA146" s="10"/>
      <c r="AB146" s="2"/>
    </row>
    <row r="147" spans="1:28" outlineLevel="1" x14ac:dyDescent="0.2">
      <c r="A147" s="6"/>
      <c r="B147" s="180"/>
      <c r="C147" s="6"/>
      <c r="D147" s="6"/>
      <c r="E147" s="6"/>
      <c r="F147" s="6"/>
      <c r="G147" s="6"/>
      <c r="H147" s="6"/>
      <c r="I147" s="6"/>
      <c r="J147" s="6"/>
      <c r="K147" s="6"/>
      <c r="L147" s="6"/>
      <c r="M147" s="6"/>
      <c r="N147" s="6"/>
      <c r="O147" s="224"/>
      <c r="P147" s="224"/>
      <c r="Q147" s="224"/>
      <c r="R147" s="224"/>
      <c r="S147" s="224"/>
      <c r="T147" s="224"/>
      <c r="U147" s="1"/>
      <c r="V147" s="1"/>
      <c r="W147" s="1"/>
      <c r="X147" s="1"/>
      <c r="Y147" s="1"/>
      <c r="Z147" s="1"/>
      <c r="AA147" s="571"/>
      <c r="AB147" s="1"/>
    </row>
    <row r="148" spans="1:28" x14ac:dyDescent="0.2">
      <c r="A148" s="6"/>
      <c r="B148" s="180"/>
      <c r="C148" s="6"/>
      <c r="D148" s="6"/>
      <c r="E148" s="6"/>
      <c r="F148" s="6"/>
      <c r="G148" s="6"/>
      <c r="H148" s="6"/>
      <c r="I148" s="6"/>
      <c r="J148" s="6"/>
      <c r="K148" s="6"/>
      <c r="L148" s="6"/>
      <c r="M148" s="6"/>
      <c r="N148" s="6"/>
      <c r="O148" s="224"/>
      <c r="P148" s="224"/>
      <c r="Q148" s="224"/>
      <c r="R148" s="224"/>
      <c r="S148" s="224"/>
      <c r="T148" s="224"/>
      <c r="U148" s="1"/>
      <c r="V148" s="1"/>
      <c r="W148" s="1"/>
      <c r="X148" s="1"/>
      <c r="Y148" s="1"/>
      <c r="Z148" s="1"/>
      <c r="AA148" s="571"/>
      <c r="AB148" s="1"/>
    </row>
    <row r="149" spans="1:28" ht="15" x14ac:dyDescent="0.2">
      <c r="A149" s="187"/>
      <c r="B149" s="422">
        <v>5</v>
      </c>
      <c r="C149" s="221" t="str">
        <f>IF($I$97&lt;&gt;"",MsgNotUsed,INDEX(NamesOverallChanged,B149))</f>
        <v>** NOT USED **</v>
      </c>
      <c r="D149" s="207"/>
      <c r="E149" s="207"/>
      <c r="F149" s="207"/>
      <c r="G149" s="207"/>
      <c r="H149" s="189"/>
      <c r="I149" s="782" t="str">
        <f>IF(C149&lt;&gt;MsgNotUsed,"Co-payment group " &amp; INDEX(CoPayBandMS,B149),"")</f>
        <v/>
      </c>
      <c r="J149" s="782"/>
      <c r="K149" s="207"/>
      <c r="L149" s="207"/>
      <c r="M149" s="207"/>
      <c r="N149" s="207"/>
      <c r="O149" s="225"/>
      <c r="P149" s="225"/>
      <c r="Q149" s="225"/>
      <c r="R149" s="225"/>
      <c r="S149" s="225"/>
      <c r="T149" s="225"/>
      <c r="U149" s="41"/>
      <c r="V149" s="41"/>
      <c r="W149" s="41"/>
      <c r="X149" s="41"/>
      <c r="Y149" s="41"/>
      <c r="Z149" s="41"/>
      <c r="AA149" s="41"/>
      <c r="AB149" s="41"/>
    </row>
    <row r="150" spans="1:28" ht="15.75" outlineLevel="1" x14ac:dyDescent="0.2">
      <c r="A150" s="192"/>
      <c r="B150" s="95">
        <f>INDEX(CoPayBandMS,B149)</f>
        <v>0</v>
      </c>
      <c r="C150" s="193"/>
      <c r="D150" s="192"/>
      <c r="E150" s="192"/>
      <c r="F150" s="192"/>
      <c r="G150" s="192"/>
      <c r="H150" s="192"/>
      <c r="I150" s="192"/>
      <c r="J150" s="192"/>
      <c r="K150" s="192"/>
      <c r="L150" s="192"/>
      <c r="M150" s="192"/>
      <c r="N150" s="192"/>
      <c r="O150" s="226"/>
      <c r="P150" s="226"/>
      <c r="Q150" s="226"/>
      <c r="R150" s="226"/>
      <c r="S150" s="226"/>
      <c r="T150" s="226"/>
      <c r="U150" s="3"/>
      <c r="V150" s="3"/>
      <c r="W150" s="3"/>
      <c r="X150" s="3"/>
      <c r="Y150" s="3"/>
      <c r="Z150" s="3"/>
      <c r="AA150" s="3"/>
      <c r="AB150" s="3"/>
    </row>
    <row r="151" spans="1:28" ht="14.25" customHeight="1" outlineLevel="1" x14ac:dyDescent="0.2">
      <c r="A151" s="6"/>
      <c r="B151" s="180"/>
      <c r="C151" s="15"/>
      <c r="D151" s="87">
        <f>E151-1</f>
        <v>-1</v>
      </c>
      <c r="E151" s="87">
        <f>FirstYear</f>
        <v>0</v>
      </c>
      <c r="F151" s="87">
        <f>E151+1</f>
        <v>1</v>
      </c>
      <c r="G151" s="87">
        <f>F151+1</f>
        <v>2</v>
      </c>
      <c r="H151" s="87">
        <f>G151+1</f>
        <v>3</v>
      </c>
      <c r="I151" s="87">
        <f>H151+1</f>
        <v>4</v>
      </c>
      <c r="J151" s="87">
        <f>I151+1</f>
        <v>5</v>
      </c>
      <c r="K151" s="6"/>
      <c r="L151" s="195"/>
      <c r="M151" s="6"/>
      <c r="N151" s="6"/>
      <c r="O151" s="224"/>
      <c r="P151" s="224"/>
      <c r="Q151" s="224"/>
      <c r="R151" s="224"/>
      <c r="S151" s="224"/>
      <c r="T151" s="224"/>
      <c r="U151" s="1"/>
      <c r="V151" s="1"/>
      <c r="W151" s="1"/>
      <c r="X151" s="1"/>
      <c r="Y151" s="1"/>
      <c r="Z151" s="1"/>
      <c r="AA151" s="571"/>
      <c r="AB151" s="1"/>
    </row>
    <row r="152" spans="1:28" outlineLevel="1" x14ac:dyDescent="0.2">
      <c r="A152" s="6"/>
      <c r="B152" s="180"/>
      <c r="C152" s="8" t="s">
        <v>132</v>
      </c>
      <c r="D152" s="53">
        <f>IF($I$97="",-R54,0)</f>
        <v>0</v>
      </c>
      <c r="E152" s="53">
        <f t="shared" ref="E152:J152" si="81">IF(D152="","",D152*(1+D153))</f>
        <v>0</v>
      </c>
      <c r="F152" s="53">
        <f t="shared" si="81"/>
        <v>0</v>
      </c>
      <c r="G152" s="53">
        <f t="shared" si="81"/>
        <v>0</v>
      </c>
      <c r="H152" s="53">
        <f t="shared" si="81"/>
        <v>0</v>
      </c>
      <c r="I152" s="53">
        <f t="shared" si="81"/>
        <v>0</v>
      </c>
      <c r="J152" s="53">
        <f t="shared" si="81"/>
        <v>0</v>
      </c>
      <c r="K152" s="6"/>
      <c r="L152" s="19" t="s">
        <v>292</v>
      </c>
      <c r="M152" s="6"/>
      <c r="N152" s="195"/>
      <c r="O152" s="224"/>
      <c r="P152" s="224"/>
      <c r="Q152" s="224"/>
      <c r="R152" s="224"/>
      <c r="S152" s="224"/>
      <c r="T152" s="224"/>
      <c r="U152" s="1"/>
      <c r="V152" s="1"/>
      <c r="W152" s="1"/>
      <c r="X152" s="1"/>
      <c r="Y152" s="1"/>
      <c r="Z152" s="1"/>
      <c r="AA152" s="571"/>
      <c r="AB152" s="1"/>
    </row>
    <row r="153" spans="1:28" outlineLevel="1" x14ac:dyDescent="0.2">
      <c r="A153" s="6"/>
      <c r="B153" s="180"/>
      <c r="C153" s="21" t="s">
        <v>27</v>
      </c>
      <c r="D153" s="76"/>
      <c r="E153" s="76"/>
      <c r="F153" s="76"/>
      <c r="G153" s="76"/>
      <c r="H153" s="76"/>
      <c r="I153" s="76"/>
      <c r="J153" s="48"/>
      <c r="K153" s="6"/>
      <c r="L153" s="783"/>
      <c r="M153" s="784"/>
      <c r="N153" s="784"/>
      <c r="O153" s="784"/>
      <c r="P153" s="784"/>
      <c r="Q153" s="784"/>
      <c r="R153" s="784"/>
      <c r="S153" s="784"/>
      <c r="T153" s="784"/>
      <c r="U153" s="1"/>
      <c r="V153" s="1"/>
      <c r="W153" s="1"/>
      <c r="X153" s="1"/>
      <c r="Y153" s="1"/>
      <c r="Z153" s="1"/>
      <c r="AA153" s="571"/>
      <c r="AB153" s="1"/>
    </row>
    <row r="154" spans="1:28" outlineLevel="1" x14ac:dyDescent="0.2">
      <c r="A154" s="6"/>
      <c r="B154" s="180"/>
      <c r="C154" s="21" t="s">
        <v>34</v>
      </c>
      <c r="D154" s="76"/>
      <c r="E154" s="76"/>
      <c r="F154" s="76"/>
      <c r="G154" s="76"/>
      <c r="H154" s="76"/>
      <c r="I154" s="76"/>
      <c r="J154" s="76"/>
      <c r="K154" s="6"/>
      <c r="L154" s="783"/>
      <c r="M154" s="784"/>
      <c r="N154" s="784"/>
      <c r="O154" s="784"/>
      <c r="P154" s="784"/>
      <c r="Q154" s="784"/>
      <c r="R154" s="784"/>
      <c r="S154" s="784"/>
      <c r="T154" s="784"/>
      <c r="U154" s="1"/>
      <c r="V154" s="1"/>
      <c r="W154" s="1"/>
      <c r="X154" s="1"/>
      <c r="Y154" s="1"/>
      <c r="Z154" s="1"/>
      <c r="AA154" s="571"/>
      <c r="AB154" s="1"/>
    </row>
    <row r="155" spans="1:28" outlineLevel="1" x14ac:dyDescent="0.2">
      <c r="A155" s="104"/>
      <c r="B155" s="180"/>
      <c r="C155" s="88" t="str">
        <f>"Proportion " &amp; IF(MarketImpact=0,"affected by","affected") &amp; " the proposed medicine"</f>
        <v>Proportion affected the proposed medicine</v>
      </c>
      <c r="D155" s="76"/>
      <c r="E155" s="76"/>
      <c r="F155" s="76"/>
      <c r="G155" s="76"/>
      <c r="H155" s="76"/>
      <c r="I155" s="76"/>
      <c r="J155" s="76"/>
      <c r="K155" s="6"/>
      <c r="L155" s="783"/>
      <c r="M155" s="784"/>
      <c r="N155" s="784"/>
      <c r="O155" s="784"/>
      <c r="P155" s="784"/>
      <c r="Q155" s="784"/>
      <c r="R155" s="784"/>
      <c r="S155" s="784"/>
      <c r="T155" s="784"/>
      <c r="U155" s="1"/>
      <c r="V155" s="1"/>
      <c r="W155" s="1"/>
      <c r="X155" s="1"/>
      <c r="Y155" s="1"/>
      <c r="Z155" s="1"/>
      <c r="AA155" s="571"/>
      <c r="AB155" s="1"/>
    </row>
    <row r="156" spans="1:28" outlineLevel="1" x14ac:dyDescent="0.2">
      <c r="A156" s="197"/>
      <c r="B156" s="205"/>
      <c r="C156" s="23" t="s">
        <v>125</v>
      </c>
      <c r="D156" s="47">
        <f t="shared" ref="D156:J156" si="82">D158-D157</f>
        <v>0</v>
      </c>
      <c r="E156" s="47">
        <f t="shared" si="82"/>
        <v>0</v>
      </c>
      <c r="F156" s="47">
        <f t="shared" si="82"/>
        <v>0</v>
      </c>
      <c r="G156" s="47">
        <f t="shared" si="82"/>
        <v>0</v>
      </c>
      <c r="H156" s="47">
        <f t="shared" si="82"/>
        <v>0</v>
      </c>
      <c r="I156" s="47">
        <f t="shared" si="82"/>
        <v>0</v>
      </c>
      <c r="J156" s="47">
        <f t="shared" si="82"/>
        <v>0</v>
      </c>
      <c r="K156" s="197"/>
      <c r="L156" s="197"/>
      <c r="M156" s="197"/>
      <c r="N156" s="197"/>
      <c r="O156" s="223"/>
      <c r="P156" s="223"/>
      <c r="Q156" s="223"/>
      <c r="R156" s="223"/>
      <c r="S156" s="223"/>
      <c r="T156" s="223"/>
      <c r="U156" s="2"/>
      <c r="V156" s="2"/>
      <c r="W156" s="2"/>
      <c r="X156" s="2"/>
      <c r="Y156" s="2"/>
      <c r="Z156" s="2"/>
      <c r="AA156" s="10"/>
      <c r="AB156" s="2"/>
    </row>
    <row r="157" spans="1:28" outlineLevel="1" x14ac:dyDescent="0.2">
      <c r="A157" s="197"/>
      <c r="B157" s="205"/>
      <c r="C157" s="23" t="s">
        <v>126</v>
      </c>
      <c r="D157" s="47">
        <f t="shared" ref="D157:J157" si="83">IF($B150&lt;&gt;0,ROUND(D158*INDEX(ServiceSplitRPBS,$B150),0),0)</f>
        <v>0</v>
      </c>
      <c r="E157" s="47">
        <f t="shared" si="83"/>
        <v>0</v>
      </c>
      <c r="F157" s="47">
        <f t="shared" si="83"/>
        <v>0</v>
      </c>
      <c r="G157" s="47">
        <f t="shared" si="83"/>
        <v>0</v>
      </c>
      <c r="H157" s="47">
        <f t="shared" si="83"/>
        <v>0</v>
      </c>
      <c r="I157" s="47">
        <f t="shared" si="83"/>
        <v>0</v>
      </c>
      <c r="J157" s="47">
        <f t="shared" si="83"/>
        <v>0</v>
      </c>
      <c r="K157" s="197"/>
      <c r="L157" s="197"/>
      <c r="M157" s="197"/>
      <c r="N157" s="197"/>
      <c r="O157" s="223"/>
      <c r="P157" s="223"/>
      <c r="Q157" s="223"/>
      <c r="R157" s="223"/>
      <c r="S157" s="223"/>
      <c r="T157" s="223"/>
      <c r="U157" s="2"/>
      <c r="V157" s="2"/>
      <c r="W157" s="2"/>
      <c r="X157" s="2"/>
      <c r="Y157" s="2"/>
      <c r="Z157" s="2"/>
      <c r="AA157" s="10"/>
      <c r="AB157" s="2"/>
    </row>
    <row r="158" spans="1:28" outlineLevel="1" x14ac:dyDescent="0.2">
      <c r="A158" s="197"/>
      <c r="B158" s="205"/>
      <c r="C158" s="117" t="s">
        <v>918</v>
      </c>
      <c r="D158" s="50">
        <f t="shared" ref="D158:J158" si="84">IF(D152="","",D155*D154*D152)</f>
        <v>0</v>
      </c>
      <c r="E158" s="50">
        <f t="shared" si="84"/>
        <v>0</v>
      </c>
      <c r="F158" s="50">
        <f t="shared" si="84"/>
        <v>0</v>
      </c>
      <c r="G158" s="50">
        <f t="shared" si="84"/>
        <v>0</v>
      </c>
      <c r="H158" s="50">
        <f t="shared" si="84"/>
        <v>0</v>
      </c>
      <c r="I158" s="50">
        <f t="shared" si="84"/>
        <v>0</v>
      </c>
      <c r="J158" s="50">
        <f t="shared" si="84"/>
        <v>0</v>
      </c>
      <c r="K158" s="197"/>
      <c r="L158" s="197"/>
      <c r="M158" s="197"/>
      <c r="N158" s="197"/>
      <c r="O158" s="223"/>
      <c r="P158" s="223"/>
      <c r="Q158" s="223"/>
      <c r="R158" s="223"/>
      <c r="S158" s="223"/>
      <c r="T158" s="223"/>
      <c r="U158" s="2"/>
      <c r="V158" s="2"/>
      <c r="W158" s="2"/>
      <c r="X158" s="2"/>
      <c r="Y158" s="2"/>
      <c r="Z158" s="2"/>
      <c r="AA158" s="10"/>
      <c r="AB158" s="2"/>
    </row>
    <row r="159" spans="1:28" outlineLevel="1" x14ac:dyDescent="0.2">
      <c r="A159" s="6"/>
      <c r="B159" s="180"/>
      <c r="C159" s="6"/>
      <c r="D159" s="6"/>
      <c r="E159" s="6"/>
      <c r="F159" s="6"/>
      <c r="G159" s="6"/>
      <c r="H159" s="6"/>
      <c r="I159" s="6"/>
      <c r="J159" s="6"/>
      <c r="K159" s="6"/>
      <c r="L159" s="6"/>
      <c r="M159" s="6"/>
      <c r="N159" s="6"/>
      <c r="O159" s="224"/>
      <c r="P159" s="224"/>
      <c r="Q159" s="224"/>
      <c r="R159" s="224"/>
      <c r="S159" s="224"/>
      <c r="T159" s="224"/>
      <c r="U159" s="1"/>
      <c r="V159" s="1"/>
      <c r="W159" s="1"/>
      <c r="X159" s="1"/>
      <c r="Y159" s="1"/>
      <c r="Z159" s="1"/>
      <c r="AA159" s="571"/>
      <c r="AB159" s="1"/>
    </row>
    <row r="160" spans="1:28" x14ac:dyDescent="0.2">
      <c r="A160" s="6"/>
      <c r="B160" s="180"/>
      <c r="C160" s="6"/>
      <c r="D160" s="6"/>
      <c r="E160" s="6"/>
      <c r="F160" s="6"/>
      <c r="G160" s="6"/>
      <c r="H160" s="6"/>
      <c r="I160" s="6"/>
      <c r="J160" s="6"/>
      <c r="K160" s="6"/>
      <c r="L160" s="6"/>
      <c r="M160" s="6"/>
      <c r="N160" s="6"/>
      <c r="O160" s="224"/>
      <c r="P160" s="224"/>
      <c r="Q160" s="224"/>
      <c r="R160" s="224"/>
      <c r="S160" s="224"/>
      <c r="T160" s="224"/>
      <c r="U160" s="1"/>
      <c r="V160" s="1"/>
      <c r="W160" s="1"/>
      <c r="X160" s="1"/>
      <c r="Y160" s="1"/>
      <c r="Z160" s="1"/>
      <c r="AA160" s="571"/>
      <c r="AB160" s="1"/>
    </row>
    <row r="161" spans="1:28" ht="15" x14ac:dyDescent="0.2">
      <c r="A161" s="187"/>
      <c r="B161" s="422">
        <v>6</v>
      </c>
      <c r="C161" s="221" t="str">
        <f>IF($I$97&lt;&gt;"",MsgNotUsed,INDEX(NamesOverallChanged,B161))</f>
        <v>** NOT USED **</v>
      </c>
      <c r="D161" s="207"/>
      <c r="E161" s="207"/>
      <c r="F161" s="207"/>
      <c r="G161" s="207"/>
      <c r="H161" s="189"/>
      <c r="I161" s="782" t="str">
        <f>IF(C161&lt;&gt;MsgNotUsed,"Co-payment group " &amp; INDEX(CoPayBandMS,B161),"")</f>
        <v/>
      </c>
      <c r="J161" s="782"/>
      <c r="K161" s="207"/>
      <c r="L161" s="207"/>
      <c r="M161" s="207"/>
      <c r="N161" s="207"/>
      <c r="O161" s="225"/>
      <c r="P161" s="225"/>
      <c r="Q161" s="225"/>
      <c r="R161" s="225"/>
      <c r="S161" s="225"/>
      <c r="T161" s="225"/>
      <c r="U161" s="41"/>
      <c r="V161" s="41"/>
      <c r="W161" s="41"/>
      <c r="X161" s="41"/>
      <c r="Y161" s="41"/>
      <c r="Z161" s="41"/>
      <c r="AA161" s="41"/>
      <c r="AB161" s="41"/>
    </row>
    <row r="162" spans="1:28" ht="15.75" outlineLevel="1" x14ac:dyDescent="0.2">
      <c r="A162" s="192"/>
      <c r="B162" s="95">
        <f>INDEX(CoPayBandMS,B161)</f>
        <v>0</v>
      </c>
      <c r="C162" s="193"/>
      <c r="D162" s="192"/>
      <c r="E162" s="192"/>
      <c r="F162" s="192"/>
      <c r="G162" s="192"/>
      <c r="H162" s="192"/>
      <c r="I162" s="192"/>
      <c r="J162" s="192"/>
      <c r="K162" s="192"/>
      <c r="L162" s="192"/>
      <c r="M162" s="192"/>
      <c r="N162" s="192"/>
      <c r="O162" s="226"/>
      <c r="P162" s="226"/>
      <c r="Q162" s="226"/>
      <c r="R162" s="226"/>
      <c r="S162" s="226"/>
      <c r="T162" s="226"/>
      <c r="U162" s="3"/>
      <c r="V162" s="3"/>
      <c r="W162" s="3"/>
      <c r="X162" s="3"/>
      <c r="Y162" s="3"/>
      <c r="Z162" s="3"/>
      <c r="AA162" s="3"/>
      <c r="AB162" s="3"/>
    </row>
    <row r="163" spans="1:28" ht="14.25" customHeight="1" outlineLevel="1" x14ac:dyDescent="0.2">
      <c r="A163" s="6"/>
      <c r="B163" s="180"/>
      <c r="C163" s="15"/>
      <c r="D163" s="87">
        <f>E163-1</f>
        <v>-1</v>
      </c>
      <c r="E163" s="87">
        <f>FirstYear</f>
        <v>0</v>
      </c>
      <c r="F163" s="87">
        <f>E163+1</f>
        <v>1</v>
      </c>
      <c r="G163" s="87">
        <f>F163+1</f>
        <v>2</v>
      </c>
      <c r="H163" s="87">
        <f>G163+1</f>
        <v>3</v>
      </c>
      <c r="I163" s="87">
        <f>H163+1</f>
        <v>4</v>
      </c>
      <c r="J163" s="87">
        <f>I163+1</f>
        <v>5</v>
      </c>
      <c r="K163" s="6"/>
      <c r="L163" s="195"/>
      <c r="M163" s="6"/>
      <c r="N163" s="6"/>
      <c r="O163" s="224"/>
      <c r="P163" s="224"/>
      <c r="Q163" s="224"/>
      <c r="R163" s="224"/>
      <c r="S163" s="224"/>
      <c r="T163" s="224"/>
      <c r="U163" s="1"/>
      <c r="V163" s="1"/>
      <c r="W163" s="1"/>
      <c r="X163" s="1"/>
      <c r="Y163" s="1"/>
      <c r="Z163" s="1"/>
      <c r="AA163" s="571"/>
      <c r="AB163" s="1"/>
    </row>
    <row r="164" spans="1:28" outlineLevel="1" x14ac:dyDescent="0.2">
      <c r="A164" s="6"/>
      <c r="B164" s="180"/>
      <c r="C164" s="8" t="s">
        <v>132</v>
      </c>
      <c r="D164" s="53">
        <f>IF($I$97="",-R55,0)</f>
        <v>0</v>
      </c>
      <c r="E164" s="53">
        <f t="shared" ref="E164:J164" si="85">IF(D164="","",D164*(1+D165))</f>
        <v>0</v>
      </c>
      <c r="F164" s="53">
        <f t="shared" si="85"/>
        <v>0</v>
      </c>
      <c r="G164" s="53">
        <f t="shared" si="85"/>
        <v>0</v>
      </c>
      <c r="H164" s="53">
        <f t="shared" si="85"/>
        <v>0</v>
      </c>
      <c r="I164" s="53">
        <f t="shared" si="85"/>
        <v>0</v>
      </c>
      <c r="J164" s="53">
        <f t="shared" si="85"/>
        <v>0</v>
      </c>
      <c r="K164" s="6"/>
      <c r="L164" s="19" t="s">
        <v>292</v>
      </c>
      <c r="M164" s="6"/>
      <c r="N164" s="195"/>
      <c r="O164" s="224"/>
      <c r="P164" s="224"/>
      <c r="Q164" s="224"/>
      <c r="R164" s="224"/>
      <c r="S164" s="224"/>
      <c r="T164" s="224"/>
      <c r="U164" s="1"/>
      <c r="V164" s="1"/>
      <c r="W164" s="1"/>
      <c r="X164" s="1"/>
      <c r="Y164" s="1"/>
      <c r="Z164" s="1"/>
      <c r="AA164" s="571"/>
      <c r="AB164" s="1"/>
    </row>
    <row r="165" spans="1:28" outlineLevel="1" x14ac:dyDescent="0.2">
      <c r="A165" s="6"/>
      <c r="B165" s="180"/>
      <c r="C165" s="21" t="s">
        <v>27</v>
      </c>
      <c r="D165" s="76"/>
      <c r="E165" s="76"/>
      <c r="F165" s="76"/>
      <c r="G165" s="76"/>
      <c r="H165" s="76"/>
      <c r="I165" s="76"/>
      <c r="J165" s="48"/>
      <c r="K165" s="6"/>
      <c r="L165" s="783"/>
      <c r="M165" s="784"/>
      <c r="N165" s="784"/>
      <c r="O165" s="784"/>
      <c r="P165" s="784"/>
      <c r="Q165" s="784"/>
      <c r="R165" s="784"/>
      <c r="S165" s="784"/>
      <c r="T165" s="784"/>
      <c r="U165" s="1"/>
      <c r="V165" s="1"/>
      <c r="W165" s="1"/>
      <c r="X165" s="1"/>
      <c r="Y165" s="1"/>
      <c r="Z165" s="1"/>
      <c r="AA165" s="571"/>
      <c r="AB165" s="1"/>
    </row>
    <row r="166" spans="1:28" outlineLevel="1" x14ac:dyDescent="0.2">
      <c r="A166" s="6"/>
      <c r="B166" s="180"/>
      <c r="C166" s="21" t="s">
        <v>34</v>
      </c>
      <c r="D166" s="76"/>
      <c r="E166" s="76"/>
      <c r="F166" s="76"/>
      <c r="G166" s="76"/>
      <c r="H166" s="76"/>
      <c r="I166" s="76"/>
      <c r="J166" s="76"/>
      <c r="K166" s="6"/>
      <c r="L166" s="783"/>
      <c r="M166" s="784"/>
      <c r="N166" s="784"/>
      <c r="O166" s="784"/>
      <c r="P166" s="784"/>
      <c r="Q166" s="784"/>
      <c r="R166" s="784"/>
      <c r="S166" s="784"/>
      <c r="T166" s="784"/>
      <c r="U166" s="1"/>
      <c r="V166" s="1"/>
      <c r="W166" s="1"/>
      <c r="X166" s="1"/>
      <c r="Y166" s="1"/>
      <c r="Z166" s="1"/>
      <c r="AA166" s="571"/>
      <c r="AB166" s="1"/>
    </row>
    <row r="167" spans="1:28" outlineLevel="1" x14ac:dyDescent="0.2">
      <c r="A167" s="104"/>
      <c r="B167" s="180"/>
      <c r="C167" s="88" t="str">
        <f>"Proportion " &amp; IF(MarketImpact=0,"affected by","affected") &amp; " the proposed medicine"</f>
        <v>Proportion affected the proposed medicine</v>
      </c>
      <c r="D167" s="76"/>
      <c r="E167" s="76"/>
      <c r="F167" s="76"/>
      <c r="G167" s="76"/>
      <c r="H167" s="76"/>
      <c r="I167" s="76"/>
      <c r="J167" s="76"/>
      <c r="K167" s="6"/>
      <c r="L167" s="783"/>
      <c r="M167" s="784"/>
      <c r="N167" s="784"/>
      <c r="O167" s="784"/>
      <c r="P167" s="784"/>
      <c r="Q167" s="784"/>
      <c r="R167" s="784"/>
      <c r="S167" s="784"/>
      <c r="T167" s="784"/>
      <c r="U167" s="1"/>
      <c r="V167" s="1"/>
      <c r="W167" s="1"/>
      <c r="X167" s="1"/>
      <c r="Y167" s="1"/>
      <c r="Z167" s="1"/>
      <c r="AA167" s="571"/>
      <c r="AB167" s="1"/>
    </row>
    <row r="168" spans="1:28" outlineLevel="1" x14ac:dyDescent="0.2">
      <c r="A168" s="197"/>
      <c r="B168" s="205"/>
      <c r="C168" s="23" t="s">
        <v>125</v>
      </c>
      <c r="D168" s="47">
        <f t="shared" ref="D168:J168" si="86">D170-D169</f>
        <v>0</v>
      </c>
      <c r="E168" s="47">
        <f t="shared" si="86"/>
        <v>0</v>
      </c>
      <c r="F168" s="47">
        <f t="shared" si="86"/>
        <v>0</v>
      </c>
      <c r="G168" s="47">
        <f t="shared" si="86"/>
        <v>0</v>
      </c>
      <c r="H168" s="47">
        <f t="shared" si="86"/>
        <v>0</v>
      </c>
      <c r="I168" s="47">
        <f t="shared" si="86"/>
        <v>0</v>
      </c>
      <c r="J168" s="47">
        <f t="shared" si="86"/>
        <v>0</v>
      </c>
      <c r="K168" s="197"/>
      <c r="L168" s="197"/>
      <c r="M168" s="197"/>
      <c r="N168" s="197"/>
      <c r="O168" s="223"/>
      <c r="P168" s="223"/>
      <c r="Q168" s="223"/>
      <c r="R168" s="223"/>
      <c r="S168" s="223"/>
      <c r="T168" s="223"/>
      <c r="U168" s="2"/>
      <c r="V168" s="2"/>
      <c r="W168" s="2"/>
      <c r="X168" s="2"/>
      <c r="Y168" s="2"/>
      <c r="Z168" s="2"/>
      <c r="AA168" s="10"/>
      <c r="AB168" s="2"/>
    </row>
    <row r="169" spans="1:28" outlineLevel="1" x14ac:dyDescent="0.2">
      <c r="A169" s="197"/>
      <c r="B169" s="205"/>
      <c r="C169" s="23" t="s">
        <v>126</v>
      </c>
      <c r="D169" s="47">
        <f t="shared" ref="D169:J169" si="87">IF($B162&lt;&gt;0,ROUND(D170*INDEX(ServiceSplitRPBS,$B162),0),0)</f>
        <v>0</v>
      </c>
      <c r="E169" s="47">
        <f t="shared" si="87"/>
        <v>0</v>
      </c>
      <c r="F169" s="47">
        <f t="shared" si="87"/>
        <v>0</v>
      </c>
      <c r="G169" s="47">
        <f t="shared" si="87"/>
        <v>0</v>
      </c>
      <c r="H169" s="47">
        <f t="shared" si="87"/>
        <v>0</v>
      </c>
      <c r="I169" s="47">
        <f t="shared" si="87"/>
        <v>0</v>
      </c>
      <c r="J169" s="47">
        <f t="shared" si="87"/>
        <v>0</v>
      </c>
      <c r="K169" s="197"/>
      <c r="L169" s="197"/>
      <c r="M169" s="197"/>
      <c r="N169" s="197"/>
      <c r="O169" s="223"/>
      <c r="P169" s="223"/>
      <c r="Q169" s="223"/>
      <c r="R169" s="223"/>
      <c r="S169" s="223"/>
      <c r="T169" s="223"/>
      <c r="U169" s="2"/>
      <c r="V169" s="2"/>
      <c r="W169" s="2"/>
      <c r="X169" s="2"/>
      <c r="Y169" s="2"/>
      <c r="Z169" s="2"/>
      <c r="AA169" s="10"/>
      <c r="AB169" s="2"/>
    </row>
    <row r="170" spans="1:28" outlineLevel="1" x14ac:dyDescent="0.2">
      <c r="A170" s="197"/>
      <c r="B170" s="205"/>
      <c r="C170" s="117" t="s">
        <v>918</v>
      </c>
      <c r="D170" s="50">
        <f t="shared" ref="D170:J170" si="88">IF(D164="","",D167*D166*D164)</f>
        <v>0</v>
      </c>
      <c r="E170" s="50">
        <f t="shared" si="88"/>
        <v>0</v>
      </c>
      <c r="F170" s="50">
        <f t="shared" si="88"/>
        <v>0</v>
      </c>
      <c r="G170" s="50">
        <f t="shared" si="88"/>
        <v>0</v>
      </c>
      <c r="H170" s="50">
        <f t="shared" si="88"/>
        <v>0</v>
      </c>
      <c r="I170" s="50">
        <f t="shared" si="88"/>
        <v>0</v>
      </c>
      <c r="J170" s="50">
        <f t="shared" si="88"/>
        <v>0</v>
      </c>
      <c r="K170" s="197"/>
      <c r="L170" s="197"/>
      <c r="M170" s="197"/>
      <c r="N170" s="197"/>
      <c r="O170" s="223"/>
      <c r="P170" s="223"/>
      <c r="Q170" s="223"/>
      <c r="R170" s="223"/>
      <c r="S170" s="223"/>
      <c r="T170" s="223"/>
      <c r="U170" s="2"/>
      <c r="V170" s="2"/>
      <c r="W170" s="2"/>
      <c r="X170" s="2"/>
      <c r="Y170" s="2"/>
      <c r="Z170" s="2"/>
      <c r="AA170" s="10"/>
      <c r="AB170" s="2"/>
    </row>
    <row r="171" spans="1:28" outlineLevel="1" x14ac:dyDescent="0.2">
      <c r="A171" s="6"/>
      <c r="B171" s="180"/>
      <c r="C171" s="6"/>
      <c r="D171" s="6"/>
      <c r="E171" s="6"/>
      <c r="F171" s="6"/>
      <c r="G171" s="6"/>
      <c r="H171" s="6"/>
      <c r="I171" s="6"/>
      <c r="J171" s="6"/>
      <c r="K171" s="6"/>
      <c r="L171" s="6"/>
      <c r="M171" s="6"/>
      <c r="N171" s="6"/>
      <c r="O171" s="224"/>
      <c r="P171" s="224"/>
      <c r="Q171" s="224"/>
      <c r="R171" s="224"/>
      <c r="S171" s="224"/>
      <c r="T171" s="224"/>
      <c r="U171" s="1"/>
      <c r="V171" s="1"/>
      <c r="W171" s="1"/>
      <c r="X171" s="1"/>
      <c r="Y171" s="1"/>
      <c r="Z171" s="1"/>
      <c r="AA171" s="571"/>
      <c r="AB171" s="1"/>
    </row>
    <row r="172" spans="1:28" x14ac:dyDescent="0.2">
      <c r="A172" s="6"/>
      <c r="B172" s="180"/>
      <c r="C172" s="6"/>
      <c r="D172" s="6"/>
      <c r="E172" s="6"/>
      <c r="F172" s="6"/>
      <c r="G172" s="6"/>
      <c r="H172" s="6"/>
      <c r="I172" s="6"/>
      <c r="J172" s="6"/>
      <c r="K172" s="6"/>
      <c r="L172" s="6"/>
      <c r="M172" s="6"/>
      <c r="N172" s="6"/>
      <c r="O172" s="224"/>
      <c r="P172" s="224"/>
      <c r="Q172" s="224"/>
      <c r="R172" s="224"/>
      <c r="S172" s="224"/>
      <c r="T172" s="224"/>
      <c r="U172" s="1"/>
      <c r="V172" s="1"/>
      <c r="W172" s="1"/>
      <c r="X172" s="1"/>
      <c r="Y172" s="1"/>
      <c r="Z172" s="1"/>
      <c r="AA172" s="571"/>
      <c r="AB172" s="1"/>
    </row>
    <row r="173" spans="1:28" ht="15" x14ac:dyDescent="0.2">
      <c r="A173" s="187"/>
      <c r="B173" s="422">
        <v>7</v>
      </c>
      <c r="C173" s="221" t="str">
        <f>IF($I$97&lt;&gt;"",MsgNotUsed,INDEX(NamesOverallChanged,B173))</f>
        <v>** NOT USED **</v>
      </c>
      <c r="D173" s="207"/>
      <c r="E173" s="207"/>
      <c r="F173" s="207"/>
      <c r="G173" s="207"/>
      <c r="H173" s="189"/>
      <c r="I173" s="782" t="str">
        <f>IF(C173&lt;&gt;MsgNotUsed,"Co-payment group " &amp; INDEX(CoPayBandMS,B173),"")</f>
        <v/>
      </c>
      <c r="J173" s="782"/>
      <c r="K173" s="207"/>
      <c r="L173" s="207"/>
      <c r="M173" s="207"/>
      <c r="N173" s="207"/>
      <c r="O173" s="225"/>
      <c r="P173" s="225"/>
      <c r="Q173" s="225"/>
      <c r="R173" s="225"/>
      <c r="S173" s="225"/>
      <c r="T173" s="225"/>
      <c r="U173" s="41"/>
      <c r="V173" s="41"/>
      <c r="W173" s="41"/>
      <c r="X173" s="41"/>
      <c r="Y173" s="41"/>
      <c r="Z173" s="41"/>
      <c r="AA173" s="41"/>
      <c r="AB173" s="41"/>
    </row>
    <row r="174" spans="1:28" ht="15.75" outlineLevel="1" x14ac:dyDescent="0.2">
      <c r="A174" s="192"/>
      <c r="B174" s="95">
        <f>INDEX(CoPayBandMS,B173)</f>
        <v>0</v>
      </c>
      <c r="C174" s="193"/>
      <c r="D174" s="192"/>
      <c r="E174" s="192"/>
      <c r="F174" s="192"/>
      <c r="G174" s="192"/>
      <c r="H174" s="192"/>
      <c r="I174" s="192"/>
      <c r="J174" s="192"/>
      <c r="K174" s="192"/>
      <c r="L174" s="192"/>
      <c r="M174" s="192"/>
      <c r="N174" s="192"/>
      <c r="O174" s="226"/>
      <c r="P174" s="226"/>
      <c r="Q174" s="226"/>
      <c r="R174" s="226"/>
      <c r="S174" s="226"/>
      <c r="T174" s="226"/>
      <c r="U174" s="3"/>
      <c r="V174" s="3"/>
      <c r="W174" s="3"/>
      <c r="X174" s="3"/>
      <c r="Y174" s="3"/>
      <c r="Z174" s="3"/>
      <c r="AA174" s="3"/>
      <c r="AB174" s="3"/>
    </row>
    <row r="175" spans="1:28" ht="14.25" customHeight="1" outlineLevel="1" x14ac:dyDescent="0.2">
      <c r="A175" s="6"/>
      <c r="B175" s="180"/>
      <c r="C175" s="15"/>
      <c r="D175" s="87">
        <f>E175-1</f>
        <v>-1</v>
      </c>
      <c r="E175" s="87">
        <f>FirstYear</f>
        <v>0</v>
      </c>
      <c r="F175" s="87">
        <f>E175+1</f>
        <v>1</v>
      </c>
      <c r="G175" s="87">
        <f>F175+1</f>
        <v>2</v>
      </c>
      <c r="H175" s="87">
        <f>G175+1</f>
        <v>3</v>
      </c>
      <c r="I175" s="87">
        <f>H175+1</f>
        <v>4</v>
      </c>
      <c r="J175" s="87">
        <f>I175+1</f>
        <v>5</v>
      </c>
      <c r="K175" s="6"/>
      <c r="L175" s="195"/>
      <c r="M175" s="6"/>
      <c r="N175" s="6"/>
      <c r="O175" s="224"/>
      <c r="P175" s="224"/>
      <c r="Q175" s="224"/>
      <c r="R175" s="224"/>
      <c r="S175" s="224"/>
      <c r="T175" s="224"/>
      <c r="U175" s="1"/>
      <c r="V175" s="1"/>
      <c r="W175" s="1"/>
      <c r="X175" s="1"/>
      <c r="Y175" s="1"/>
      <c r="Z175" s="1"/>
      <c r="AA175" s="571"/>
      <c r="AB175" s="1"/>
    </row>
    <row r="176" spans="1:28" outlineLevel="1" x14ac:dyDescent="0.2">
      <c r="A176" s="6"/>
      <c r="B176" s="180"/>
      <c r="C176" s="8" t="s">
        <v>132</v>
      </c>
      <c r="D176" s="53">
        <f>IF($I$97="",-R56,0)</f>
        <v>0</v>
      </c>
      <c r="E176" s="53">
        <f t="shared" ref="E176:J176" si="89">IF(D176="","",D176*(1+D177))</f>
        <v>0</v>
      </c>
      <c r="F176" s="53">
        <f t="shared" si="89"/>
        <v>0</v>
      </c>
      <c r="G176" s="53">
        <f t="shared" si="89"/>
        <v>0</v>
      </c>
      <c r="H176" s="53">
        <f t="shared" si="89"/>
        <v>0</v>
      </c>
      <c r="I176" s="53">
        <f t="shared" si="89"/>
        <v>0</v>
      </c>
      <c r="J176" s="53">
        <f t="shared" si="89"/>
        <v>0</v>
      </c>
      <c r="K176" s="6"/>
      <c r="L176" s="19" t="s">
        <v>292</v>
      </c>
      <c r="M176" s="6"/>
      <c r="N176" s="195"/>
      <c r="O176" s="224"/>
      <c r="P176" s="224"/>
      <c r="Q176" s="224"/>
      <c r="R176" s="224"/>
      <c r="S176" s="224"/>
      <c r="T176" s="224"/>
      <c r="U176" s="1"/>
      <c r="V176" s="1"/>
      <c r="W176" s="1"/>
      <c r="X176" s="1"/>
      <c r="Y176" s="1"/>
      <c r="Z176" s="1"/>
      <c r="AA176" s="571"/>
      <c r="AB176" s="1"/>
    </row>
    <row r="177" spans="1:28" outlineLevel="1" x14ac:dyDescent="0.2">
      <c r="A177" s="6"/>
      <c r="B177" s="180"/>
      <c r="C177" s="21" t="s">
        <v>27</v>
      </c>
      <c r="D177" s="76"/>
      <c r="E177" s="76"/>
      <c r="F177" s="76"/>
      <c r="G177" s="76"/>
      <c r="H177" s="76"/>
      <c r="I177" s="76"/>
      <c r="J177" s="48"/>
      <c r="K177" s="6"/>
      <c r="L177" s="783"/>
      <c r="M177" s="784"/>
      <c r="N177" s="784"/>
      <c r="O177" s="784"/>
      <c r="P177" s="784"/>
      <c r="Q177" s="784"/>
      <c r="R177" s="784"/>
      <c r="S177" s="784"/>
      <c r="T177" s="784"/>
      <c r="U177" s="1"/>
      <c r="V177" s="1"/>
      <c r="W177" s="1"/>
      <c r="X177" s="1"/>
      <c r="Y177" s="1"/>
      <c r="Z177" s="1"/>
      <c r="AA177" s="571"/>
      <c r="AB177" s="1"/>
    </row>
    <row r="178" spans="1:28" outlineLevel="1" x14ac:dyDescent="0.2">
      <c r="A178" s="6"/>
      <c r="B178" s="180"/>
      <c r="C178" s="21" t="s">
        <v>34</v>
      </c>
      <c r="D178" s="76"/>
      <c r="E178" s="76"/>
      <c r="F178" s="76"/>
      <c r="G178" s="76"/>
      <c r="H178" s="76"/>
      <c r="I178" s="76"/>
      <c r="J178" s="76"/>
      <c r="K178" s="6"/>
      <c r="L178" s="783"/>
      <c r="M178" s="784"/>
      <c r="N178" s="784"/>
      <c r="O178" s="784"/>
      <c r="P178" s="784"/>
      <c r="Q178" s="784"/>
      <c r="R178" s="784"/>
      <c r="S178" s="784"/>
      <c r="T178" s="784"/>
      <c r="U178" s="1"/>
      <c r="V178" s="1"/>
      <c r="W178" s="1"/>
      <c r="X178" s="1"/>
      <c r="Y178" s="1"/>
      <c r="Z178" s="1"/>
      <c r="AA178" s="571"/>
      <c r="AB178" s="1"/>
    </row>
    <row r="179" spans="1:28" outlineLevel="1" x14ac:dyDescent="0.2">
      <c r="A179" s="104"/>
      <c r="B179" s="180"/>
      <c r="C179" s="88" t="str">
        <f>"Proportion " &amp; IF(MarketImpact=0,"affected by","affected") &amp; " the proposed medicine"</f>
        <v>Proportion affected the proposed medicine</v>
      </c>
      <c r="D179" s="76"/>
      <c r="E179" s="76"/>
      <c r="F179" s="76"/>
      <c r="G179" s="76"/>
      <c r="H179" s="76"/>
      <c r="I179" s="76"/>
      <c r="J179" s="76"/>
      <c r="K179" s="6"/>
      <c r="L179" s="783"/>
      <c r="M179" s="784"/>
      <c r="N179" s="784"/>
      <c r="O179" s="784"/>
      <c r="P179" s="784"/>
      <c r="Q179" s="784"/>
      <c r="R179" s="784"/>
      <c r="S179" s="784"/>
      <c r="T179" s="784"/>
      <c r="U179" s="1"/>
      <c r="V179" s="1"/>
      <c r="W179" s="1"/>
      <c r="X179" s="1"/>
      <c r="Y179" s="1"/>
      <c r="Z179" s="1"/>
      <c r="AA179" s="571"/>
      <c r="AB179" s="1"/>
    </row>
    <row r="180" spans="1:28" outlineLevel="1" x14ac:dyDescent="0.2">
      <c r="A180" s="197"/>
      <c r="B180" s="205"/>
      <c r="C180" s="23" t="s">
        <v>125</v>
      </c>
      <c r="D180" s="47">
        <f t="shared" ref="D180:J180" si="90">D182-D181</f>
        <v>0</v>
      </c>
      <c r="E180" s="47">
        <f t="shared" si="90"/>
        <v>0</v>
      </c>
      <c r="F180" s="47">
        <f t="shared" si="90"/>
        <v>0</v>
      </c>
      <c r="G180" s="47">
        <f t="shared" si="90"/>
        <v>0</v>
      </c>
      <c r="H180" s="47">
        <f t="shared" si="90"/>
        <v>0</v>
      </c>
      <c r="I180" s="47">
        <f t="shared" si="90"/>
        <v>0</v>
      </c>
      <c r="J180" s="47">
        <f t="shared" si="90"/>
        <v>0</v>
      </c>
      <c r="K180" s="197"/>
      <c r="L180" s="197"/>
      <c r="M180" s="197"/>
      <c r="N180" s="197"/>
      <c r="O180" s="223"/>
      <c r="P180" s="223"/>
      <c r="Q180" s="223"/>
      <c r="R180" s="223"/>
      <c r="S180" s="223"/>
      <c r="T180" s="223"/>
      <c r="U180" s="2"/>
      <c r="V180" s="2"/>
      <c r="W180" s="2"/>
      <c r="X180" s="2"/>
      <c r="Y180" s="2"/>
      <c r="Z180" s="2"/>
      <c r="AA180" s="10"/>
      <c r="AB180" s="2"/>
    </row>
    <row r="181" spans="1:28" outlineLevel="1" x14ac:dyDescent="0.2">
      <c r="A181" s="197"/>
      <c r="B181" s="205"/>
      <c r="C181" s="23" t="s">
        <v>126</v>
      </c>
      <c r="D181" s="47">
        <f t="shared" ref="D181:J181" si="91">IF($B174&lt;&gt;0,ROUND(D182*INDEX(ServiceSplitRPBS,$B174),0),0)</f>
        <v>0</v>
      </c>
      <c r="E181" s="47">
        <f t="shared" si="91"/>
        <v>0</v>
      </c>
      <c r="F181" s="47">
        <f t="shared" si="91"/>
        <v>0</v>
      </c>
      <c r="G181" s="47">
        <f t="shared" si="91"/>
        <v>0</v>
      </c>
      <c r="H181" s="47">
        <f t="shared" si="91"/>
        <v>0</v>
      </c>
      <c r="I181" s="47">
        <f t="shared" si="91"/>
        <v>0</v>
      </c>
      <c r="J181" s="47">
        <f t="shared" si="91"/>
        <v>0</v>
      </c>
      <c r="K181" s="197"/>
      <c r="L181" s="197"/>
      <c r="M181" s="197"/>
      <c r="N181" s="197"/>
      <c r="O181" s="223"/>
      <c r="P181" s="223"/>
      <c r="Q181" s="223"/>
      <c r="R181" s="223"/>
      <c r="S181" s="223"/>
      <c r="T181" s="223"/>
      <c r="U181" s="2"/>
      <c r="V181" s="2"/>
      <c r="W181" s="2"/>
      <c r="X181" s="2"/>
      <c r="Y181" s="2"/>
      <c r="Z181" s="2"/>
      <c r="AA181" s="10"/>
      <c r="AB181" s="2"/>
    </row>
    <row r="182" spans="1:28" outlineLevel="1" x14ac:dyDescent="0.2">
      <c r="A182" s="197"/>
      <c r="B182" s="205"/>
      <c r="C182" s="117" t="s">
        <v>918</v>
      </c>
      <c r="D182" s="50">
        <f t="shared" ref="D182:J182" si="92">IF(D176="","",D179*D178*D176)</f>
        <v>0</v>
      </c>
      <c r="E182" s="50">
        <f t="shared" si="92"/>
        <v>0</v>
      </c>
      <c r="F182" s="50">
        <f t="shared" si="92"/>
        <v>0</v>
      </c>
      <c r="G182" s="50">
        <f t="shared" si="92"/>
        <v>0</v>
      </c>
      <c r="H182" s="50">
        <f t="shared" si="92"/>
        <v>0</v>
      </c>
      <c r="I182" s="50">
        <f t="shared" si="92"/>
        <v>0</v>
      </c>
      <c r="J182" s="50">
        <f t="shared" si="92"/>
        <v>0</v>
      </c>
      <c r="K182" s="197"/>
      <c r="L182" s="197"/>
      <c r="M182" s="197"/>
      <c r="N182" s="197"/>
      <c r="O182" s="223"/>
      <c r="P182" s="223"/>
      <c r="Q182" s="223"/>
      <c r="R182" s="223"/>
      <c r="S182" s="223"/>
      <c r="T182" s="223"/>
      <c r="U182" s="2"/>
      <c r="V182" s="2"/>
      <c r="W182" s="2"/>
      <c r="X182" s="2"/>
      <c r="Y182" s="2"/>
      <c r="Z182" s="2"/>
      <c r="AA182" s="10"/>
      <c r="AB182" s="2"/>
    </row>
    <row r="183" spans="1:28" outlineLevel="1" x14ac:dyDescent="0.2">
      <c r="A183" s="6"/>
      <c r="B183" s="180"/>
      <c r="C183" s="6"/>
      <c r="D183" s="6"/>
      <c r="E183" s="6"/>
      <c r="F183" s="6"/>
      <c r="G183" s="6"/>
      <c r="H183" s="6"/>
      <c r="I183" s="6"/>
      <c r="J183" s="6"/>
      <c r="K183" s="6"/>
      <c r="L183" s="6"/>
      <c r="M183" s="6"/>
      <c r="N183" s="6"/>
      <c r="O183" s="224"/>
      <c r="P183" s="224"/>
      <c r="Q183" s="224"/>
      <c r="R183" s="224"/>
      <c r="S183" s="224"/>
      <c r="T183" s="224"/>
      <c r="U183" s="1"/>
      <c r="V183" s="1"/>
      <c r="W183" s="1"/>
      <c r="X183" s="1"/>
      <c r="Y183" s="1"/>
      <c r="Z183" s="1"/>
      <c r="AA183" s="571"/>
      <c r="AB183" s="1"/>
    </row>
    <row r="184" spans="1:28" x14ac:dyDescent="0.2">
      <c r="A184" s="6"/>
      <c r="B184" s="180"/>
      <c r="C184" s="6"/>
      <c r="D184" s="6"/>
      <c r="E184" s="6"/>
      <c r="F184" s="6"/>
      <c r="G184" s="6"/>
      <c r="H184" s="6"/>
      <c r="I184" s="6"/>
      <c r="J184" s="6"/>
      <c r="K184" s="6"/>
      <c r="L184" s="6"/>
      <c r="M184" s="6"/>
      <c r="N184" s="6"/>
      <c r="O184" s="224"/>
      <c r="P184" s="224"/>
      <c r="Q184" s="224"/>
      <c r="R184" s="224"/>
      <c r="S184" s="224"/>
      <c r="T184" s="224"/>
      <c r="U184" s="1"/>
      <c r="V184" s="1"/>
      <c r="W184" s="1"/>
      <c r="X184" s="1"/>
      <c r="Y184" s="1"/>
      <c r="Z184" s="1"/>
      <c r="AA184" s="571"/>
      <c r="AB184" s="1"/>
    </row>
    <row r="185" spans="1:28" ht="15" x14ac:dyDescent="0.2">
      <c r="A185" s="187"/>
      <c r="B185" s="422">
        <v>8</v>
      </c>
      <c r="C185" s="221" t="str">
        <f>IF($I$97&lt;&gt;"",MsgNotUsed,INDEX(NamesOverallChanged,B185))</f>
        <v>** NOT USED **</v>
      </c>
      <c r="D185" s="207"/>
      <c r="E185" s="207"/>
      <c r="F185" s="207"/>
      <c r="G185" s="207"/>
      <c r="H185" s="189"/>
      <c r="I185" s="782" t="str">
        <f>IF(C185&lt;&gt;MsgNotUsed,"Co-payment group " &amp; INDEX(CoPayBandMS,B185),"")</f>
        <v/>
      </c>
      <c r="J185" s="782"/>
      <c r="K185" s="207"/>
      <c r="L185" s="207"/>
      <c r="M185" s="207"/>
      <c r="N185" s="207"/>
      <c r="O185" s="225"/>
      <c r="P185" s="225"/>
      <c r="Q185" s="225"/>
      <c r="R185" s="225"/>
      <c r="S185" s="225"/>
      <c r="T185" s="225"/>
      <c r="U185" s="41"/>
      <c r="V185" s="41"/>
      <c r="W185" s="41"/>
      <c r="X185" s="41"/>
      <c r="Y185" s="41"/>
      <c r="Z185" s="41"/>
      <c r="AA185" s="41"/>
      <c r="AB185" s="41"/>
    </row>
    <row r="186" spans="1:28" ht="15.75" outlineLevel="1" x14ac:dyDescent="0.2">
      <c r="A186" s="192"/>
      <c r="B186" s="95">
        <f>INDEX(CoPayBandMS,B185)</f>
        <v>0</v>
      </c>
      <c r="C186" s="193"/>
      <c r="D186" s="192"/>
      <c r="E186" s="192"/>
      <c r="F186" s="192"/>
      <c r="G186" s="192"/>
      <c r="H186" s="192"/>
      <c r="I186" s="192"/>
      <c r="J186" s="192"/>
      <c r="K186" s="192"/>
      <c r="L186" s="192"/>
      <c r="M186" s="192"/>
      <c r="N186" s="192"/>
      <c r="O186" s="226"/>
      <c r="P186" s="226"/>
      <c r="Q186" s="226"/>
      <c r="R186" s="226"/>
      <c r="S186" s="226"/>
      <c r="T186" s="226"/>
      <c r="U186" s="3"/>
      <c r="V186" s="3"/>
      <c r="W186" s="3"/>
      <c r="X186" s="3"/>
      <c r="Y186" s="3"/>
      <c r="Z186" s="3"/>
      <c r="AA186" s="3"/>
      <c r="AB186" s="3"/>
    </row>
    <row r="187" spans="1:28" ht="14.25" customHeight="1" outlineLevel="1" x14ac:dyDescent="0.2">
      <c r="A187" s="6"/>
      <c r="B187" s="180"/>
      <c r="C187" s="15"/>
      <c r="D187" s="87">
        <f>E187-1</f>
        <v>-1</v>
      </c>
      <c r="E187" s="87">
        <f>FirstYear</f>
        <v>0</v>
      </c>
      <c r="F187" s="87">
        <f>E187+1</f>
        <v>1</v>
      </c>
      <c r="G187" s="87">
        <f>F187+1</f>
        <v>2</v>
      </c>
      <c r="H187" s="87">
        <f>G187+1</f>
        <v>3</v>
      </c>
      <c r="I187" s="87">
        <f>H187+1</f>
        <v>4</v>
      </c>
      <c r="J187" s="87">
        <f>I187+1</f>
        <v>5</v>
      </c>
      <c r="K187" s="6"/>
      <c r="L187" s="195"/>
      <c r="M187" s="6"/>
      <c r="N187" s="6"/>
      <c r="O187" s="224"/>
      <c r="P187" s="224"/>
      <c r="Q187" s="224"/>
      <c r="R187" s="224"/>
      <c r="S187" s="224"/>
      <c r="T187" s="224"/>
      <c r="U187" s="1"/>
      <c r="V187" s="1"/>
      <c r="W187" s="1"/>
      <c r="X187" s="1"/>
      <c r="Y187" s="1"/>
      <c r="Z187" s="1"/>
      <c r="AA187" s="571"/>
      <c r="AB187" s="1"/>
    </row>
    <row r="188" spans="1:28" outlineLevel="1" x14ac:dyDescent="0.2">
      <c r="A188" s="6"/>
      <c r="B188" s="180"/>
      <c r="C188" s="8" t="s">
        <v>132</v>
      </c>
      <c r="D188" s="53">
        <f>IF($I$97="",-R57,0)</f>
        <v>0</v>
      </c>
      <c r="E188" s="53">
        <f t="shared" ref="E188:J188" si="93">IF(D188="","",D188*(1+D189))</f>
        <v>0</v>
      </c>
      <c r="F188" s="53">
        <f t="shared" si="93"/>
        <v>0</v>
      </c>
      <c r="G188" s="53">
        <f t="shared" si="93"/>
        <v>0</v>
      </c>
      <c r="H188" s="53">
        <f t="shared" si="93"/>
        <v>0</v>
      </c>
      <c r="I188" s="53">
        <f t="shared" si="93"/>
        <v>0</v>
      </c>
      <c r="J188" s="53">
        <f t="shared" si="93"/>
        <v>0</v>
      </c>
      <c r="K188" s="6"/>
      <c r="L188" s="19" t="s">
        <v>292</v>
      </c>
      <c r="M188" s="6"/>
      <c r="N188" s="195"/>
      <c r="O188" s="224"/>
      <c r="P188" s="224"/>
      <c r="Q188" s="224"/>
      <c r="R188" s="224"/>
      <c r="S188" s="224"/>
      <c r="T188" s="224"/>
      <c r="U188" s="1"/>
      <c r="V188" s="1"/>
      <c r="W188" s="1"/>
      <c r="X188" s="1"/>
      <c r="Y188" s="1"/>
      <c r="Z188" s="1"/>
      <c r="AA188" s="571"/>
      <c r="AB188" s="1"/>
    </row>
    <row r="189" spans="1:28" outlineLevel="1" x14ac:dyDescent="0.2">
      <c r="A189" s="6"/>
      <c r="B189" s="180"/>
      <c r="C189" s="21" t="s">
        <v>27</v>
      </c>
      <c r="D189" s="76"/>
      <c r="E189" s="76"/>
      <c r="F189" s="76"/>
      <c r="G189" s="76"/>
      <c r="H189" s="76"/>
      <c r="I189" s="76"/>
      <c r="J189" s="48"/>
      <c r="K189" s="6"/>
      <c r="L189" s="783"/>
      <c r="M189" s="784"/>
      <c r="N189" s="784"/>
      <c r="O189" s="787"/>
      <c r="P189" s="787"/>
      <c r="Q189" s="787"/>
      <c r="R189" s="787"/>
      <c r="S189" s="787"/>
      <c r="T189" s="787"/>
      <c r="U189" s="1"/>
      <c r="V189" s="1"/>
      <c r="W189" s="1"/>
      <c r="X189" s="1"/>
      <c r="Y189" s="1"/>
      <c r="Z189" s="1"/>
      <c r="AA189" s="571"/>
      <c r="AB189" s="1"/>
    </row>
    <row r="190" spans="1:28" outlineLevel="1" x14ac:dyDescent="0.2">
      <c r="A190" s="6"/>
      <c r="B190" s="180"/>
      <c r="C190" s="21" t="s">
        <v>34</v>
      </c>
      <c r="D190" s="76"/>
      <c r="E190" s="76"/>
      <c r="F190" s="76"/>
      <c r="G190" s="76"/>
      <c r="H190" s="76"/>
      <c r="I190" s="76"/>
      <c r="J190" s="76"/>
      <c r="K190" s="6"/>
      <c r="L190" s="783"/>
      <c r="M190" s="784"/>
      <c r="N190" s="784"/>
      <c r="O190" s="787"/>
      <c r="P190" s="787"/>
      <c r="Q190" s="787"/>
      <c r="R190" s="787"/>
      <c r="S190" s="787"/>
      <c r="T190" s="787"/>
      <c r="U190" s="1"/>
      <c r="V190" s="1"/>
      <c r="W190" s="1"/>
      <c r="X190" s="1"/>
      <c r="Y190" s="1"/>
      <c r="Z190" s="1"/>
      <c r="AA190" s="571"/>
      <c r="AB190" s="1"/>
    </row>
    <row r="191" spans="1:28" outlineLevel="1" x14ac:dyDescent="0.2">
      <c r="A191" s="104"/>
      <c r="B191" s="180"/>
      <c r="C191" s="88" t="str">
        <f>"Proportion " &amp; IF(MarketImpact=0,"affected by","affected") &amp; " the proposed medicine"</f>
        <v>Proportion affected the proposed medicine</v>
      </c>
      <c r="D191" s="76"/>
      <c r="E191" s="76"/>
      <c r="F191" s="76"/>
      <c r="G191" s="76"/>
      <c r="H191" s="76"/>
      <c r="I191" s="76"/>
      <c r="J191" s="76"/>
      <c r="K191" s="6"/>
      <c r="L191" s="783"/>
      <c r="M191" s="784"/>
      <c r="N191" s="784"/>
      <c r="O191" s="787"/>
      <c r="P191" s="787"/>
      <c r="Q191" s="787"/>
      <c r="R191" s="787"/>
      <c r="S191" s="787"/>
      <c r="T191" s="787"/>
      <c r="U191" s="1"/>
      <c r="V191" s="1"/>
      <c r="W191" s="1"/>
      <c r="X191" s="1"/>
      <c r="Y191" s="1"/>
      <c r="Z191" s="1"/>
      <c r="AA191" s="571"/>
      <c r="AB191" s="1"/>
    </row>
    <row r="192" spans="1:28" outlineLevel="1" x14ac:dyDescent="0.2">
      <c r="A192" s="197"/>
      <c r="B192" s="205"/>
      <c r="C192" s="23" t="s">
        <v>125</v>
      </c>
      <c r="D192" s="47">
        <f t="shared" ref="D192:J192" si="94">D194-D193</f>
        <v>0</v>
      </c>
      <c r="E192" s="47">
        <f t="shared" si="94"/>
        <v>0</v>
      </c>
      <c r="F192" s="47">
        <f t="shared" si="94"/>
        <v>0</v>
      </c>
      <c r="G192" s="47">
        <f t="shared" si="94"/>
        <v>0</v>
      </c>
      <c r="H192" s="47">
        <f t="shared" si="94"/>
        <v>0</v>
      </c>
      <c r="I192" s="47">
        <f t="shared" si="94"/>
        <v>0</v>
      </c>
      <c r="J192" s="47">
        <f t="shared" si="94"/>
        <v>0</v>
      </c>
      <c r="K192" s="197"/>
      <c r="L192" s="197"/>
      <c r="M192" s="197"/>
      <c r="N192" s="197"/>
      <c r="O192" s="223"/>
      <c r="P192" s="223"/>
      <c r="Q192" s="223"/>
      <c r="R192" s="223"/>
      <c r="S192" s="223"/>
      <c r="T192" s="223"/>
      <c r="U192" s="2"/>
      <c r="V192" s="2"/>
      <c r="W192" s="2"/>
      <c r="X192" s="2"/>
      <c r="Y192" s="2"/>
      <c r="Z192" s="2"/>
      <c r="AA192" s="10"/>
      <c r="AB192" s="2"/>
    </row>
    <row r="193" spans="1:28" outlineLevel="1" x14ac:dyDescent="0.2">
      <c r="A193" s="197"/>
      <c r="B193" s="205"/>
      <c r="C193" s="23" t="s">
        <v>126</v>
      </c>
      <c r="D193" s="47">
        <f t="shared" ref="D193:J193" si="95">IF($B186&lt;&gt;0,ROUND(D194*INDEX(ServiceSplitRPBS,$B186),0),0)</f>
        <v>0</v>
      </c>
      <c r="E193" s="47">
        <f t="shared" si="95"/>
        <v>0</v>
      </c>
      <c r="F193" s="47">
        <f t="shared" si="95"/>
        <v>0</v>
      </c>
      <c r="G193" s="47">
        <f t="shared" si="95"/>
        <v>0</v>
      </c>
      <c r="H193" s="47">
        <f t="shared" si="95"/>
        <v>0</v>
      </c>
      <c r="I193" s="47">
        <f t="shared" si="95"/>
        <v>0</v>
      </c>
      <c r="J193" s="47">
        <f t="shared" si="95"/>
        <v>0</v>
      </c>
      <c r="K193" s="197"/>
      <c r="L193" s="197"/>
      <c r="M193" s="197"/>
      <c r="N193" s="197"/>
      <c r="O193" s="223"/>
      <c r="P193" s="223"/>
      <c r="Q193" s="223"/>
      <c r="R193" s="223"/>
      <c r="S193" s="223"/>
      <c r="T193" s="223"/>
      <c r="U193" s="2"/>
      <c r="V193" s="2"/>
      <c r="W193" s="2"/>
      <c r="X193" s="2"/>
      <c r="Y193" s="2"/>
      <c r="Z193" s="2"/>
      <c r="AA193" s="10"/>
      <c r="AB193" s="2"/>
    </row>
    <row r="194" spans="1:28" outlineLevel="1" x14ac:dyDescent="0.2">
      <c r="A194" s="197"/>
      <c r="B194" s="205"/>
      <c r="C194" s="117" t="s">
        <v>918</v>
      </c>
      <c r="D194" s="50">
        <f t="shared" ref="D194:J194" si="96">IF(D188="","",D191*D190*D188)</f>
        <v>0</v>
      </c>
      <c r="E194" s="50">
        <f t="shared" si="96"/>
        <v>0</v>
      </c>
      <c r="F194" s="50">
        <f t="shared" si="96"/>
        <v>0</v>
      </c>
      <c r="G194" s="50">
        <f t="shared" si="96"/>
        <v>0</v>
      </c>
      <c r="H194" s="50">
        <f t="shared" si="96"/>
        <v>0</v>
      </c>
      <c r="I194" s="50">
        <f t="shared" si="96"/>
        <v>0</v>
      </c>
      <c r="J194" s="50">
        <f t="shared" si="96"/>
        <v>0</v>
      </c>
      <c r="K194" s="197"/>
      <c r="L194" s="197"/>
      <c r="M194" s="197"/>
      <c r="N194" s="197"/>
      <c r="O194" s="223"/>
      <c r="P194" s="223"/>
      <c r="Q194" s="223"/>
      <c r="R194" s="223"/>
      <c r="S194" s="223"/>
      <c r="T194" s="223"/>
      <c r="U194" s="2"/>
      <c r="V194" s="2"/>
      <c r="W194" s="2"/>
      <c r="X194" s="2"/>
      <c r="Y194" s="2"/>
      <c r="Z194" s="2"/>
      <c r="AA194" s="10"/>
      <c r="AB194" s="2"/>
    </row>
    <row r="195" spans="1:28" outlineLevel="1" x14ac:dyDescent="0.2">
      <c r="A195" s="6"/>
      <c r="B195" s="180"/>
      <c r="C195" s="6"/>
      <c r="D195" s="6"/>
      <c r="E195" s="6"/>
      <c r="F195" s="6"/>
      <c r="G195" s="6"/>
      <c r="H195" s="6"/>
      <c r="I195" s="6"/>
      <c r="J195" s="6"/>
      <c r="K195" s="6"/>
      <c r="L195" s="6"/>
      <c r="M195" s="6"/>
      <c r="N195" s="6"/>
      <c r="O195" s="224"/>
      <c r="P195" s="224"/>
      <c r="Q195" s="224"/>
      <c r="R195" s="224"/>
      <c r="S195" s="224"/>
      <c r="T195" s="224"/>
      <c r="U195" s="1"/>
      <c r="V195" s="1"/>
      <c r="W195" s="1"/>
      <c r="X195" s="1"/>
      <c r="Y195" s="1"/>
      <c r="Z195" s="1"/>
      <c r="AA195" s="571"/>
      <c r="AB195" s="1"/>
    </row>
    <row r="196" spans="1:28" x14ac:dyDescent="0.2">
      <c r="A196" s="6"/>
      <c r="B196" s="180"/>
      <c r="C196" s="6"/>
      <c r="D196" s="6"/>
      <c r="E196" s="6"/>
      <c r="F196" s="6"/>
      <c r="G196" s="6"/>
      <c r="H196" s="6"/>
      <c r="I196" s="6"/>
      <c r="J196" s="6"/>
      <c r="K196" s="6"/>
      <c r="L196" s="6"/>
      <c r="M196" s="6"/>
      <c r="N196" s="6"/>
      <c r="O196" s="224"/>
      <c r="P196" s="224"/>
      <c r="Q196" s="224"/>
      <c r="R196" s="224"/>
      <c r="S196" s="224"/>
      <c r="T196" s="224"/>
      <c r="U196" s="1"/>
      <c r="V196" s="1"/>
      <c r="W196" s="1"/>
      <c r="X196" s="1"/>
      <c r="Y196" s="1"/>
      <c r="Z196" s="1"/>
      <c r="AA196" s="571"/>
      <c r="AB196" s="1"/>
    </row>
    <row r="197" spans="1:28" ht="15" x14ac:dyDescent="0.2">
      <c r="A197" s="187"/>
      <c r="B197" s="422">
        <v>9</v>
      </c>
      <c r="C197" s="221" t="str">
        <f>IF($I$97&lt;&gt;"",MsgNotUsed,INDEX(NamesOverallChanged,B197))</f>
        <v>** NOT USED **</v>
      </c>
      <c r="D197" s="207"/>
      <c r="E197" s="207"/>
      <c r="F197" s="207"/>
      <c r="G197" s="207"/>
      <c r="H197" s="189"/>
      <c r="I197" s="782" t="str">
        <f>IF(C197&lt;&gt;MsgNotUsed,"Co-payment group " &amp; INDEX(CoPayBandMS,B197),"")</f>
        <v/>
      </c>
      <c r="J197" s="782"/>
      <c r="K197" s="207"/>
      <c r="L197" s="207"/>
      <c r="M197" s="207"/>
      <c r="N197" s="207"/>
      <c r="O197" s="225"/>
      <c r="P197" s="225"/>
      <c r="Q197" s="225"/>
      <c r="R197" s="225"/>
      <c r="S197" s="225"/>
      <c r="T197" s="225"/>
      <c r="U197" s="41"/>
      <c r="V197" s="41"/>
      <c r="W197" s="41"/>
      <c r="X197" s="41"/>
      <c r="Y197" s="41"/>
      <c r="Z197" s="41"/>
      <c r="AA197" s="41"/>
      <c r="AB197" s="41"/>
    </row>
    <row r="198" spans="1:28" ht="15.75" outlineLevel="1" x14ac:dyDescent="0.2">
      <c r="A198" s="192"/>
      <c r="B198" s="95">
        <f>INDEX(CoPayBandMS,B197)</f>
        <v>0</v>
      </c>
      <c r="C198" s="193"/>
      <c r="D198" s="192"/>
      <c r="E198" s="192"/>
      <c r="F198" s="192"/>
      <c r="G198" s="192"/>
      <c r="H198" s="192"/>
      <c r="I198" s="192"/>
      <c r="J198" s="192"/>
      <c r="K198" s="192"/>
      <c r="L198" s="192"/>
      <c r="M198" s="192"/>
      <c r="N198" s="192"/>
      <c r="O198" s="226"/>
      <c r="P198" s="226"/>
      <c r="Q198" s="226"/>
      <c r="R198" s="226"/>
      <c r="S198" s="226"/>
      <c r="T198" s="226"/>
      <c r="U198" s="3"/>
      <c r="V198" s="3"/>
      <c r="W198" s="3"/>
      <c r="X198" s="3"/>
      <c r="Y198" s="3"/>
      <c r="Z198" s="3"/>
      <c r="AA198" s="3"/>
      <c r="AB198" s="3"/>
    </row>
    <row r="199" spans="1:28" ht="14.25" customHeight="1" outlineLevel="1" x14ac:dyDescent="0.2">
      <c r="A199" s="6"/>
      <c r="B199" s="180"/>
      <c r="C199" s="15"/>
      <c r="D199" s="87">
        <f>E199-1</f>
        <v>-1</v>
      </c>
      <c r="E199" s="87">
        <f>FirstYear</f>
        <v>0</v>
      </c>
      <c r="F199" s="87">
        <f>E199+1</f>
        <v>1</v>
      </c>
      <c r="G199" s="87">
        <f>F199+1</f>
        <v>2</v>
      </c>
      <c r="H199" s="87">
        <f>G199+1</f>
        <v>3</v>
      </c>
      <c r="I199" s="87">
        <f>H199+1</f>
        <v>4</v>
      </c>
      <c r="J199" s="87">
        <f>I199+1</f>
        <v>5</v>
      </c>
      <c r="K199" s="6"/>
      <c r="L199" s="195"/>
      <c r="M199" s="6"/>
      <c r="N199" s="6"/>
      <c r="O199" s="224"/>
      <c r="P199" s="224"/>
      <c r="Q199" s="224"/>
      <c r="R199" s="224"/>
      <c r="S199" s="224"/>
      <c r="T199" s="224"/>
      <c r="U199" s="1"/>
      <c r="V199" s="1"/>
      <c r="W199" s="1"/>
      <c r="X199" s="1"/>
      <c r="Y199" s="1"/>
      <c r="Z199" s="1"/>
      <c r="AA199" s="571"/>
      <c r="AB199" s="1"/>
    </row>
    <row r="200" spans="1:28" outlineLevel="1" x14ac:dyDescent="0.2">
      <c r="A200" s="6"/>
      <c r="B200" s="180"/>
      <c r="C200" s="8" t="s">
        <v>132</v>
      </c>
      <c r="D200" s="53">
        <f>IF($I$97="",-R58,0)</f>
        <v>0</v>
      </c>
      <c r="E200" s="53">
        <f t="shared" ref="E200:J200" si="97">IF(D200="","",D200*(1+D201))</f>
        <v>0</v>
      </c>
      <c r="F200" s="53">
        <f t="shared" si="97"/>
        <v>0</v>
      </c>
      <c r="G200" s="53">
        <f t="shared" si="97"/>
        <v>0</v>
      </c>
      <c r="H200" s="53">
        <f t="shared" si="97"/>
        <v>0</v>
      </c>
      <c r="I200" s="53">
        <f t="shared" si="97"/>
        <v>0</v>
      </c>
      <c r="J200" s="53">
        <f t="shared" si="97"/>
        <v>0</v>
      </c>
      <c r="K200" s="6"/>
      <c r="L200" s="19" t="s">
        <v>292</v>
      </c>
      <c r="M200" s="6"/>
      <c r="N200" s="195"/>
      <c r="O200" s="224"/>
      <c r="P200" s="224"/>
      <c r="Q200" s="224"/>
      <c r="R200" s="224"/>
      <c r="S200" s="224"/>
      <c r="T200" s="224"/>
      <c r="U200" s="1"/>
      <c r="V200" s="1"/>
      <c r="W200" s="1"/>
      <c r="X200" s="1"/>
      <c r="Y200" s="1"/>
      <c r="Z200" s="1"/>
      <c r="AA200" s="571"/>
      <c r="AB200" s="1"/>
    </row>
    <row r="201" spans="1:28" outlineLevel="1" x14ac:dyDescent="0.2">
      <c r="A201" s="6"/>
      <c r="B201" s="180"/>
      <c r="C201" s="21" t="s">
        <v>27</v>
      </c>
      <c r="D201" s="76"/>
      <c r="E201" s="76"/>
      <c r="F201" s="76"/>
      <c r="G201" s="76"/>
      <c r="H201" s="76"/>
      <c r="I201" s="76"/>
      <c r="J201" s="48"/>
      <c r="K201" s="6"/>
      <c r="L201" s="783"/>
      <c r="M201" s="784"/>
      <c r="N201" s="784"/>
      <c r="O201" s="784"/>
      <c r="P201" s="784"/>
      <c r="Q201" s="784"/>
      <c r="R201" s="784"/>
      <c r="S201" s="784"/>
      <c r="T201" s="784"/>
      <c r="U201" s="1"/>
      <c r="V201" s="1"/>
      <c r="W201" s="1"/>
      <c r="X201" s="1"/>
      <c r="Y201" s="1"/>
      <c r="Z201" s="1"/>
      <c r="AA201" s="571"/>
      <c r="AB201" s="1"/>
    </row>
    <row r="202" spans="1:28" outlineLevel="1" x14ac:dyDescent="0.2">
      <c r="A202" s="6"/>
      <c r="B202" s="180"/>
      <c r="C202" s="21" t="s">
        <v>34</v>
      </c>
      <c r="D202" s="76"/>
      <c r="E202" s="76"/>
      <c r="F202" s="76"/>
      <c r="G202" s="76"/>
      <c r="H202" s="76"/>
      <c r="I202" s="76"/>
      <c r="J202" s="76"/>
      <c r="K202" s="6"/>
      <c r="L202" s="783"/>
      <c r="M202" s="784"/>
      <c r="N202" s="784"/>
      <c r="O202" s="784"/>
      <c r="P202" s="784"/>
      <c r="Q202" s="784"/>
      <c r="R202" s="784"/>
      <c r="S202" s="784"/>
      <c r="T202" s="784"/>
      <c r="U202" s="1"/>
      <c r="V202" s="1"/>
      <c r="W202" s="1"/>
      <c r="X202" s="1"/>
      <c r="Y202" s="1"/>
      <c r="Z202" s="1"/>
      <c r="AA202" s="571"/>
      <c r="AB202" s="1"/>
    </row>
    <row r="203" spans="1:28" outlineLevel="1" x14ac:dyDescent="0.2">
      <c r="A203" s="104"/>
      <c r="B203" s="180"/>
      <c r="C203" s="88" t="str">
        <f>"Proportion " &amp; IF(MarketImpact=0,"affected by","affected") &amp; " the proposed medicine"</f>
        <v>Proportion affected the proposed medicine</v>
      </c>
      <c r="D203" s="76"/>
      <c r="E203" s="76"/>
      <c r="F203" s="76"/>
      <c r="G203" s="76"/>
      <c r="H203" s="76"/>
      <c r="I203" s="76"/>
      <c r="J203" s="76"/>
      <c r="K203" s="6"/>
      <c r="L203" s="783"/>
      <c r="M203" s="784"/>
      <c r="N203" s="784"/>
      <c r="O203" s="784"/>
      <c r="P203" s="784"/>
      <c r="Q203" s="784"/>
      <c r="R203" s="784"/>
      <c r="S203" s="784"/>
      <c r="T203" s="784"/>
      <c r="U203" s="1"/>
      <c r="V203" s="1"/>
      <c r="W203" s="1"/>
      <c r="X203" s="1"/>
      <c r="Y203" s="1"/>
      <c r="Z203" s="1"/>
      <c r="AA203" s="571"/>
      <c r="AB203" s="1"/>
    </row>
    <row r="204" spans="1:28" outlineLevel="1" x14ac:dyDescent="0.2">
      <c r="A204" s="197"/>
      <c r="B204" s="205"/>
      <c r="C204" s="23" t="s">
        <v>125</v>
      </c>
      <c r="D204" s="47">
        <f t="shared" ref="D204:J204" si="98">D206-D205</f>
        <v>0</v>
      </c>
      <c r="E204" s="47">
        <f t="shared" si="98"/>
        <v>0</v>
      </c>
      <c r="F204" s="47">
        <f t="shared" si="98"/>
        <v>0</v>
      </c>
      <c r="G204" s="47">
        <f t="shared" si="98"/>
        <v>0</v>
      </c>
      <c r="H204" s="47">
        <f t="shared" si="98"/>
        <v>0</v>
      </c>
      <c r="I204" s="47">
        <f t="shared" si="98"/>
        <v>0</v>
      </c>
      <c r="J204" s="47">
        <f t="shared" si="98"/>
        <v>0</v>
      </c>
      <c r="K204" s="197"/>
      <c r="L204" s="197"/>
      <c r="M204" s="197"/>
      <c r="N204" s="197"/>
      <c r="O204" s="223"/>
      <c r="P204" s="223"/>
      <c r="Q204" s="223"/>
      <c r="R204" s="223"/>
      <c r="S204" s="223"/>
      <c r="T204" s="223"/>
      <c r="U204" s="2"/>
      <c r="V204" s="2"/>
      <c r="W204" s="2"/>
      <c r="X204" s="2"/>
      <c r="Y204" s="2"/>
      <c r="Z204" s="2"/>
      <c r="AA204" s="10"/>
      <c r="AB204" s="2"/>
    </row>
    <row r="205" spans="1:28" outlineLevel="1" x14ac:dyDescent="0.2">
      <c r="A205" s="197"/>
      <c r="B205" s="205"/>
      <c r="C205" s="23" t="s">
        <v>126</v>
      </c>
      <c r="D205" s="47">
        <f t="shared" ref="D205:J205" si="99">IF($B198&lt;&gt;0,ROUND(D206*INDEX(ServiceSplitRPBS,$B198),0),0)</f>
        <v>0</v>
      </c>
      <c r="E205" s="47">
        <f t="shared" si="99"/>
        <v>0</v>
      </c>
      <c r="F205" s="47">
        <f t="shared" si="99"/>
        <v>0</v>
      </c>
      <c r="G205" s="47">
        <f t="shared" si="99"/>
        <v>0</v>
      </c>
      <c r="H205" s="47">
        <f t="shared" si="99"/>
        <v>0</v>
      </c>
      <c r="I205" s="47">
        <f t="shared" si="99"/>
        <v>0</v>
      </c>
      <c r="J205" s="47">
        <f t="shared" si="99"/>
        <v>0</v>
      </c>
      <c r="K205" s="197"/>
      <c r="L205" s="197"/>
      <c r="M205" s="197"/>
      <c r="N205" s="197"/>
      <c r="O205" s="223"/>
      <c r="P205" s="223"/>
      <c r="Q205" s="223"/>
      <c r="R205" s="223"/>
      <c r="S205" s="223"/>
      <c r="T205" s="223"/>
      <c r="U205" s="2"/>
      <c r="V205" s="2"/>
      <c r="W205" s="2"/>
      <c r="X205" s="2"/>
      <c r="Y205" s="2"/>
      <c r="Z205" s="2"/>
      <c r="AA205" s="10"/>
      <c r="AB205" s="2"/>
    </row>
    <row r="206" spans="1:28" outlineLevel="1" x14ac:dyDescent="0.2">
      <c r="A206" s="197"/>
      <c r="B206" s="205"/>
      <c r="C206" s="117" t="s">
        <v>918</v>
      </c>
      <c r="D206" s="50">
        <f t="shared" ref="D206:J206" si="100">IF(D200="","",D203*D202*D200)</f>
        <v>0</v>
      </c>
      <c r="E206" s="50">
        <f t="shared" si="100"/>
        <v>0</v>
      </c>
      <c r="F206" s="50">
        <f t="shared" si="100"/>
        <v>0</v>
      </c>
      <c r="G206" s="50">
        <f t="shared" si="100"/>
        <v>0</v>
      </c>
      <c r="H206" s="50">
        <f t="shared" si="100"/>
        <v>0</v>
      </c>
      <c r="I206" s="50">
        <f t="shared" si="100"/>
        <v>0</v>
      </c>
      <c r="J206" s="50">
        <f t="shared" si="100"/>
        <v>0</v>
      </c>
      <c r="K206" s="197"/>
      <c r="L206" s="197"/>
      <c r="M206" s="197"/>
      <c r="N206" s="197"/>
      <c r="O206" s="223"/>
      <c r="P206" s="223"/>
      <c r="Q206" s="223"/>
      <c r="R206" s="223"/>
      <c r="S206" s="223"/>
      <c r="T206" s="223"/>
      <c r="U206" s="2"/>
      <c r="V206" s="2"/>
      <c r="W206" s="2"/>
      <c r="X206" s="2"/>
      <c r="Y206" s="2"/>
      <c r="Z206" s="2"/>
      <c r="AA206" s="10"/>
      <c r="AB206" s="2"/>
    </row>
    <row r="207" spans="1:28" outlineLevel="1" x14ac:dyDescent="0.2">
      <c r="A207" s="6"/>
      <c r="B207" s="180"/>
      <c r="C207" s="6"/>
      <c r="D207" s="6"/>
      <c r="E207" s="6"/>
      <c r="F207" s="6"/>
      <c r="G207" s="6"/>
      <c r="H207" s="6"/>
      <c r="I207" s="6"/>
      <c r="J207" s="6"/>
      <c r="K207" s="6"/>
      <c r="L207" s="6"/>
      <c r="M207" s="6"/>
      <c r="N207" s="6"/>
      <c r="O207" s="224"/>
      <c r="P207" s="224"/>
      <c r="Q207" s="224"/>
      <c r="R207" s="224"/>
      <c r="S207" s="224"/>
      <c r="T207" s="224"/>
      <c r="U207" s="1"/>
      <c r="V207" s="1"/>
      <c r="W207" s="1"/>
      <c r="X207" s="1"/>
      <c r="Y207" s="1"/>
      <c r="Z207" s="1"/>
      <c r="AA207" s="571"/>
      <c r="AB207" s="1"/>
    </row>
    <row r="208" spans="1:28" x14ac:dyDescent="0.2">
      <c r="A208" s="6"/>
      <c r="B208" s="180"/>
      <c r="C208" s="6"/>
      <c r="D208" s="6"/>
      <c r="E208" s="6"/>
      <c r="F208" s="6"/>
      <c r="G208" s="6"/>
      <c r="H208" s="6"/>
      <c r="I208" s="6"/>
      <c r="J208" s="6"/>
      <c r="K208" s="6"/>
      <c r="L208" s="6"/>
      <c r="M208" s="6"/>
      <c r="N208" s="6"/>
      <c r="O208" s="224"/>
      <c r="P208" s="224"/>
      <c r="Q208" s="224"/>
      <c r="R208" s="224"/>
      <c r="S208" s="224"/>
      <c r="T208" s="224"/>
      <c r="U208" s="1"/>
      <c r="V208" s="1"/>
      <c r="W208" s="1"/>
      <c r="X208" s="1"/>
      <c r="Y208" s="1"/>
      <c r="Z208" s="1"/>
      <c r="AA208" s="571"/>
      <c r="AB208" s="1"/>
    </row>
    <row r="209" spans="1:28" ht="15" x14ac:dyDescent="0.2">
      <c r="A209" s="187"/>
      <c r="B209" s="422">
        <v>10</v>
      </c>
      <c r="C209" s="221" t="str">
        <f>IF($I$97&lt;&gt;"",MsgNotUsed,INDEX(NamesOverallChanged,B209))</f>
        <v>** NOT USED **</v>
      </c>
      <c r="D209" s="207"/>
      <c r="E209" s="207"/>
      <c r="F209" s="207"/>
      <c r="G209" s="207"/>
      <c r="H209" s="189"/>
      <c r="I209" s="782" t="str">
        <f>IF(C209&lt;&gt;MsgNotUsed,"Co-payment group " &amp; INDEX(CoPayBandMS,B209),"")</f>
        <v/>
      </c>
      <c r="J209" s="782"/>
      <c r="K209" s="207"/>
      <c r="L209" s="207"/>
      <c r="M209" s="207"/>
      <c r="N209" s="207"/>
      <c r="O209" s="225"/>
      <c r="P209" s="225"/>
      <c r="Q209" s="225"/>
      <c r="R209" s="225"/>
      <c r="S209" s="225"/>
      <c r="T209" s="225"/>
      <c r="U209" s="41"/>
      <c r="V209" s="41"/>
      <c r="W209" s="41"/>
      <c r="X209" s="41"/>
      <c r="Y209" s="41"/>
      <c r="Z209" s="41"/>
      <c r="AA209" s="41"/>
      <c r="AB209" s="41"/>
    </row>
    <row r="210" spans="1:28" ht="15.75" outlineLevel="1" x14ac:dyDescent="0.2">
      <c r="A210" s="192"/>
      <c r="B210" s="95">
        <f>INDEX(CoPayBandMS,B209)</f>
        <v>0</v>
      </c>
      <c r="C210" s="193"/>
      <c r="D210" s="192"/>
      <c r="E210" s="192"/>
      <c r="F210" s="192"/>
      <c r="G210" s="192"/>
      <c r="H210" s="192"/>
      <c r="I210" s="192"/>
      <c r="J210" s="192"/>
      <c r="K210" s="192"/>
      <c r="L210" s="192"/>
      <c r="M210" s="192"/>
      <c r="N210" s="192"/>
      <c r="O210" s="226"/>
      <c r="P210" s="226"/>
      <c r="Q210" s="226"/>
      <c r="R210" s="226"/>
      <c r="S210" s="226"/>
      <c r="T210" s="226"/>
      <c r="U210" s="3"/>
      <c r="V210" s="3"/>
      <c r="W210" s="3"/>
      <c r="X210" s="3"/>
      <c r="Y210" s="3"/>
      <c r="Z210" s="3"/>
      <c r="AA210" s="3"/>
      <c r="AB210" s="3"/>
    </row>
    <row r="211" spans="1:28" ht="14.25" customHeight="1" outlineLevel="1" x14ac:dyDescent="0.2">
      <c r="A211" s="6"/>
      <c r="B211" s="6"/>
      <c r="C211" s="15"/>
      <c r="D211" s="87">
        <f>E211-1</f>
        <v>-1</v>
      </c>
      <c r="E211" s="87">
        <f>FirstYear</f>
        <v>0</v>
      </c>
      <c r="F211" s="87">
        <f>E211+1</f>
        <v>1</v>
      </c>
      <c r="G211" s="87">
        <f>F211+1</f>
        <v>2</v>
      </c>
      <c r="H211" s="87">
        <f>G211+1</f>
        <v>3</v>
      </c>
      <c r="I211" s="87">
        <f>H211+1</f>
        <v>4</v>
      </c>
      <c r="J211" s="87">
        <f>I211+1</f>
        <v>5</v>
      </c>
      <c r="K211" s="6"/>
      <c r="L211" s="195"/>
      <c r="M211" s="6"/>
      <c r="N211" s="6"/>
      <c r="O211" s="224"/>
      <c r="P211" s="224"/>
      <c r="Q211" s="224"/>
      <c r="R211" s="224"/>
      <c r="S211" s="224"/>
      <c r="T211" s="224"/>
      <c r="U211" s="1"/>
      <c r="V211" s="1"/>
      <c r="W211" s="1"/>
      <c r="X211" s="1"/>
      <c r="Y211" s="1"/>
      <c r="Z211" s="1"/>
      <c r="AA211" s="571"/>
      <c r="AB211" s="1"/>
    </row>
    <row r="212" spans="1:28" outlineLevel="1" x14ac:dyDescent="0.2">
      <c r="A212" s="6"/>
      <c r="B212" s="6"/>
      <c r="C212" s="8" t="s">
        <v>132</v>
      </c>
      <c r="D212" s="53">
        <f>IF($I$97="",-R59,0)</f>
        <v>0</v>
      </c>
      <c r="E212" s="53">
        <f t="shared" ref="E212:J212" si="101">IF(D212="","",D212*(1+D213))</f>
        <v>0</v>
      </c>
      <c r="F212" s="53">
        <f t="shared" si="101"/>
        <v>0</v>
      </c>
      <c r="G212" s="53">
        <f t="shared" si="101"/>
        <v>0</v>
      </c>
      <c r="H212" s="53">
        <f t="shared" si="101"/>
        <v>0</v>
      </c>
      <c r="I212" s="53">
        <f t="shared" si="101"/>
        <v>0</v>
      </c>
      <c r="J212" s="53">
        <f t="shared" si="101"/>
        <v>0</v>
      </c>
      <c r="K212" s="6"/>
      <c r="L212" s="19" t="s">
        <v>292</v>
      </c>
      <c r="M212" s="6"/>
      <c r="N212" s="195"/>
      <c r="O212" s="227"/>
      <c r="P212" s="224"/>
      <c r="Q212" s="224"/>
      <c r="R212" s="224"/>
      <c r="S212" s="224"/>
      <c r="T212" s="224"/>
      <c r="U212" s="1"/>
      <c r="V212" s="1"/>
      <c r="W212" s="1"/>
      <c r="X212" s="1"/>
      <c r="Y212" s="1"/>
      <c r="Z212" s="1"/>
      <c r="AA212" s="571"/>
      <c r="AB212" s="1"/>
    </row>
    <row r="213" spans="1:28" outlineLevel="1" x14ac:dyDescent="0.2">
      <c r="A213" s="6"/>
      <c r="B213" s="6"/>
      <c r="C213" s="21" t="s">
        <v>27</v>
      </c>
      <c r="D213" s="76"/>
      <c r="E213" s="76"/>
      <c r="F213" s="76"/>
      <c r="G213" s="76"/>
      <c r="H213" s="76"/>
      <c r="I213" s="76"/>
      <c r="J213" s="48"/>
      <c r="K213" s="6"/>
      <c r="L213" s="783"/>
      <c r="M213" s="784"/>
      <c r="N213" s="784"/>
      <c r="O213" s="784"/>
      <c r="P213" s="784"/>
      <c r="Q213" s="784"/>
      <c r="R213" s="784"/>
      <c r="S213" s="784"/>
      <c r="T213" s="784"/>
      <c r="U213" s="1"/>
      <c r="V213" s="1"/>
      <c r="W213" s="1"/>
      <c r="X213" s="1"/>
      <c r="Y213" s="1"/>
      <c r="Z213" s="1"/>
      <c r="AA213" s="571"/>
      <c r="AB213" s="1"/>
    </row>
    <row r="214" spans="1:28" outlineLevel="1" x14ac:dyDescent="0.2">
      <c r="A214" s="6"/>
      <c r="B214" s="6"/>
      <c r="C214" s="21" t="s">
        <v>34</v>
      </c>
      <c r="D214" s="76"/>
      <c r="E214" s="76"/>
      <c r="F214" s="76"/>
      <c r="G214" s="76"/>
      <c r="H214" s="76"/>
      <c r="I214" s="76"/>
      <c r="J214" s="76"/>
      <c r="K214" s="6"/>
      <c r="L214" s="783"/>
      <c r="M214" s="784"/>
      <c r="N214" s="784"/>
      <c r="O214" s="784"/>
      <c r="P214" s="784"/>
      <c r="Q214" s="784"/>
      <c r="R214" s="784"/>
      <c r="S214" s="784"/>
      <c r="T214" s="784"/>
      <c r="U214" s="1"/>
      <c r="V214" s="1"/>
      <c r="W214" s="1"/>
      <c r="X214" s="1"/>
      <c r="Y214" s="1"/>
      <c r="Z214" s="1"/>
      <c r="AA214" s="571"/>
      <c r="AB214" s="1"/>
    </row>
    <row r="215" spans="1:28" outlineLevel="1" x14ac:dyDescent="0.2">
      <c r="A215" s="104"/>
      <c r="B215" s="180"/>
      <c r="C215" s="88" t="str">
        <f>"Proportion " &amp; IF(MarketImpact=0,"affected by","affected") &amp; " the proposed medicine"</f>
        <v>Proportion affected the proposed medicine</v>
      </c>
      <c r="D215" s="76"/>
      <c r="E215" s="76"/>
      <c r="F215" s="76"/>
      <c r="G215" s="76"/>
      <c r="H215" s="76"/>
      <c r="I215" s="76"/>
      <c r="J215" s="76"/>
      <c r="K215" s="6"/>
      <c r="L215" s="783"/>
      <c r="M215" s="784"/>
      <c r="N215" s="784"/>
      <c r="O215" s="784"/>
      <c r="P215" s="784"/>
      <c r="Q215" s="784"/>
      <c r="R215" s="784"/>
      <c r="S215" s="784"/>
      <c r="T215" s="784"/>
      <c r="U215" s="1"/>
      <c r="V215" s="1"/>
      <c r="W215" s="1"/>
      <c r="X215" s="1"/>
      <c r="Y215" s="1"/>
      <c r="Z215" s="1"/>
      <c r="AA215" s="571"/>
      <c r="AB215" s="1"/>
    </row>
    <row r="216" spans="1:28" outlineLevel="1" x14ac:dyDescent="0.2">
      <c r="A216" s="197"/>
      <c r="B216" s="197"/>
      <c r="C216" s="23" t="s">
        <v>125</v>
      </c>
      <c r="D216" s="47">
        <f t="shared" ref="D216:J216" si="102">D218-D217</f>
        <v>0</v>
      </c>
      <c r="E216" s="47">
        <f t="shared" si="102"/>
        <v>0</v>
      </c>
      <c r="F216" s="47">
        <f t="shared" si="102"/>
        <v>0</v>
      </c>
      <c r="G216" s="47">
        <f t="shared" si="102"/>
        <v>0</v>
      </c>
      <c r="H216" s="47">
        <f t="shared" si="102"/>
        <v>0</v>
      </c>
      <c r="I216" s="47">
        <f t="shared" si="102"/>
        <v>0</v>
      </c>
      <c r="J216" s="47">
        <f t="shared" si="102"/>
        <v>0</v>
      </c>
      <c r="K216" s="197"/>
      <c r="L216" s="197"/>
      <c r="M216" s="197"/>
      <c r="N216" s="197"/>
      <c r="O216" s="223"/>
      <c r="P216" s="223"/>
      <c r="Q216" s="223"/>
      <c r="R216" s="223"/>
      <c r="S216" s="223"/>
      <c r="T216" s="223"/>
      <c r="U216" s="2"/>
      <c r="V216" s="2"/>
      <c r="W216" s="2"/>
      <c r="X216" s="2"/>
      <c r="Y216" s="2"/>
      <c r="Z216" s="2"/>
      <c r="AA216" s="10"/>
      <c r="AB216" s="2"/>
    </row>
    <row r="217" spans="1:28" outlineLevel="1" x14ac:dyDescent="0.2">
      <c r="A217" s="197"/>
      <c r="B217" s="197"/>
      <c r="C217" s="23" t="s">
        <v>126</v>
      </c>
      <c r="D217" s="47">
        <f t="shared" ref="D217:J217" si="103">IF($B210&lt;&gt;0,ROUND(D218*INDEX(ServiceSplitRPBS,$B210),0),0)</f>
        <v>0</v>
      </c>
      <c r="E217" s="47">
        <f t="shared" si="103"/>
        <v>0</v>
      </c>
      <c r="F217" s="47">
        <f t="shared" si="103"/>
        <v>0</v>
      </c>
      <c r="G217" s="47">
        <f t="shared" si="103"/>
        <v>0</v>
      </c>
      <c r="H217" s="47">
        <f t="shared" si="103"/>
        <v>0</v>
      </c>
      <c r="I217" s="47">
        <f t="shared" si="103"/>
        <v>0</v>
      </c>
      <c r="J217" s="47">
        <f t="shared" si="103"/>
        <v>0</v>
      </c>
      <c r="K217" s="197"/>
      <c r="L217" s="197"/>
      <c r="M217" s="197"/>
      <c r="N217" s="197"/>
      <c r="O217" s="223"/>
      <c r="P217" s="223"/>
      <c r="Q217" s="223"/>
      <c r="R217" s="223"/>
      <c r="S217" s="223"/>
      <c r="T217" s="223"/>
      <c r="U217" s="2"/>
      <c r="V217" s="2"/>
      <c r="W217" s="2"/>
      <c r="X217" s="2"/>
      <c r="Y217" s="2"/>
      <c r="Z217" s="2"/>
      <c r="AA217" s="10"/>
      <c r="AB217" s="2"/>
    </row>
    <row r="218" spans="1:28" outlineLevel="1" x14ac:dyDescent="0.2">
      <c r="A218" s="197"/>
      <c r="B218" s="197"/>
      <c r="C218" s="117" t="s">
        <v>918</v>
      </c>
      <c r="D218" s="50">
        <f t="shared" ref="D218:J218" si="104">IF(D212="","",D215*D214*D212)</f>
        <v>0</v>
      </c>
      <c r="E218" s="50">
        <f t="shared" si="104"/>
        <v>0</v>
      </c>
      <c r="F218" s="50">
        <f t="shared" si="104"/>
        <v>0</v>
      </c>
      <c r="G218" s="50">
        <f t="shared" si="104"/>
        <v>0</v>
      </c>
      <c r="H218" s="50">
        <f t="shared" si="104"/>
        <v>0</v>
      </c>
      <c r="I218" s="50">
        <f t="shared" si="104"/>
        <v>0</v>
      </c>
      <c r="J218" s="50">
        <f t="shared" si="104"/>
        <v>0</v>
      </c>
      <c r="K218" s="197"/>
      <c r="L218" s="197"/>
      <c r="M218" s="197"/>
      <c r="N218" s="197"/>
      <c r="O218" s="223"/>
      <c r="P218" s="223"/>
      <c r="Q218" s="223"/>
      <c r="R218" s="223"/>
      <c r="S218" s="223"/>
      <c r="T218" s="223"/>
      <c r="U218" s="2"/>
      <c r="V218" s="2"/>
      <c r="W218" s="2"/>
      <c r="X218" s="2"/>
      <c r="Y218" s="2"/>
      <c r="Z218" s="2"/>
      <c r="AA218" s="10"/>
      <c r="AB218" s="2"/>
    </row>
    <row r="219" spans="1:28" outlineLevel="1" x14ac:dyDescent="0.2">
      <c r="A219" s="6"/>
      <c r="B219" s="6"/>
      <c r="C219" s="130"/>
      <c r="D219" s="6"/>
      <c r="E219" s="6"/>
      <c r="F219" s="6"/>
      <c r="G219" s="6"/>
      <c r="H219" s="6"/>
      <c r="I219" s="6"/>
      <c r="J219" s="6"/>
      <c r="K219" s="6"/>
      <c r="L219" s="6"/>
      <c r="M219" s="6"/>
      <c r="N219" s="6"/>
      <c r="O219" s="224"/>
      <c r="P219" s="224"/>
      <c r="Q219" s="224"/>
      <c r="R219" s="224"/>
      <c r="S219" s="224"/>
      <c r="T219" s="224"/>
      <c r="U219" s="1"/>
      <c r="V219" s="1"/>
      <c r="W219" s="1"/>
      <c r="X219" s="1"/>
      <c r="Y219" s="1"/>
      <c r="Z219" s="1"/>
      <c r="AA219" s="571"/>
      <c r="AB219" s="1"/>
    </row>
    <row r="220" spans="1:28" x14ac:dyDescent="0.2">
      <c r="A220" s="6"/>
      <c r="B220" s="6"/>
      <c r="C220" s="6"/>
      <c r="D220" s="6"/>
      <c r="E220" s="6"/>
      <c r="F220" s="6"/>
      <c r="G220" s="6"/>
      <c r="H220" s="6"/>
      <c r="I220" s="6"/>
      <c r="J220" s="6"/>
      <c r="K220" s="6"/>
      <c r="L220" s="6"/>
      <c r="M220" s="6"/>
      <c r="N220" s="6"/>
      <c r="O220" s="224"/>
      <c r="P220" s="224"/>
      <c r="Q220" s="224"/>
      <c r="R220" s="224"/>
      <c r="S220" s="224"/>
      <c r="T220" s="224"/>
      <c r="U220" s="1"/>
      <c r="V220" s="1"/>
      <c r="W220" s="1"/>
      <c r="X220" s="1"/>
      <c r="Y220" s="1"/>
      <c r="Z220" s="1"/>
      <c r="AA220" s="571"/>
      <c r="AB220" s="1"/>
    </row>
    <row r="221" spans="1:28" ht="15" x14ac:dyDescent="0.2">
      <c r="A221" s="187"/>
      <c r="B221" s="422">
        <v>11</v>
      </c>
      <c r="C221" s="221" t="str">
        <f>IF($I$97&lt;&gt;"",MsgNotUsed,INDEX(NamesOverallChanged,B221))</f>
        <v>** NOT USED **</v>
      </c>
      <c r="D221" s="207"/>
      <c r="E221" s="207"/>
      <c r="F221" s="207"/>
      <c r="G221" s="207"/>
      <c r="H221" s="189"/>
      <c r="I221" s="782" t="str">
        <f>IF(C221&lt;&gt;MsgNotUsed,"Co-payment group " &amp; INDEX(CoPayBandMS,B221),"")</f>
        <v/>
      </c>
      <c r="J221" s="782"/>
      <c r="K221" s="207"/>
      <c r="L221" s="207"/>
      <c r="M221" s="207"/>
      <c r="N221" s="207"/>
      <c r="O221" s="225"/>
      <c r="P221" s="225"/>
      <c r="Q221" s="225"/>
      <c r="R221" s="225"/>
      <c r="S221" s="225"/>
      <c r="T221" s="225"/>
      <c r="U221" s="41"/>
      <c r="V221" s="41"/>
      <c r="W221" s="41"/>
      <c r="X221" s="41"/>
      <c r="Y221" s="41"/>
      <c r="Z221" s="41"/>
      <c r="AA221" s="41"/>
      <c r="AB221" s="41"/>
    </row>
    <row r="222" spans="1:28" ht="15.75" outlineLevel="1" x14ac:dyDescent="0.2">
      <c r="A222" s="192"/>
      <c r="B222" s="95">
        <f>INDEX(CoPayBandMS,B221)</f>
        <v>0</v>
      </c>
      <c r="C222" s="193"/>
      <c r="D222" s="192"/>
      <c r="E222" s="192"/>
      <c r="F222" s="192"/>
      <c r="G222" s="192"/>
      <c r="H222" s="192"/>
      <c r="I222" s="192"/>
      <c r="J222" s="192"/>
      <c r="K222" s="192"/>
      <c r="L222" s="192"/>
      <c r="M222" s="192"/>
      <c r="N222" s="192"/>
      <c r="O222" s="226"/>
      <c r="P222" s="226"/>
      <c r="Q222" s="226"/>
      <c r="R222" s="226"/>
      <c r="S222" s="226"/>
      <c r="T222" s="226"/>
      <c r="U222" s="3"/>
      <c r="V222" s="3"/>
      <c r="W222" s="3"/>
      <c r="X222" s="3"/>
      <c r="Y222" s="3"/>
      <c r="Z222" s="3"/>
      <c r="AA222" s="3"/>
      <c r="AB222" s="3"/>
    </row>
    <row r="223" spans="1:28" ht="14.25" customHeight="1" outlineLevel="1" x14ac:dyDescent="0.2">
      <c r="A223" s="220"/>
      <c r="B223" s="220"/>
      <c r="C223" s="15"/>
      <c r="D223" s="87">
        <f>E223-1</f>
        <v>-1</v>
      </c>
      <c r="E223" s="87">
        <f>FirstYear</f>
        <v>0</v>
      </c>
      <c r="F223" s="87">
        <f>E223+1</f>
        <v>1</v>
      </c>
      <c r="G223" s="87">
        <f>F223+1</f>
        <v>2</v>
      </c>
      <c r="H223" s="87">
        <f>G223+1</f>
        <v>3</v>
      </c>
      <c r="I223" s="87">
        <f>H223+1</f>
        <v>4</v>
      </c>
      <c r="J223" s="87">
        <f>I223+1</f>
        <v>5</v>
      </c>
      <c r="K223" s="220"/>
      <c r="L223" s="195"/>
      <c r="M223" s="220"/>
      <c r="N223" s="220"/>
      <c r="O223" s="224"/>
      <c r="P223" s="224"/>
      <c r="Q223" s="224"/>
      <c r="R223" s="224"/>
      <c r="S223" s="224"/>
      <c r="T223" s="224"/>
      <c r="U223" s="4"/>
      <c r="V223" s="4"/>
      <c r="W223" s="4"/>
      <c r="X223" s="4"/>
      <c r="Y223" s="4"/>
      <c r="Z223" s="4"/>
      <c r="AA223" s="571"/>
      <c r="AB223" s="4"/>
    </row>
    <row r="224" spans="1:28" outlineLevel="1" x14ac:dyDescent="0.2">
      <c r="A224" s="220"/>
      <c r="B224" s="220"/>
      <c r="C224" s="8" t="s">
        <v>132</v>
      </c>
      <c r="D224" s="53">
        <f>IF($I$97="",-R60,0)</f>
        <v>0</v>
      </c>
      <c r="E224" s="53">
        <f t="shared" ref="E224" si="105">IF(D224="","",D224*(1+D225))</f>
        <v>0</v>
      </c>
      <c r="F224" s="53">
        <f t="shared" ref="F224" si="106">IF(E224="","",E224*(1+E225))</f>
        <v>0</v>
      </c>
      <c r="G224" s="53">
        <f t="shared" ref="G224" si="107">IF(F224="","",F224*(1+F225))</f>
        <v>0</v>
      </c>
      <c r="H224" s="53">
        <f t="shared" ref="H224" si="108">IF(G224="","",G224*(1+G225))</f>
        <v>0</v>
      </c>
      <c r="I224" s="53">
        <f t="shared" ref="I224" si="109">IF(H224="","",H224*(1+H225))</f>
        <v>0</v>
      </c>
      <c r="J224" s="53">
        <f t="shared" ref="J224" si="110">IF(I224="","",I224*(1+I225))</f>
        <v>0</v>
      </c>
      <c r="K224" s="220"/>
      <c r="L224" s="19" t="s">
        <v>292</v>
      </c>
      <c r="M224" s="220"/>
      <c r="N224" s="195"/>
      <c r="O224" s="227"/>
      <c r="P224" s="224"/>
      <c r="Q224" s="224"/>
      <c r="R224" s="224"/>
      <c r="S224" s="224"/>
      <c r="T224" s="224"/>
      <c r="U224" s="4"/>
      <c r="V224" s="4"/>
      <c r="W224" s="4"/>
      <c r="X224" s="4"/>
      <c r="Y224" s="4"/>
      <c r="Z224" s="4"/>
      <c r="AA224" s="571"/>
      <c r="AB224" s="4"/>
    </row>
    <row r="225" spans="1:28" outlineLevel="1" x14ac:dyDescent="0.2">
      <c r="A225" s="220"/>
      <c r="B225" s="220"/>
      <c r="C225" s="21" t="s">
        <v>27</v>
      </c>
      <c r="D225" s="76"/>
      <c r="E225" s="76"/>
      <c r="F225" s="76"/>
      <c r="G225" s="76"/>
      <c r="H225" s="76"/>
      <c r="I225" s="76"/>
      <c r="J225" s="48"/>
      <c r="K225" s="220"/>
      <c r="L225" s="783"/>
      <c r="M225" s="784"/>
      <c r="N225" s="784"/>
      <c r="O225" s="784"/>
      <c r="P225" s="784"/>
      <c r="Q225" s="784"/>
      <c r="R225" s="784"/>
      <c r="S225" s="784"/>
      <c r="T225" s="784"/>
      <c r="U225" s="4"/>
      <c r="V225" s="4"/>
      <c r="W225" s="4"/>
      <c r="X225" s="4"/>
      <c r="Y225" s="4"/>
      <c r="Z225" s="4"/>
      <c r="AA225" s="571"/>
      <c r="AB225" s="4"/>
    </row>
    <row r="226" spans="1:28" outlineLevel="1" x14ac:dyDescent="0.2">
      <c r="A226" s="220"/>
      <c r="B226" s="220"/>
      <c r="C226" s="21" t="s">
        <v>34</v>
      </c>
      <c r="D226" s="76"/>
      <c r="E226" s="76"/>
      <c r="F226" s="76"/>
      <c r="G226" s="76"/>
      <c r="H226" s="76"/>
      <c r="I226" s="76"/>
      <c r="J226" s="76"/>
      <c r="K226" s="220"/>
      <c r="L226" s="783"/>
      <c r="M226" s="784"/>
      <c r="N226" s="784"/>
      <c r="O226" s="784"/>
      <c r="P226" s="784"/>
      <c r="Q226" s="784"/>
      <c r="R226" s="784"/>
      <c r="S226" s="784"/>
      <c r="T226" s="784"/>
      <c r="U226" s="4"/>
      <c r="V226" s="4"/>
      <c r="W226" s="4"/>
      <c r="X226" s="4"/>
      <c r="Y226" s="4"/>
      <c r="Z226" s="4"/>
      <c r="AA226" s="571"/>
      <c r="AB226" s="4"/>
    </row>
    <row r="227" spans="1:28" outlineLevel="1" x14ac:dyDescent="0.2">
      <c r="A227" s="247"/>
      <c r="B227" s="180"/>
      <c r="C227" s="88" t="str">
        <f>"Proportion " &amp; IF(MarketImpact=0,"affected by","affected") &amp; " the proposed medicine"</f>
        <v>Proportion affected the proposed medicine</v>
      </c>
      <c r="D227" s="76"/>
      <c r="E227" s="76"/>
      <c r="F227" s="76"/>
      <c r="G227" s="76"/>
      <c r="H227" s="76"/>
      <c r="I227" s="76"/>
      <c r="J227" s="76"/>
      <c r="K227" s="220"/>
      <c r="L227" s="783"/>
      <c r="M227" s="784"/>
      <c r="N227" s="784"/>
      <c r="O227" s="784"/>
      <c r="P227" s="784"/>
      <c r="Q227" s="784"/>
      <c r="R227" s="784"/>
      <c r="S227" s="784"/>
      <c r="T227" s="784"/>
      <c r="U227" s="4"/>
      <c r="V227" s="4"/>
      <c r="W227" s="4"/>
      <c r="X227" s="4"/>
      <c r="Y227" s="4"/>
      <c r="Z227" s="4"/>
      <c r="AA227" s="571"/>
      <c r="AB227" s="4"/>
    </row>
    <row r="228" spans="1:28" outlineLevel="1" x14ac:dyDescent="0.2">
      <c r="A228" s="264"/>
      <c r="B228" s="264"/>
      <c r="C228" s="23" t="s">
        <v>125</v>
      </c>
      <c r="D228" s="47">
        <f t="shared" ref="D228:J228" si="111">D230-D229</f>
        <v>0</v>
      </c>
      <c r="E228" s="47">
        <f t="shared" si="111"/>
        <v>0</v>
      </c>
      <c r="F228" s="47">
        <f t="shared" si="111"/>
        <v>0</v>
      </c>
      <c r="G228" s="47">
        <f t="shared" si="111"/>
        <v>0</v>
      </c>
      <c r="H228" s="47">
        <f t="shared" si="111"/>
        <v>0</v>
      </c>
      <c r="I228" s="47">
        <f t="shared" si="111"/>
        <v>0</v>
      </c>
      <c r="J228" s="47">
        <f t="shared" si="111"/>
        <v>0</v>
      </c>
      <c r="K228" s="264"/>
      <c r="L228" s="264"/>
      <c r="M228" s="264"/>
      <c r="N228" s="264"/>
      <c r="O228" s="223"/>
      <c r="P228" s="223"/>
      <c r="Q228" s="223"/>
      <c r="R228" s="223"/>
      <c r="S228" s="223"/>
      <c r="T228" s="223"/>
      <c r="U228" s="10"/>
      <c r="V228" s="10"/>
      <c r="W228" s="10"/>
      <c r="X228" s="10"/>
      <c r="Y228" s="10"/>
      <c r="Z228" s="10"/>
      <c r="AA228" s="10"/>
      <c r="AB228" s="10"/>
    </row>
    <row r="229" spans="1:28" outlineLevel="1" x14ac:dyDescent="0.2">
      <c r="A229" s="264"/>
      <c r="B229" s="264"/>
      <c r="C229" s="23" t="s">
        <v>126</v>
      </c>
      <c r="D229" s="47">
        <f t="shared" ref="D229:J229" si="112">IF($B222&lt;&gt;0,ROUND(D230*INDEX(ServiceSplitRPBS,$B222),0),0)</f>
        <v>0</v>
      </c>
      <c r="E229" s="47">
        <f t="shared" si="112"/>
        <v>0</v>
      </c>
      <c r="F229" s="47">
        <f t="shared" si="112"/>
        <v>0</v>
      </c>
      <c r="G229" s="47">
        <f t="shared" si="112"/>
        <v>0</v>
      </c>
      <c r="H229" s="47">
        <f t="shared" si="112"/>
        <v>0</v>
      </c>
      <c r="I229" s="47">
        <f t="shared" si="112"/>
        <v>0</v>
      </c>
      <c r="J229" s="47">
        <f t="shared" si="112"/>
        <v>0</v>
      </c>
      <c r="K229" s="264"/>
      <c r="L229" s="264"/>
      <c r="M229" s="264"/>
      <c r="N229" s="264"/>
      <c r="O229" s="223"/>
      <c r="P229" s="223"/>
      <c r="Q229" s="223"/>
      <c r="R229" s="223"/>
      <c r="S229" s="223"/>
      <c r="T229" s="223"/>
      <c r="U229" s="10"/>
      <c r="V229" s="10"/>
      <c r="W229" s="10"/>
      <c r="X229" s="10"/>
      <c r="Y229" s="10"/>
      <c r="Z229" s="10"/>
      <c r="AA229" s="10"/>
      <c r="AB229" s="10"/>
    </row>
    <row r="230" spans="1:28" outlineLevel="1" x14ac:dyDescent="0.2">
      <c r="A230" s="264"/>
      <c r="B230" s="264"/>
      <c r="C230" s="409" t="s">
        <v>918</v>
      </c>
      <c r="D230" s="50">
        <f t="shared" ref="D230:J230" si="113">IF(D224="","",D227*D226*D224)</f>
        <v>0</v>
      </c>
      <c r="E230" s="50">
        <f t="shared" si="113"/>
        <v>0</v>
      </c>
      <c r="F230" s="50">
        <f t="shared" si="113"/>
        <v>0</v>
      </c>
      <c r="G230" s="50">
        <f t="shared" si="113"/>
        <v>0</v>
      </c>
      <c r="H230" s="50">
        <f t="shared" si="113"/>
        <v>0</v>
      </c>
      <c r="I230" s="50">
        <f t="shared" si="113"/>
        <v>0</v>
      </c>
      <c r="J230" s="50">
        <f t="shared" si="113"/>
        <v>0</v>
      </c>
      <c r="K230" s="264"/>
      <c r="L230" s="264"/>
      <c r="M230" s="264"/>
      <c r="N230" s="264"/>
      <c r="O230" s="223"/>
      <c r="P230" s="223"/>
      <c r="Q230" s="223"/>
      <c r="R230" s="223"/>
      <c r="S230" s="223"/>
      <c r="T230" s="223"/>
      <c r="U230" s="10"/>
      <c r="V230" s="10"/>
      <c r="W230" s="10"/>
      <c r="X230" s="10"/>
      <c r="Y230" s="10"/>
      <c r="Z230" s="10"/>
      <c r="AA230" s="10"/>
      <c r="AB230" s="10"/>
    </row>
    <row r="231" spans="1:28" outlineLevel="1" x14ac:dyDescent="0.2">
      <c r="A231" s="220"/>
      <c r="B231" s="220"/>
      <c r="C231" s="265"/>
      <c r="D231" s="220"/>
      <c r="E231" s="220"/>
      <c r="F231" s="220"/>
      <c r="G231" s="220"/>
      <c r="H231" s="220"/>
      <c r="I231" s="220"/>
      <c r="J231" s="220"/>
      <c r="K231" s="220"/>
      <c r="L231" s="220"/>
      <c r="M231" s="220"/>
      <c r="N231" s="220"/>
      <c r="O231" s="224"/>
      <c r="P231" s="224"/>
      <c r="Q231" s="224"/>
      <c r="R231" s="224"/>
      <c r="S231" s="224"/>
      <c r="T231" s="224"/>
      <c r="U231" s="4"/>
      <c r="V231" s="4"/>
      <c r="W231" s="4"/>
      <c r="X231" s="4"/>
      <c r="Y231" s="4"/>
      <c r="Z231" s="4"/>
      <c r="AA231" s="571"/>
      <c r="AB231" s="4"/>
    </row>
    <row r="232" spans="1:28" x14ac:dyDescent="0.2">
      <c r="A232" s="220"/>
      <c r="B232" s="220"/>
      <c r="C232" s="220"/>
      <c r="D232" s="220"/>
      <c r="E232" s="220"/>
      <c r="F232" s="220"/>
      <c r="G232" s="220"/>
      <c r="H232" s="220"/>
      <c r="I232" s="220"/>
      <c r="J232" s="220"/>
      <c r="K232" s="220"/>
      <c r="L232" s="220"/>
      <c r="M232" s="220"/>
      <c r="N232" s="220"/>
      <c r="O232" s="224"/>
      <c r="P232" s="224"/>
      <c r="Q232" s="224"/>
      <c r="R232" s="224"/>
      <c r="S232" s="224"/>
      <c r="T232" s="224"/>
      <c r="U232" s="4"/>
      <c r="V232" s="4"/>
      <c r="W232" s="4"/>
      <c r="X232" s="4"/>
      <c r="Y232" s="4"/>
      <c r="Z232" s="4"/>
      <c r="AA232" s="571"/>
      <c r="AB232" s="4"/>
    </row>
    <row r="233" spans="1:28" ht="15" x14ac:dyDescent="0.2">
      <c r="A233" s="187"/>
      <c r="B233" s="422">
        <v>12</v>
      </c>
      <c r="C233" s="221" t="str">
        <f>IF($I$97&lt;&gt;"",MsgNotUsed,INDEX(NamesOverallChanged,B233))</f>
        <v>** NOT USED **</v>
      </c>
      <c r="D233" s="207"/>
      <c r="E233" s="207"/>
      <c r="F233" s="207"/>
      <c r="G233" s="207"/>
      <c r="H233" s="189"/>
      <c r="I233" s="782" t="str">
        <f>IF(C233&lt;&gt;MsgNotUsed,"Co-payment group " &amp; INDEX(CoPayBandMS,B233),"")</f>
        <v/>
      </c>
      <c r="J233" s="782"/>
      <c r="K233" s="207"/>
      <c r="L233" s="207"/>
      <c r="M233" s="207"/>
      <c r="N233" s="207"/>
      <c r="O233" s="225"/>
      <c r="P233" s="225"/>
      <c r="Q233" s="225"/>
      <c r="R233" s="225"/>
      <c r="S233" s="225"/>
      <c r="T233" s="225"/>
      <c r="U233" s="41"/>
      <c r="V233" s="41"/>
      <c r="W233" s="41"/>
      <c r="X233" s="41"/>
      <c r="Y233" s="41"/>
      <c r="Z233" s="41"/>
      <c r="AA233" s="41"/>
      <c r="AB233" s="41"/>
    </row>
    <row r="234" spans="1:28" ht="15.75" outlineLevel="1" x14ac:dyDescent="0.2">
      <c r="A234" s="192"/>
      <c r="B234" s="95">
        <f>INDEX(CoPayBandMS,B233)</f>
        <v>0</v>
      </c>
      <c r="C234" s="193"/>
      <c r="D234" s="192"/>
      <c r="E234" s="192"/>
      <c r="F234" s="192"/>
      <c r="G234" s="192"/>
      <c r="H234" s="192"/>
      <c r="I234" s="192"/>
      <c r="J234" s="192"/>
      <c r="K234" s="192"/>
      <c r="L234" s="192"/>
      <c r="M234" s="192"/>
      <c r="N234" s="192"/>
      <c r="O234" s="226"/>
      <c r="P234" s="226"/>
      <c r="Q234" s="226"/>
      <c r="R234" s="226"/>
      <c r="S234" s="226"/>
      <c r="T234" s="226"/>
      <c r="U234" s="3"/>
      <c r="V234" s="3"/>
      <c r="W234" s="3"/>
      <c r="X234" s="3"/>
      <c r="Y234" s="3"/>
      <c r="Z234" s="3"/>
      <c r="AA234" s="3"/>
      <c r="AB234" s="3"/>
    </row>
    <row r="235" spans="1:28" ht="14.25" customHeight="1" outlineLevel="1" x14ac:dyDescent="0.2">
      <c r="A235" s="220"/>
      <c r="B235" s="220"/>
      <c r="C235" s="15"/>
      <c r="D235" s="87">
        <f>E235-1</f>
        <v>-1</v>
      </c>
      <c r="E235" s="87">
        <f>FirstYear</f>
        <v>0</v>
      </c>
      <c r="F235" s="87">
        <f>E235+1</f>
        <v>1</v>
      </c>
      <c r="G235" s="87">
        <f>F235+1</f>
        <v>2</v>
      </c>
      <c r="H235" s="87">
        <f>G235+1</f>
        <v>3</v>
      </c>
      <c r="I235" s="87">
        <f>H235+1</f>
        <v>4</v>
      </c>
      <c r="J235" s="87">
        <f>I235+1</f>
        <v>5</v>
      </c>
      <c r="K235" s="220"/>
      <c r="L235" s="195"/>
      <c r="M235" s="220"/>
      <c r="N235" s="220"/>
      <c r="O235" s="224"/>
      <c r="P235" s="224"/>
      <c r="Q235" s="224"/>
      <c r="R235" s="224"/>
      <c r="S235" s="224"/>
      <c r="T235" s="224"/>
      <c r="U235" s="4"/>
      <c r="V235" s="4"/>
      <c r="W235" s="4"/>
      <c r="X235" s="4"/>
      <c r="Y235" s="4"/>
      <c r="Z235" s="4"/>
      <c r="AA235" s="571"/>
      <c r="AB235" s="4"/>
    </row>
    <row r="236" spans="1:28" outlineLevel="1" x14ac:dyDescent="0.2">
      <c r="A236" s="220"/>
      <c r="B236" s="220"/>
      <c r="C236" s="8" t="s">
        <v>132</v>
      </c>
      <c r="D236" s="53">
        <f>IF($I$97="",-R61,0)</f>
        <v>0</v>
      </c>
      <c r="E236" s="53">
        <f t="shared" ref="E236" si="114">IF(D236="","",D236*(1+D237))</f>
        <v>0</v>
      </c>
      <c r="F236" s="53">
        <f t="shared" ref="F236" si="115">IF(E236="","",E236*(1+E237))</f>
        <v>0</v>
      </c>
      <c r="G236" s="53">
        <f t="shared" ref="G236" si="116">IF(F236="","",F236*(1+F237))</f>
        <v>0</v>
      </c>
      <c r="H236" s="53">
        <f t="shared" ref="H236" si="117">IF(G236="","",G236*(1+G237))</f>
        <v>0</v>
      </c>
      <c r="I236" s="53">
        <f t="shared" ref="I236" si="118">IF(H236="","",H236*(1+H237))</f>
        <v>0</v>
      </c>
      <c r="J236" s="53">
        <f t="shared" ref="J236" si="119">IF(I236="","",I236*(1+I237))</f>
        <v>0</v>
      </c>
      <c r="K236" s="220"/>
      <c r="L236" s="19" t="s">
        <v>292</v>
      </c>
      <c r="M236" s="220"/>
      <c r="N236" s="195"/>
      <c r="O236" s="227"/>
      <c r="P236" s="224"/>
      <c r="Q236" s="224"/>
      <c r="R236" s="224"/>
      <c r="S236" s="224"/>
      <c r="T236" s="224"/>
      <c r="U236" s="4"/>
      <c r="V236" s="4"/>
      <c r="W236" s="4"/>
      <c r="X236" s="4"/>
      <c r="Y236" s="4"/>
      <c r="Z236" s="4"/>
      <c r="AA236" s="571"/>
      <c r="AB236" s="4"/>
    </row>
    <row r="237" spans="1:28" outlineLevel="1" x14ac:dyDescent="0.2">
      <c r="A237" s="220"/>
      <c r="B237" s="220"/>
      <c r="C237" s="21" t="s">
        <v>27</v>
      </c>
      <c r="D237" s="76"/>
      <c r="E237" s="76"/>
      <c r="F237" s="76"/>
      <c r="G237" s="76"/>
      <c r="H237" s="76"/>
      <c r="I237" s="76"/>
      <c r="J237" s="48"/>
      <c r="K237" s="220"/>
      <c r="L237" s="783"/>
      <c r="M237" s="784"/>
      <c r="N237" s="784"/>
      <c r="O237" s="784"/>
      <c r="P237" s="784"/>
      <c r="Q237" s="784"/>
      <c r="R237" s="784"/>
      <c r="S237" s="784"/>
      <c r="T237" s="784"/>
      <c r="U237" s="4"/>
      <c r="V237" s="4"/>
      <c r="W237" s="4"/>
      <c r="X237" s="4"/>
      <c r="Y237" s="4"/>
      <c r="Z237" s="4"/>
      <c r="AA237" s="571"/>
      <c r="AB237" s="4"/>
    </row>
    <row r="238" spans="1:28" outlineLevel="1" x14ac:dyDescent="0.2">
      <c r="A238" s="220"/>
      <c r="B238" s="220"/>
      <c r="C238" s="21" t="s">
        <v>34</v>
      </c>
      <c r="D238" s="76"/>
      <c r="E238" s="76"/>
      <c r="F238" s="76"/>
      <c r="G238" s="76"/>
      <c r="H238" s="76"/>
      <c r="I238" s="76"/>
      <c r="J238" s="76"/>
      <c r="K238" s="220"/>
      <c r="L238" s="783"/>
      <c r="M238" s="784"/>
      <c r="N238" s="784"/>
      <c r="O238" s="784"/>
      <c r="P238" s="784"/>
      <c r="Q238" s="784"/>
      <c r="R238" s="784"/>
      <c r="S238" s="784"/>
      <c r="T238" s="784"/>
      <c r="U238" s="4"/>
      <c r="V238" s="4"/>
      <c r="W238" s="4"/>
      <c r="X238" s="4"/>
      <c r="Y238" s="4"/>
      <c r="Z238" s="4"/>
      <c r="AA238" s="571"/>
      <c r="AB238" s="4"/>
    </row>
    <row r="239" spans="1:28" outlineLevel="1" x14ac:dyDescent="0.2">
      <c r="A239" s="247"/>
      <c r="B239" s="180"/>
      <c r="C239" s="88" t="str">
        <f>"Proportion " &amp; IF(MarketImpact=0,"affected by","affected") &amp; " the proposed medicine"</f>
        <v>Proportion affected the proposed medicine</v>
      </c>
      <c r="D239" s="76"/>
      <c r="E239" s="76"/>
      <c r="F239" s="76"/>
      <c r="G239" s="76"/>
      <c r="H239" s="76"/>
      <c r="I239" s="76"/>
      <c r="J239" s="76"/>
      <c r="K239" s="220"/>
      <c r="L239" s="783"/>
      <c r="M239" s="784"/>
      <c r="N239" s="784"/>
      <c r="O239" s="784"/>
      <c r="P239" s="784"/>
      <c r="Q239" s="784"/>
      <c r="R239" s="784"/>
      <c r="S239" s="784"/>
      <c r="T239" s="784"/>
      <c r="U239" s="4"/>
      <c r="V239" s="4"/>
      <c r="W239" s="4"/>
      <c r="X239" s="4"/>
      <c r="Y239" s="4"/>
      <c r="Z239" s="4"/>
      <c r="AA239" s="571"/>
      <c r="AB239" s="4"/>
    </row>
    <row r="240" spans="1:28" outlineLevel="1" x14ac:dyDescent="0.2">
      <c r="A240" s="264"/>
      <c r="B240" s="264"/>
      <c r="C240" s="23" t="s">
        <v>125</v>
      </c>
      <c r="D240" s="47">
        <f t="shared" ref="D240:J240" si="120">D242-D241</f>
        <v>0</v>
      </c>
      <c r="E240" s="47">
        <f t="shared" si="120"/>
        <v>0</v>
      </c>
      <c r="F240" s="47">
        <f t="shared" si="120"/>
        <v>0</v>
      </c>
      <c r="G240" s="47">
        <f t="shared" si="120"/>
        <v>0</v>
      </c>
      <c r="H240" s="47">
        <f t="shared" si="120"/>
        <v>0</v>
      </c>
      <c r="I240" s="47">
        <f t="shared" si="120"/>
        <v>0</v>
      </c>
      <c r="J240" s="47">
        <f t="shared" si="120"/>
        <v>0</v>
      </c>
      <c r="K240" s="264"/>
      <c r="L240" s="264"/>
      <c r="M240" s="264"/>
      <c r="N240" s="264"/>
      <c r="O240" s="223"/>
      <c r="P240" s="223"/>
      <c r="Q240" s="223"/>
      <c r="R240" s="223"/>
      <c r="S240" s="223"/>
      <c r="T240" s="223"/>
      <c r="U240" s="10"/>
      <c r="V240" s="10"/>
      <c r="W240" s="10"/>
      <c r="X240" s="10"/>
      <c r="Y240" s="10"/>
      <c r="Z240" s="10"/>
      <c r="AA240" s="10"/>
      <c r="AB240" s="10"/>
    </row>
    <row r="241" spans="1:28" outlineLevel="1" x14ac:dyDescent="0.2">
      <c r="A241" s="264"/>
      <c r="B241" s="264"/>
      <c r="C241" s="23" t="s">
        <v>126</v>
      </c>
      <c r="D241" s="47">
        <f t="shared" ref="D241:J241" si="121">IF($B234&lt;&gt;0,ROUND(D242*INDEX(ServiceSplitRPBS,$B234),0),0)</f>
        <v>0</v>
      </c>
      <c r="E241" s="47">
        <f t="shared" si="121"/>
        <v>0</v>
      </c>
      <c r="F241" s="47">
        <f t="shared" si="121"/>
        <v>0</v>
      </c>
      <c r="G241" s="47">
        <f t="shared" si="121"/>
        <v>0</v>
      </c>
      <c r="H241" s="47">
        <f t="shared" si="121"/>
        <v>0</v>
      </c>
      <c r="I241" s="47">
        <f t="shared" si="121"/>
        <v>0</v>
      </c>
      <c r="J241" s="47">
        <f t="shared" si="121"/>
        <v>0</v>
      </c>
      <c r="K241" s="264"/>
      <c r="L241" s="264"/>
      <c r="M241" s="264"/>
      <c r="N241" s="264"/>
      <c r="O241" s="223"/>
      <c r="P241" s="223"/>
      <c r="Q241" s="223"/>
      <c r="R241" s="223"/>
      <c r="S241" s="223"/>
      <c r="T241" s="223"/>
      <c r="U241" s="10"/>
      <c r="V241" s="10"/>
      <c r="W241" s="10"/>
      <c r="X241" s="10"/>
      <c r="Y241" s="10"/>
      <c r="Z241" s="10"/>
      <c r="AA241" s="10"/>
      <c r="AB241" s="10"/>
    </row>
    <row r="242" spans="1:28" outlineLevel="1" x14ac:dyDescent="0.2">
      <c r="A242" s="264"/>
      <c r="B242" s="264"/>
      <c r="C242" s="409" t="s">
        <v>918</v>
      </c>
      <c r="D242" s="50">
        <f t="shared" ref="D242:J242" si="122">IF(D236="","",D239*D238*D236)</f>
        <v>0</v>
      </c>
      <c r="E242" s="50">
        <f t="shared" si="122"/>
        <v>0</v>
      </c>
      <c r="F242" s="50">
        <f t="shared" si="122"/>
        <v>0</v>
      </c>
      <c r="G242" s="50">
        <f t="shared" si="122"/>
        <v>0</v>
      </c>
      <c r="H242" s="50">
        <f t="shared" si="122"/>
        <v>0</v>
      </c>
      <c r="I242" s="50">
        <f t="shared" si="122"/>
        <v>0</v>
      </c>
      <c r="J242" s="50">
        <f t="shared" si="122"/>
        <v>0</v>
      </c>
      <c r="K242" s="264"/>
      <c r="L242" s="264"/>
      <c r="M242" s="264"/>
      <c r="N242" s="264"/>
      <c r="O242" s="223"/>
      <c r="P242" s="223"/>
      <c r="Q242" s="223"/>
      <c r="R242" s="223"/>
      <c r="S242" s="223"/>
      <c r="T242" s="223"/>
      <c r="U242" s="10"/>
      <c r="V242" s="10"/>
      <c r="W242" s="10"/>
      <c r="X242" s="10"/>
      <c r="Y242" s="10"/>
      <c r="Z242" s="10"/>
      <c r="AA242" s="10"/>
      <c r="AB242" s="10"/>
    </row>
    <row r="243" spans="1:28" outlineLevel="1" x14ac:dyDescent="0.2">
      <c r="A243" s="220"/>
      <c r="B243" s="220"/>
      <c r="C243" s="265"/>
      <c r="D243" s="220"/>
      <c r="E243" s="220"/>
      <c r="F243" s="220"/>
      <c r="G243" s="220"/>
      <c r="H243" s="220"/>
      <c r="I243" s="220"/>
      <c r="J243" s="220"/>
      <c r="K243" s="220"/>
      <c r="L243" s="220"/>
      <c r="M243" s="220"/>
      <c r="N243" s="220"/>
      <c r="O243" s="224"/>
      <c r="P243" s="224"/>
      <c r="Q243" s="224"/>
      <c r="R243" s="224"/>
      <c r="S243" s="224"/>
      <c r="T243" s="224"/>
      <c r="U243" s="4"/>
      <c r="V243" s="4"/>
      <c r="W243" s="4"/>
      <c r="X243" s="4"/>
      <c r="Y243" s="4"/>
      <c r="Z243" s="4"/>
      <c r="AA243" s="571"/>
      <c r="AB243" s="4"/>
    </row>
    <row r="244" spans="1:28" x14ac:dyDescent="0.2">
      <c r="A244" s="220"/>
      <c r="B244" s="220"/>
      <c r="C244" s="220"/>
      <c r="D244" s="220"/>
      <c r="E244" s="220"/>
      <c r="F244" s="220"/>
      <c r="G244" s="220"/>
      <c r="H244" s="220"/>
      <c r="I244" s="220"/>
      <c r="J244" s="220"/>
      <c r="K244" s="220"/>
      <c r="L244" s="220"/>
      <c r="M244" s="220"/>
      <c r="N244" s="220"/>
      <c r="O244" s="224"/>
      <c r="P244" s="224"/>
      <c r="Q244" s="224"/>
      <c r="R244" s="224"/>
      <c r="S244" s="224"/>
      <c r="T244" s="224"/>
      <c r="U244" s="4"/>
      <c r="V244" s="4"/>
      <c r="W244" s="4"/>
      <c r="X244" s="4"/>
      <c r="Y244" s="4"/>
      <c r="Z244" s="4"/>
      <c r="AA244" s="571"/>
      <c r="AB244" s="4"/>
    </row>
    <row r="245" spans="1:28" ht="15" x14ac:dyDescent="0.2">
      <c r="A245" s="187"/>
      <c r="B245" s="422">
        <v>13</v>
      </c>
      <c r="C245" s="221" t="str">
        <f>IF($I$97&lt;&gt;"",MsgNotUsed,INDEX(NamesOverallChanged,B245))</f>
        <v>** NOT USED **</v>
      </c>
      <c r="D245" s="207"/>
      <c r="E245" s="207"/>
      <c r="F245" s="207"/>
      <c r="G245" s="207"/>
      <c r="H245" s="189"/>
      <c r="I245" s="782" t="str">
        <f>IF(C245&lt;&gt;MsgNotUsed,"Co-payment group " &amp; INDEX(CoPayBandMS,B245),"")</f>
        <v/>
      </c>
      <c r="J245" s="782"/>
      <c r="K245" s="207"/>
      <c r="L245" s="207"/>
      <c r="M245" s="207"/>
      <c r="N245" s="207"/>
      <c r="O245" s="225"/>
      <c r="P245" s="225"/>
      <c r="Q245" s="225"/>
      <c r="R245" s="225"/>
      <c r="S245" s="225"/>
      <c r="T245" s="225"/>
      <c r="U245" s="41"/>
      <c r="V245" s="41"/>
      <c r="W245" s="41"/>
      <c r="X245" s="41"/>
      <c r="Y245" s="41"/>
      <c r="Z245" s="41"/>
      <c r="AA245" s="41"/>
      <c r="AB245" s="41"/>
    </row>
    <row r="246" spans="1:28" ht="15.75" outlineLevel="1" x14ac:dyDescent="0.2">
      <c r="A246" s="192"/>
      <c r="B246" s="95">
        <f>INDEX(CoPayBandMS,B245)</f>
        <v>0</v>
      </c>
      <c r="C246" s="193"/>
      <c r="D246" s="192"/>
      <c r="E246" s="192"/>
      <c r="F246" s="192"/>
      <c r="G246" s="192"/>
      <c r="H246" s="192"/>
      <c r="I246" s="192"/>
      <c r="J246" s="192"/>
      <c r="K246" s="192"/>
      <c r="L246" s="192"/>
      <c r="M246" s="192"/>
      <c r="N246" s="192"/>
      <c r="O246" s="226"/>
      <c r="P246" s="226"/>
      <c r="Q246" s="226"/>
      <c r="R246" s="226"/>
      <c r="S246" s="226"/>
      <c r="T246" s="226"/>
      <c r="U246" s="3"/>
      <c r="V246" s="3"/>
      <c r="W246" s="3"/>
      <c r="X246" s="3"/>
      <c r="Y246" s="3"/>
      <c r="Z246" s="3"/>
      <c r="AA246" s="3"/>
      <c r="AB246" s="3"/>
    </row>
    <row r="247" spans="1:28" ht="14.25" customHeight="1" outlineLevel="1" x14ac:dyDescent="0.2">
      <c r="A247" s="220"/>
      <c r="B247" s="220"/>
      <c r="C247" s="15"/>
      <c r="D247" s="87">
        <f>E247-1</f>
        <v>-1</v>
      </c>
      <c r="E247" s="87">
        <f>FirstYear</f>
        <v>0</v>
      </c>
      <c r="F247" s="87">
        <f>E247+1</f>
        <v>1</v>
      </c>
      <c r="G247" s="87">
        <f>F247+1</f>
        <v>2</v>
      </c>
      <c r="H247" s="87">
        <f>G247+1</f>
        <v>3</v>
      </c>
      <c r="I247" s="87">
        <f>H247+1</f>
        <v>4</v>
      </c>
      <c r="J247" s="87">
        <f>I247+1</f>
        <v>5</v>
      </c>
      <c r="K247" s="220"/>
      <c r="L247" s="195"/>
      <c r="M247" s="220"/>
      <c r="N247" s="220"/>
      <c r="O247" s="224"/>
      <c r="P247" s="224"/>
      <c r="Q247" s="224"/>
      <c r="R247" s="224"/>
      <c r="S247" s="224"/>
      <c r="T247" s="224"/>
      <c r="U247" s="4"/>
      <c r="V247" s="4"/>
      <c r="W247" s="4"/>
      <c r="X247" s="4"/>
      <c r="Y247" s="4"/>
      <c r="Z247" s="4"/>
      <c r="AA247" s="571"/>
      <c r="AB247" s="4"/>
    </row>
    <row r="248" spans="1:28" outlineLevel="1" x14ac:dyDescent="0.2">
      <c r="A248" s="220"/>
      <c r="B248" s="220"/>
      <c r="C248" s="8" t="s">
        <v>132</v>
      </c>
      <c r="D248" s="53">
        <f>IF($I$97="",-R62,0)</f>
        <v>0</v>
      </c>
      <c r="E248" s="53">
        <f t="shared" ref="E248" si="123">IF(D248="","",D248*(1+D249))</f>
        <v>0</v>
      </c>
      <c r="F248" s="53">
        <f t="shared" ref="F248" si="124">IF(E248="","",E248*(1+E249))</f>
        <v>0</v>
      </c>
      <c r="G248" s="53">
        <f t="shared" ref="G248" si="125">IF(F248="","",F248*(1+F249))</f>
        <v>0</v>
      </c>
      <c r="H248" s="53">
        <f t="shared" ref="H248" si="126">IF(G248="","",G248*(1+G249))</f>
        <v>0</v>
      </c>
      <c r="I248" s="53">
        <f t="shared" ref="I248" si="127">IF(H248="","",H248*(1+H249))</f>
        <v>0</v>
      </c>
      <c r="J248" s="53">
        <f t="shared" ref="J248" si="128">IF(I248="","",I248*(1+I249))</f>
        <v>0</v>
      </c>
      <c r="K248" s="220"/>
      <c r="L248" s="19" t="s">
        <v>292</v>
      </c>
      <c r="M248" s="220"/>
      <c r="N248" s="195"/>
      <c r="O248" s="227"/>
      <c r="P248" s="224"/>
      <c r="Q248" s="224"/>
      <c r="R248" s="224"/>
      <c r="S248" s="224"/>
      <c r="T248" s="224"/>
      <c r="U248" s="4"/>
      <c r="V248" s="4"/>
      <c r="W248" s="4"/>
      <c r="X248" s="4"/>
      <c r="Y248" s="4"/>
      <c r="Z248" s="4"/>
      <c r="AA248" s="571"/>
      <c r="AB248" s="4"/>
    </row>
    <row r="249" spans="1:28" outlineLevel="1" x14ac:dyDescent="0.2">
      <c r="A249" s="220"/>
      <c r="B249" s="220"/>
      <c r="C249" s="21" t="s">
        <v>27</v>
      </c>
      <c r="D249" s="76"/>
      <c r="E249" s="76"/>
      <c r="F249" s="76"/>
      <c r="G249" s="76"/>
      <c r="H249" s="76"/>
      <c r="I249" s="76"/>
      <c r="J249" s="48"/>
      <c r="K249" s="220"/>
      <c r="L249" s="783"/>
      <c r="M249" s="784"/>
      <c r="N249" s="784"/>
      <c r="O249" s="784"/>
      <c r="P249" s="784"/>
      <c r="Q249" s="784"/>
      <c r="R249" s="784"/>
      <c r="S249" s="784"/>
      <c r="T249" s="784"/>
      <c r="U249" s="4"/>
      <c r="V249" s="4"/>
      <c r="W249" s="4"/>
      <c r="X249" s="4"/>
      <c r="Y249" s="4"/>
      <c r="Z249" s="4"/>
      <c r="AA249" s="571"/>
      <c r="AB249" s="4"/>
    </row>
    <row r="250" spans="1:28" outlineLevel="1" x14ac:dyDescent="0.2">
      <c r="A250" s="220"/>
      <c r="B250" s="220"/>
      <c r="C250" s="21" t="s">
        <v>34</v>
      </c>
      <c r="D250" s="76"/>
      <c r="E250" s="76"/>
      <c r="F250" s="76"/>
      <c r="G250" s="76"/>
      <c r="H250" s="76"/>
      <c r="I250" s="76"/>
      <c r="J250" s="76"/>
      <c r="K250" s="220"/>
      <c r="L250" s="783"/>
      <c r="M250" s="784"/>
      <c r="N250" s="784"/>
      <c r="O250" s="784"/>
      <c r="P250" s="784"/>
      <c r="Q250" s="784"/>
      <c r="R250" s="784"/>
      <c r="S250" s="784"/>
      <c r="T250" s="784"/>
      <c r="U250" s="4"/>
      <c r="V250" s="4"/>
      <c r="W250" s="4"/>
      <c r="X250" s="4"/>
      <c r="Y250" s="4"/>
      <c r="Z250" s="4"/>
      <c r="AA250" s="571"/>
      <c r="AB250" s="4"/>
    </row>
    <row r="251" spans="1:28" outlineLevel="1" x14ac:dyDescent="0.2">
      <c r="A251" s="247"/>
      <c r="B251" s="180"/>
      <c r="C251" s="88" t="str">
        <f>"Proportion " &amp; IF(MarketImpact=0,"affected by","affected") &amp; " the proposed medicine"</f>
        <v>Proportion affected the proposed medicine</v>
      </c>
      <c r="D251" s="76"/>
      <c r="E251" s="76"/>
      <c r="F251" s="76"/>
      <c r="G251" s="76"/>
      <c r="H251" s="76"/>
      <c r="I251" s="76"/>
      <c r="J251" s="76"/>
      <c r="K251" s="220"/>
      <c r="L251" s="783"/>
      <c r="M251" s="784"/>
      <c r="N251" s="784"/>
      <c r="O251" s="784"/>
      <c r="P251" s="784"/>
      <c r="Q251" s="784"/>
      <c r="R251" s="784"/>
      <c r="S251" s="784"/>
      <c r="T251" s="784"/>
      <c r="U251" s="4"/>
      <c r="V251" s="4"/>
      <c r="W251" s="4"/>
      <c r="X251" s="4"/>
      <c r="Y251" s="4"/>
      <c r="Z251" s="4"/>
      <c r="AA251" s="571"/>
      <c r="AB251" s="4"/>
    </row>
    <row r="252" spans="1:28" outlineLevel="1" x14ac:dyDescent="0.2">
      <c r="A252" s="264"/>
      <c r="B252" s="264"/>
      <c r="C252" s="23" t="s">
        <v>125</v>
      </c>
      <c r="D252" s="47">
        <f t="shared" ref="D252:J252" si="129">D254-D253</f>
        <v>0</v>
      </c>
      <c r="E252" s="47">
        <f t="shared" si="129"/>
        <v>0</v>
      </c>
      <c r="F252" s="47">
        <f t="shared" si="129"/>
        <v>0</v>
      </c>
      <c r="G252" s="47">
        <f t="shared" si="129"/>
        <v>0</v>
      </c>
      <c r="H252" s="47">
        <f t="shared" si="129"/>
        <v>0</v>
      </c>
      <c r="I252" s="47">
        <f t="shared" si="129"/>
        <v>0</v>
      </c>
      <c r="J252" s="47">
        <f t="shared" si="129"/>
        <v>0</v>
      </c>
      <c r="K252" s="264"/>
      <c r="L252" s="264"/>
      <c r="M252" s="264"/>
      <c r="N252" s="264"/>
      <c r="O252" s="223"/>
      <c r="P252" s="223"/>
      <c r="Q252" s="223"/>
      <c r="R252" s="223"/>
      <c r="S252" s="223"/>
      <c r="T252" s="223"/>
      <c r="U252" s="10"/>
      <c r="V252" s="10"/>
      <c r="W252" s="10"/>
      <c r="X252" s="10"/>
      <c r="Y252" s="10"/>
      <c r="Z252" s="10"/>
      <c r="AA252" s="10"/>
      <c r="AB252" s="10"/>
    </row>
    <row r="253" spans="1:28" outlineLevel="1" x14ac:dyDescent="0.2">
      <c r="A253" s="264"/>
      <c r="B253" s="264"/>
      <c r="C253" s="23" t="s">
        <v>126</v>
      </c>
      <c r="D253" s="47">
        <f t="shared" ref="D253:J253" si="130">IF($B246&lt;&gt;0,ROUND(D254*INDEX(ServiceSplitRPBS,$B246),0),0)</f>
        <v>0</v>
      </c>
      <c r="E253" s="47">
        <f t="shared" si="130"/>
        <v>0</v>
      </c>
      <c r="F253" s="47">
        <f t="shared" si="130"/>
        <v>0</v>
      </c>
      <c r="G253" s="47">
        <f t="shared" si="130"/>
        <v>0</v>
      </c>
      <c r="H253" s="47">
        <f t="shared" si="130"/>
        <v>0</v>
      </c>
      <c r="I253" s="47">
        <f t="shared" si="130"/>
        <v>0</v>
      </c>
      <c r="J253" s="47">
        <f t="shared" si="130"/>
        <v>0</v>
      </c>
      <c r="K253" s="264"/>
      <c r="L253" s="264"/>
      <c r="M253" s="264"/>
      <c r="N253" s="264"/>
      <c r="O253" s="223"/>
      <c r="P253" s="223"/>
      <c r="Q253" s="223"/>
      <c r="R253" s="223"/>
      <c r="S253" s="223"/>
      <c r="T253" s="223"/>
      <c r="U253" s="10"/>
      <c r="V253" s="10"/>
      <c r="W253" s="10"/>
      <c r="X253" s="10"/>
      <c r="Y253" s="10"/>
      <c r="Z253" s="10"/>
      <c r="AA253" s="10"/>
      <c r="AB253" s="10"/>
    </row>
    <row r="254" spans="1:28" outlineLevel="1" x14ac:dyDescent="0.2">
      <c r="A254" s="264"/>
      <c r="B254" s="264"/>
      <c r="C254" s="409" t="s">
        <v>918</v>
      </c>
      <c r="D254" s="50">
        <f t="shared" ref="D254:J254" si="131">IF(D248="","",D251*D250*D248)</f>
        <v>0</v>
      </c>
      <c r="E254" s="50">
        <f t="shared" si="131"/>
        <v>0</v>
      </c>
      <c r="F254" s="50">
        <f t="shared" si="131"/>
        <v>0</v>
      </c>
      <c r="G254" s="50">
        <f t="shared" si="131"/>
        <v>0</v>
      </c>
      <c r="H254" s="50">
        <f t="shared" si="131"/>
        <v>0</v>
      </c>
      <c r="I254" s="50">
        <f t="shared" si="131"/>
        <v>0</v>
      </c>
      <c r="J254" s="50">
        <f t="shared" si="131"/>
        <v>0</v>
      </c>
      <c r="K254" s="264"/>
      <c r="L254" s="264"/>
      <c r="M254" s="264"/>
      <c r="N254" s="264"/>
      <c r="O254" s="223"/>
      <c r="P254" s="223"/>
      <c r="Q254" s="223"/>
      <c r="R254" s="223"/>
      <c r="S254" s="223"/>
      <c r="T254" s="223"/>
      <c r="U254" s="10"/>
      <c r="V254" s="10"/>
      <c r="W254" s="10"/>
      <c r="X254" s="10"/>
      <c r="Y254" s="10"/>
      <c r="Z254" s="10"/>
      <c r="AA254" s="10"/>
      <c r="AB254" s="10"/>
    </row>
    <row r="255" spans="1:28" outlineLevel="1" x14ac:dyDescent="0.2">
      <c r="A255" s="220"/>
      <c r="B255" s="220"/>
      <c r="C255" s="265"/>
      <c r="D255" s="220"/>
      <c r="E255" s="220"/>
      <c r="F255" s="220"/>
      <c r="G255" s="220"/>
      <c r="H255" s="220"/>
      <c r="I255" s="220"/>
      <c r="J255" s="220"/>
      <c r="K255" s="220"/>
      <c r="L255" s="220"/>
      <c r="M255" s="220"/>
      <c r="N255" s="220"/>
      <c r="O255" s="224"/>
      <c r="P255" s="224"/>
      <c r="Q255" s="224"/>
      <c r="R255" s="224"/>
      <c r="S255" s="224"/>
      <c r="T255" s="224"/>
      <c r="U255" s="4"/>
      <c r="V255" s="4"/>
      <c r="W255" s="4"/>
      <c r="X255" s="4"/>
      <c r="Y255" s="4"/>
      <c r="Z255" s="4"/>
      <c r="AA255" s="571"/>
      <c r="AB255" s="4"/>
    </row>
    <row r="256" spans="1:28" x14ac:dyDescent="0.2">
      <c r="A256" s="220"/>
      <c r="B256" s="220"/>
      <c r="C256" s="220"/>
      <c r="D256" s="220"/>
      <c r="E256" s="220"/>
      <c r="F256" s="220"/>
      <c r="G256" s="220"/>
      <c r="H256" s="220"/>
      <c r="I256" s="220"/>
      <c r="J256" s="220"/>
      <c r="K256" s="220"/>
      <c r="L256" s="220"/>
      <c r="M256" s="220"/>
      <c r="N256" s="220"/>
      <c r="O256" s="224"/>
      <c r="P256" s="224"/>
      <c r="Q256" s="224"/>
      <c r="R256" s="224"/>
      <c r="S256" s="224"/>
      <c r="T256" s="224"/>
      <c r="U256" s="4"/>
      <c r="V256" s="4"/>
      <c r="W256" s="4"/>
      <c r="X256" s="4"/>
      <c r="Y256" s="4"/>
      <c r="Z256" s="4"/>
      <c r="AA256" s="571"/>
      <c r="AB256" s="4"/>
    </row>
    <row r="257" spans="1:28" ht="15" x14ac:dyDescent="0.2">
      <c r="A257" s="187"/>
      <c r="B257" s="422">
        <v>14</v>
      </c>
      <c r="C257" s="221" t="str">
        <f>IF($I$97&lt;&gt;"",MsgNotUsed,INDEX(NamesOverallChanged,B257))</f>
        <v>** NOT USED **</v>
      </c>
      <c r="D257" s="207"/>
      <c r="E257" s="207"/>
      <c r="F257" s="207"/>
      <c r="G257" s="207"/>
      <c r="H257" s="189"/>
      <c r="I257" s="782" t="str">
        <f>IF(C257&lt;&gt;MsgNotUsed,"Co-payment group " &amp; INDEX(CoPayBandMS,B257),"")</f>
        <v/>
      </c>
      <c r="J257" s="782"/>
      <c r="K257" s="207"/>
      <c r="L257" s="207"/>
      <c r="M257" s="207"/>
      <c r="N257" s="207"/>
      <c r="O257" s="225"/>
      <c r="P257" s="225"/>
      <c r="Q257" s="225"/>
      <c r="R257" s="225"/>
      <c r="S257" s="225"/>
      <c r="T257" s="225"/>
      <c r="U257" s="41"/>
      <c r="V257" s="41"/>
      <c r="W257" s="41"/>
      <c r="X257" s="41"/>
      <c r="Y257" s="41"/>
      <c r="Z257" s="41"/>
      <c r="AA257" s="41"/>
      <c r="AB257" s="41"/>
    </row>
    <row r="258" spans="1:28" ht="15.75" outlineLevel="1" x14ac:dyDescent="0.2">
      <c r="A258" s="192"/>
      <c r="B258" s="95">
        <f>INDEX(CoPayBandMS,B257)</f>
        <v>0</v>
      </c>
      <c r="C258" s="193"/>
      <c r="D258" s="192"/>
      <c r="E258" s="192"/>
      <c r="F258" s="192"/>
      <c r="G258" s="192"/>
      <c r="H258" s="192"/>
      <c r="I258" s="192"/>
      <c r="J258" s="192"/>
      <c r="K258" s="192"/>
      <c r="L258" s="192"/>
      <c r="M258" s="192"/>
      <c r="N258" s="192"/>
      <c r="O258" s="226"/>
      <c r="P258" s="226"/>
      <c r="Q258" s="226"/>
      <c r="R258" s="226"/>
      <c r="S258" s="226"/>
      <c r="T258" s="226"/>
      <c r="U258" s="3"/>
      <c r="V258" s="3"/>
      <c r="W258" s="3"/>
      <c r="X258" s="3"/>
      <c r="Y258" s="3"/>
      <c r="Z258" s="3"/>
      <c r="AA258" s="3"/>
      <c r="AB258" s="3"/>
    </row>
    <row r="259" spans="1:28" ht="14.25" customHeight="1" outlineLevel="1" x14ac:dyDescent="0.2">
      <c r="A259" s="220"/>
      <c r="B259" s="220"/>
      <c r="C259" s="15"/>
      <c r="D259" s="87">
        <f>E259-1</f>
        <v>-1</v>
      </c>
      <c r="E259" s="87">
        <f>FirstYear</f>
        <v>0</v>
      </c>
      <c r="F259" s="87">
        <f>E259+1</f>
        <v>1</v>
      </c>
      <c r="G259" s="87">
        <f>F259+1</f>
        <v>2</v>
      </c>
      <c r="H259" s="87">
        <f>G259+1</f>
        <v>3</v>
      </c>
      <c r="I259" s="87">
        <f>H259+1</f>
        <v>4</v>
      </c>
      <c r="J259" s="87">
        <f>I259+1</f>
        <v>5</v>
      </c>
      <c r="K259" s="220"/>
      <c r="L259" s="195"/>
      <c r="M259" s="220"/>
      <c r="N259" s="220"/>
      <c r="O259" s="224"/>
      <c r="P259" s="224"/>
      <c r="Q259" s="224"/>
      <c r="R259" s="224"/>
      <c r="S259" s="224"/>
      <c r="T259" s="224"/>
      <c r="U259" s="4"/>
      <c r="V259" s="4"/>
      <c r="W259" s="4"/>
      <c r="X259" s="4"/>
      <c r="Y259" s="4"/>
      <c r="Z259" s="4"/>
      <c r="AA259" s="571"/>
      <c r="AB259" s="4"/>
    </row>
    <row r="260" spans="1:28" outlineLevel="1" x14ac:dyDescent="0.2">
      <c r="A260" s="220"/>
      <c r="B260" s="220"/>
      <c r="C260" s="8" t="s">
        <v>132</v>
      </c>
      <c r="D260" s="53">
        <f>IF($I$97="",-R63,0)</f>
        <v>0</v>
      </c>
      <c r="E260" s="53">
        <f t="shared" ref="E260" si="132">IF(D260="","",D260*(1+D261))</f>
        <v>0</v>
      </c>
      <c r="F260" s="53">
        <f t="shared" ref="F260" si="133">IF(E260="","",E260*(1+E261))</f>
        <v>0</v>
      </c>
      <c r="G260" s="53">
        <f t="shared" ref="G260" si="134">IF(F260="","",F260*(1+F261))</f>
        <v>0</v>
      </c>
      <c r="H260" s="53">
        <f t="shared" ref="H260" si="135">IF(G260="","",G260*(1+G261))</f>
        <v>0</v>
      </c>
      <c r="I260" s="53">
        <f t="shared" ref="I260" si="136">IF(H260="","",H260*(1+H261))</f>
        <v>0</v>
      </c>
      <c r="J260" s="53">
        <f t="shared" ref="J260" si="137">IF(I260="","",I260*(1+I261))</f>
        <v>0</v>
      </c>
      <c r="K260" s="220"/>
      <c r="L260" s="19" t="s">
        <v>292</v>
      </c>
      <c r="M260" s="220"/>
      <c r="N260" s="195"/>
      <c r="O260" s="227"/>
      <c r="P260" s="224"/>
      <c r="Q260" s="224"/>
      <c r="R260" s="224"/>
      <c r="S260" s="224"/>
      <c r="T260" s="224"/>
      <c r="U260" s="4"/>
      <c r="V260" s="4"/>
      <c r="W260" s="4"/>
      <c r="X260" s="4"/>
      <c r="Y260" s="4"/>
      <c r="Z260" s="4"/>
      <c r="AA260" s="571"/>
      <c r="AB260" s="4"/>
    </row>
    <row r="261" spans="1:28" outlineLevel="1" x14ac:dyDescent="0.2">
      <c r="A261" s="220"/>
      <c r="B261" s="220"/>
      <c r="C261" s="21" t="s">
        <v>27</v>
      </c>
      <c r="D261" s="76"/>
      <c r="E261" s="76"/>
      <c r="F261" s="76"/>
      <c r="G261" s="76"/>
      <c r="H261" s="76"/>
      <c r="I261" s="76"/>
      <c r="J261" s="48"/>
      <c r="K261" s="220"/>
      <c r="L261" s="783"/>
      <c r="M261" s="784"/>
      <c r="N261" s="784"/>
      <c r="O261" s="784"/>
      <c r="P261" s="784"/>
      <c r="Q261" s="784"/>
      <c r="R261" s="784"/>
      <c r="S261" s="784"/>
      <c r="T261" s="784"/>
      <c r="U261" s="4"/>
      <c r="V261" s="4"/>
      <c r="W261" s="4"/>
      <c r="X261" s="4"/>
      <c r="Y261" s="4"/>
      <c r="Z261" s="4"/>
      <c r="AA261" s="571"/>
      <c r="AB261" s="4"/>
    </row>
    <row r="262" spans="1:28" outlineLevel="1" x14ac:dyDescent="0.2">
      <c r="A262" s="220"/>
      <c r="B262" s="220"/>
      <c r="C262" s="21" t="s">
        <v>34</v>
      </c>
      <c r="D262" s="76"/>
      <c r="E262" s="76"/>
      <c r="F262" s="76"/>
      <c r="G262" s="76"/>
      <c r="H262" s="76"/>
      <c r="I262" s="76"/>
      <c r="J262" s="76"/>
      <c r="K262" s="220"/>
      <c r="L262" s="783"/>
      <c r="M262" s="784"/>
      <c r="N262" s="784"/>
      <c r="O262" s="784"/>
      <c r="P262" s="784"/>
      <c r="Q262" s="784"/>
      <c r="R262" s="784"/>
      <c r="S262" s="784"/>
      <c r="T262" s="784"/>
      <c r="U262" s="4"/>
      <c r="V262" s="4"/>
      <c r="W262" s="4"/>
      <c r="X262" s="4"/>
      <c r="Y262" s="4"/>
      <c r="Z262" s="4"/>
      <c r="AA262" s="571"/>
      <c r="AB262" s="4"/>
    </row>
    <row r="263" spans="1:28" outlineLevel="1" x14ac:dyDescent="0.2">
      <c r="A263" s="247"/>
      <c r="B263" s="180"/>
      <c r="C263" s="88" t="str">
        <f>"Proportion " &amp; IF(MarketImpact=0,"affected by","affected") &amp; " the proposed medicine"</f>
        <v>Proportion affected the proposed medicine</v>
      </c>
      <c r="D263" s="76"/>
      <c r="E263" s="76"/>
      <c r="F263" s="76"/>
      <c r="G263" s="76"/>
      <c r="H263" s="76"/>
      <c r="I263" s="76"/>
      <c r="J263" s="76"/>
      <c r="K263" s="220"/>
      <c r="L263" s="783"/>
      <c r="M263" s="784"/>
      <c r="N263" s="784"/>
      <c r="O263" s="784"/>
      <c r="P263" s="784"/>
      <c r="Q263" s="784"/>
      <c r="R263" s="784"/>
      <c r="S263" s="784"/>
      <c r="T263" s="784"/>
      <c r="U263" s="4"/>
      <c r="V263" s="4"/>
      <c r="W263" s="4"/>
      <c r="X263" s="4"/>
      <c r="Y263" s="4"/>
      <c r="Z263" s="4"/>
      <c r="AA263" s="571"/>
      <c r="AB263" s="4"/>
    </row>
    <row r="264" spans="1:28" outlineLevel="1" x14ac:dyDescent="0.2">
      <c r="A264" s="264"/>
      <c r="B264" s="264"/>
      <c r="C264" s="23" t="s">
        <v>125</v>
      </c>
      <c r="D264" s="47">
        <f t="shared" ref="D264:J264" si="138">D266-D265</f>
        <v>0</v>
      </c>
      <c r="E264" s="47">
        <f t="shared" si="138"/>
        <v>0</v>
      </c>
      <c r="F264" s="47">
        <f t="shared" si="138"/>
        <v>0</v>
      </c>
      <c r="G264" s="47">
        <f t="shared" si="138"/>
        <v>0</v>
      </c>
      <c r="H264" s="47">
        <f t="shared" si="138"/>
        <v>0</v>
      </c>
      <c r="I264" s="47">
        <f t="shared" si="138"/>
        <v>0</v>
      </c>
      <c r="J264" s="47">
        <f t="shared" si="138"/>
        <v>0</v>
      </c>
      <c r="K264" s="264"/>
      <c r="L264" s="264"/>
      <c r="M264" s="264"/>
      <c r="N264" s="264"/>
      <c r="O264" s="223"/>
      <c r="P264" s="223"/>
      <c r="Q264" s="223"/>
      <c r="R264" s="223"/>
      <c r="S264" s="223"/>
      <c r="T264" s="223"/>
      <c r="U264" s="10"/>
      <c r="V264" s="10"/>
      <c r="W264" s="10"/>
      <c r="X264" s="10"/>
      <c r="Y264" s="10"/>
      <c r="Z264" s="10"/>
      <c r="AA264" s="10"/>
      <c r="AB264" s="10"/>
    </row>
    <row r="265" spans="1:28" outlineLevel="1" x14ac:dyDescent="0.2">
      <c r="A265" s="264"/>
      <c r="B265" s="264"/>
      <c r="C265" s="23" t="s">
        <v>126</v>
      </c>
      <c r="D265" s="47">
        <f t="shared" ref="D265:J265" si="139">IF($B258&lt;&gt;0,ROUND(D266*INDEX(ServiceSplitRPBS,$B258),0),0)</f>
        <v>0</v>
      </c>
      <c r="E265" s="47">
        <f t="shared" si="139"/>
        <v>0</v>
      </c>
      <c r="F265" s="47">
        <f t="shared" si="139"/>
        <v>0</v>
      </c>
      <c r="G265" s="47">
        <f t="shared" si="139"/>
        <v>0</v>
      </c>
      <c r="H265" s="47">
        <f t="shared" si="139"/>
        <v>0</v>
      </c>
      <c r="I265" s="47">
        <f t="shared" si="139"/>
        <v>0</v>
      </c>
      <c r="J265" s="47">
        <f t="shared" si="139"/>
        <v>0</v>
      </c>
      <c r="K265" s="264"/>
      <c r="L265" s="264"/>
      <c r="M265" s="264"/>
      <c r="N265" s="264"/>
      <c r="O265" s="223"/>
      <c r="P265" s="223"/>
      <c r="Q265" s="223"/>
      <c r="R265" s="223"/>
      <c r="S265" s="223"/>
      <c r="T265" s="223"/>
      <c r="U265" s="10"/>
      <c r="V265" s="10"/>
      <c r="W265" s="10"/>
      <c r="X265" s="10"/>
      <c r="Y265" s="10"/>
      <c r="Z265" s="10"/>
      <c r="AA265" s="10"/>
      <c r="AB265" s="10"/>
    </row>
    <row r="266" spans="1:28" outlineLevel="1" x14ac:dyDescent="0.2">
      <c r="A266" s="264"/>
      <c r="B266" s="264"/>
      <c r="C266" s="409" t="s">
        <v>918</v>
      </c>
      <c r="D266" s="50">
        <f t="shared" ref="D266:J266" si="140">IF(D260="","",D263*D262*D260)</f>
        <v>0</v>
      </c>
      <c r="E266" s="50">
        <f t="shared" si="140"/>
        <v>0</v>
      </c>
      <c r="F266" s="50">
        <f t="shared" si="140"/>
        <v>0</v>
      </c>
      <c r="G266" s="50">
        <f t="shared" si="140"/>
        <v>0</v>
      </c>
      <c r="H266" s="50">
        <f t="shared" si="140"/>
        <v>0</v>
      </c>
      <c r="I266" s="50">
        <f t="shared" si="140"/>
        <v>0</v>
      </c>
      <c r="J266" s="50">
        <f t="shared" si="140"/>
        <v>0</v>
      </c>
      <c r="K266" s="264"/>
      <c r="L266" s="264"/>
      <c r="M266" s="264"/>
      <c r="N266" s="264"/>
      <c r="O266" s="223"/>
      <c r="P266" s="223"/>
      <c r="Q266" s="223"/>
      <c r="R266" s="223"/>
      <c r="S266" s="223"/>
      <c r="T266" s="223"/>
      <c r="U266" s="10"/>
      <c r="V266" s="10"/>
      <c r="W266" s="10"/>
      <c r="X266" s="10"/>
      <c r="Y266" s="10"/>
      <c r="Z266" s="10"/>
      <c r="AA266" s="10"/>
      <c r="AB266" s="10"/>
    </row>
    <row r="267" spans="1:28" outlineLevel="1" x14ac:dyDescent="0.2">
      <c r="A267" s="220"/>
      <c r="B267" s="220"/>
      <c r="C267" s="265"/>
      <c r="D267" s="220"/>
      <c r="E267" s="220"/>
      <c r="F267" s="220"/>
      <c r="G267" s="220"/>
      <c r="H267" s="220"/>
      <c r="I267" s="220"/>
      <c r="J267" s="220"/>
      <c r="K267" s="220"/>
      <c r="L267" s="220"/>
      <c r="M267" s="220"/>
      <c r="N267" s="220"/>
      <c r="O267" s="224"/>
      <c r="P267" s="224"/>
      <c r="Q267" s="224"/>
      <c r="R267" s="224"/>
      <c r="S267" s="224"/>
      <c r="T267" s="224"/>
      <c r="U267" s="4"/>
      <c r="V267" s="4"/>
      <c r="W267" s="4"/>
      <c r="X267" s="4"/>
      <c r="Y267" s="4"/>
      <c r="Z267" s="4"/>
      <c r="AA267" s="571"/>
      <c r="AB267" s="4"/>
    </row>
    <row r="268" spans="1:28" x14ac:dyDescent="0.2">
      <c r="A268" s="220"/>
      <c r="B268" s="220"/>
      <c r="C268" s="220"/>
      <c r="D268" s="220"/>
      <c r="E268" s="220"/>
      <c r="F268" s="220"/>
      <c r="G268" s="220"/>
      <c r="H268" s="220"/>
      <c r="I268" s="220"/>
      <c r="J268" s="220"/>
      <c r="K268" s="220"/>
      <c r="L268" s="220"/>
      <c r="M268" s="220"/>
      <c r="N268" s="220"/>
      <c r="O268" s="224"/>
      <c r="P268" s="224"/>
      <c r="Q268" s="224"/>
      <c r="R268" s="224"/>
      <c r="S268" s="224"/>
      <c r="T268" s="224"/>
      <c r="U268" s="4"/>
      <c r="V268" s="4"/>
      <c r="W268" s="4"/>
      <c r="X268" s="4"/>
      <c r="Y268" s="4"/>
      <c r="Z268" s="4"/>
      <c r="AA268" s="571"/>
      <c r="AB268" s="4"/>
    </row>
    <row r="269" spans="1:28" ht="15" x14ac:dyDescent="0.2">
      <c r="A269" s="187"/>
      <c r="B269" s="422">
        <v>15</v>
      </c>
      <c r="C269" s="221" t="str">
        <f>IF($I$97&lt;&gt;"",MsgNotUsed,INDEX(NamesOverallChanged,B269))</f>
        <v>** NOT USED **</v>
      </c>
      <c r="D269" s="207"/>
      <c r="E269" s="207"/>
      <c r="F269" s="207"/>
      <c r="G269" s="207"/>
      <c r="H269" s="189"/>
      <c r="I269" s="782" t="str">
        <f>IF(C269&lt;&gt;MsgNotUsed,"Co-payment group " &amp; INDEX(CoPayBandMS,B269),"")</f>
        <v/>
      </c>
      <c r="J269" s="782"/>
      <c r="K269" s="207"/>
      <c r="L269" s="207"/>
      <c r="M269" s="207"/>
      <c r="N269" s="207"/>
      <c r="O269" s="225"/>
      <c r="P269" s="225"/>
      <c r="Q269" s="225"/>
      <c r="R269" s="225"/>
      <c r="S269" s="225"/>
      <c r="T269" s="225"/>
      <c r="U269" s="41"/>
      <c r="V269" s="41"/>
      <c r="W269" s="41"/>
      <c r="X269" s="41"/>
      <c r="Y269" s="41"/>
      <c r="Z269" s="41"/>
      <c r="AA269" s="41"/>
      <c r="AB269" s="41"/>
    </row>
    <row r="270" spans="1:28" ht="15.75" outlineLevel="1" x14ac:dyDescent="0.2">
      <c r="A270" s="192"/>
      <c r="B270" s="95">
        <f>INDEX(CoPayBandMS,B269)</f>
        <v>0</v>
      </c>
      <c r="C270" s="193"/>
      <c r="D270" s="192"/>
      <c r="E270" s="192"/>
      <c r="F270" s="192"/>
      <c r="G270" s="192"/>
      <c r="H270" s="192"/>
      <c r="I270" s="192"/>
      <c r="J270" s="192"/>
      <c r="K270" s="192"/>
      <c r="L270" s="192"/>
      <c r="M270" s="192"/>
      <c r="N270" s="192"/>
      <c r="O270" s="226"/>
      <c r="P270" s="226"/>
      <c r="Q270" s="226"/>
      <c r="R270" s="226"/>
      <c r="S270" s="226"/>
      <c r="T270" s="226"/>
      <c r="U270" s="3"/>
      <c r="V270" s="3"/>
      <c r="W270" s="3"/>
      <c r="X270" s="3"/>
      <c r="Y270" s="3"/>
      <c r="Z270" s="3"/>
      <c r="AA270" s="3"/>
      <c r="AB270" s="3"/>
    </row>
    <row r="271" spans="1:28" ht="14.25" customHeight="1" outlineLevel="1" x14ac:dyDescent="0.2">
      <c r="A271" s="220"/>
      <c r="B271" s="220"/>
      <c r="C271" s="15"/>
      <c r="D271" s="87">
        <f>E271-1</f>
        <v>-1</v>
      </c>
      <c r="E271" s="87">
        <f>FirstYear</f>
        <v>0</v>
      </c>
      <c r="F271" s="87">
        <f>E271+1</f>
        <v>1</v>
      </c>
      <c r="G271" s="87">
        <f>F271+1</f>
        <v>2</v>
      </c>
      <c r="H271" s="87">
        <f>G271+1</f>
        <v>3</v>
      </c>
      <c r="I271" s="87">
        <f>H271+1</f>
        <v>4</v>
      </c>
      <c r="J271" s="87">
        <f>I271+1</f>
        <v>5</v>
      </c>
      <c r="K271" s="220"/>
      <c r="L271" s="195"/>
      <c r="M271" s="220"/>
      <c r="N271" s="220"/>
      <c r="O271" s="224"/>
      <c r="P271" s="224"/>
      <c r="Q271" s="224"/>
      <c r="R271" s="224"/>
      <c r="S271" s="224"/>
      <c r="T271" s="224"/>
      <c r="U271" s="4"/>
      <c r="V271" s="4"/>
      <c r="W271" s="4"/>
      <c r="X271" s="4"/>
      <c r="Y271" s="4"/>
      <c r="Z271" s="4"/>
      <c r="AA271" s="571"/>
      <c r="AB271" s="4"/>
    </row>
    <row r="272" spans="1:28" outlineLevel="1" x14ac:dyDescent="0.2">
      <c r="A272" s="220"/>
      <c r="B272" s="220"/>
      <c r="C272" s="8" t="s">
        <v>132</v>
      </c>
      <c r="D272" s="53">
        <f>IF($I$97="",-R64,0)</f>
        <v>0</v>
      </c>
      <c r="E272" s="53">
        <f t="shared" ref="E272" si="141">IF(D272="","",D272*(1+D273))</f>
        <v>0</v>
      </c>
      <c r="F272" s="53">
        <f t="shared" ref="F272" si="142">IF(E272="","",E272*(1+E273))</f>
        <v>0</v>
      </c>
      <c r="G272" s="53">
        <f t="shared" ref="G272" si="143">IF(F272="","",F272*(1+F273))</f>
        <v>0</v>
      </c>
      <c r="H272" s="53">
        <f t="shared" ref="H272" si="144">IF(G272="","",G272*(1+G273))</f>
        <v>0</v>
      </c>
      <c r="I272" s="53">
        <f t="shared" ref="I272" si="145">IF(H272="","",H272*(1+H273))</f>
        <v>0</v>
      </c>
      <c r="J272" s="53">
        <f t="shared" ref="J272" si="146">IF(I272="","",I272*(1+I273))</f>
        <v>0</v>
      </c>
      <c r="K272" s="220"/>
      <c r="L272" s="19" t="s">
        <v>292</v>
      </c>
      <c r="M272" s="220"/>
      <c r="N272" s="195"/>
      <c r="O272" s="227"/>
      <c r="P272" s="224"/>
      <c r="Q272" s="224"/>
      <c r="R272" s="224"/>
      <c r="S272" s="224"/>
      <c r="T272" s="224"/>
      <c r="U272" s="4"/>
      <c r="V272" s="4"/>
      <c r="W272" s="4"/>
      <c r="X272" s="4"/>
      <c r="Y272" s="4"/>
      <c r="Z272" s="4"/>
      <c r="AA272" s="571"/>
      <c r="AB272" s="4"/>
    </row>
    <row r="273" spans="1:28" outlineLevel="1" x14ac:dyDescent="0.2">
      <c r="A273" s="220"/>
      <c r="B273" s="220"/>
      <c r="C273" s="21" t="s">
        <v>27</v>
      </c>
      <c r="D273" s="76"/>
      <c r="E273" s="76"/>
      <c r="F273" s="76"/>
      <c r="G273" s="76"/>
      <c r="H273" s="76"/>
      <c r="I273" s="76"/>
      <c r="J273" s="48"/>
      <c r="K273" s="220"/>
      <c r="L273" s="783"/>
      <c r="M273" s="784"/>
      <c r="N273" s="784"/>
      <c r="O273" s="784"/>
      <c r="P273" s="784"/>
      <c r="Q273" s="784"/>
      <c r="R273" s="784"/>
      <c r="S273" s="784"/>
      <c r="T273" s="784"/>
      <c r="U273" s="4"/>
      <c r="V273" s="4"/>
      <c r="W273" s="4"/>
      <c r="X273" s="4"/>
      <c r="Y273" s="4"/>
      <c r="Z273" s="4"/>
      <c r="AA273" s="571"/>
      <c r="AB273" s="4"/>
    </row>
    <row r="274" spans="1:28" outlineLevel="1" x14ac:dyDescent="0.2">
      <c r="A274" s="220"/>
      <c r="B274" s="220"/>
      <c r="C274" s="21" t="s">
        <v>34</v>
      </c>
      <c r="D274" s="76"/>
      <c r="E274" s="76"/>
      <c r="F274" s="76"/>
      <c r="G274" s="76"/>
      <c r="H274" s="76"/>
      <c r="I274" s="76"/>
      <c r="J274" s="76"/>
      <c r="K274" s="220"/>
      <c r="L274" s="783"/>
      <c r="M274" s="784"/>
      <c r="N274" s="784"/>
      <c r="O274" s="784"/>
      <c r="P274" s="784"/>
      <c r="Q274" s="784"/>
      <c r="R274" s="784"/>
      <c r="S274" s="784"/>
      <c r="T274" s="784"/>
      <c r="U274" s="4"/>
      <c r="V274" s="4"/>
      <c r="W274" s="4"/>
      <c r="X274" s="4"/>
      <c r="Y274" s="4"/>
      <c r="Z274" s="4"/>
      <c r="AA274" s="571"/>
      <c r="AB274" s="4"/>
    </row>
    <row r="275" spans="1:28" outlineLevel="1" x14ac:dyDescent="0.2">
      <c r="A275" s="247"/>
      <c r="B275" s="180"/>
      <c r="C275" s="88" t="str">
        <f>"Proportion " &amp; IF(MarketImpact=0,"affected by","affected") &amp; " the proposed medicine"</f>
        <v>Proportion affected the proposed medicine</v>
      </c>
      <c r="D275" s="76"/>
      <c r="E275" s="76"/>
      <c r="F275" s="76"/>
      <c r="G275" s="76"/>
      <c r="H275" s="76"/>
      <c r="I275" s="76"/>
      <c r="J275" s="76"/>
      <c r="K275" s="220"/>
      <c r="L275" s="783"/>
      <c r="M275" s="784"/>
      <c r="N275" s="784"/>
      <c r="O275" s="784"/>
      <c r="P275" s="784"/>
      <c r="Q275" s="784"/>
      <c r="R275" s="784"/>
      <c r="S275" s="784"/>
      <c r="T275" s="784"/>
      <c r="U275" s="4"/>
      <c r="V275" s="4"/>
      <c r="W275" s="4"/>
      <c r="X275" s="4"/>
      <c r="Y275" s="4"/>
      <c r="Z275" s="4"/>
      <c r="AA275" s="571"/>
      <c r="AB275" s="4"/>
    </row>
    <row r="276" spans="1:28" outlineLevel="1" x14ac:dyDescent="0.2">
      <c r="A276" s="264"/>
      <c r="B276" s="264"/>
      <c r="C276" s="23" t="s">
        <v>125</v>
      </c>
      <c r="D276" s="47">
        <f t="shared" ref="D276:J276" si="147">D278-D277</f>
        <v>0</v>
      </c>
      <c r="E276" s="47">
        <f t="shared" si="147"/>
        <v>0</v>
      </c>
      <c r="F276" s="47">
        <f t="shared" si="147"/>
        <v>0</v>
      </c>
      <c r="G276" s="47">
        <f t="shared" si="147"/>
        <v>0</v>
      </c>
      <c r="H276" s="47">
        <f t="shared" si="147"/>
        <v>0</v>
      </c>
      <c r="I276" s="47">
        <f t="shared" si="147"/>
        <v>0</v>
      </c>
      <c r="J276" s="47">
        <f t="shared" si="147"/>
        <v>0</v>
      </c>
      <c r="K276" s="264"/>
      <c r="L276" s="264"/>
      <c r="M276" s="264"/>
      <c r="N276" s="264"/>
      <c r="O276" s="223"/>
      <c r="P276" s="223"/>
      <c r="Q276" s="223"/>
      <c r="R276" s="223"/>
      <c r="S276" s="223"/>
      <c r="T276" s="223"/>
      <c r="U276" s="10"/>
      <c r="V276" s="10"/>
      <c r="W276" s="10"/>
      <c r="X276" s="10"/>
      <c r="Y276" s="10"/>
      <c r="Z276" s="10"/>
      <c r="AA276" s="10"/>
      <c r="AB276" s="10"/>
    </row>
    <row r="277" spans="1:28" outlineLevel="1" x14ac:dyDescent="0.2">
      <c r="A277" s="264"/>
      <c r="B277" s="264"/>
      <c r="C277" s="23" t="s">
        <v>126</v>
      </c>
      <c r="D277" s="47">
        <f t="shared" ref="D277:J277" si="148">IF($B270&lt;&gt;0,ROUND(D278*INDEX(ServiceSplitRPBS,$B270),0),0)</f>
        <v>0</v>
      </c>
      <c r="E277" s="47">
        <f t="shared" si="148"/>
        <v>0</v>
      </c>
      <c r="F277" s="47">
        <f t="shared" si="148"/>
        <v>0</v>
      </c>
      <c r="G277" s="47">
        <f t="shared" si="148"/>
        <v>0</v>
      </c>
      <c r="H277" s="47">
        <f t="shared" si="148"/>
        <v>0</v>
      </c>
      <c r="I277" s="47">
        <f t="shared" si="148"/>
        <v>0</v>
      </c>
      <c r="J277" s="47">
        <f t="shared" si="148"/>
        <v>0</v>
      </c>
      <c r="K277" s="264"/>
      <c r="L277" s="264"/>
      <c r="M277" s="264"/>
      <c r="N277" s="264"/>
      <c r="O277" s="223"/>
      <c r="P277" s="223"/>
      <c r="Q277" s="223"/>
      <c r="R277" s="223"/>
      <c r="S277" s="223"/>
      <c r="T277" s="223"/>
      <c r="U277" s="10"/>
      <c r="V277" s="10"/>
      <c r="W277" s="10"/>
      <c r="X277" s="10"/>
      <c r="Y277" s="10"/>
      <c r="Z277" s="10"/>
      <c r="AA277" s="10"/>
      <c r="AB277" s="10"/>
    </row>
    <row r="278" spans="1:28" outlineLevel="1" x14ac:dyDescent="0.2">
      <c r="A278" s="264"/>
      <c r="B278" s="264"/>
      <c r="C278" s="409" t="s">
        <v>918</v>
      </c>
      <c r="D278" s="50">
        <f t="shared" ref="D278:J278" si="149">IF(D272="","",D275*D274*D272)</f>
        <v>0</v>
      </c>
      <c r="E278" s="50">
        <f t="shared" si="149"/>
        <v>0</v>
      </c>
      <c r="F278" s="50">
        <f t="shared" si="149"/>
        <v>0</v>
      </c>
      <c r="G278" s="50">
        <f t="shared" si="149"/>
        <v>0</v>
      </c>
      <c r="H278" s="50">
        <f t="shared" si="149"/>
        <v>0</v>
      </c>
      <c r="I278" s="50">
        <f t="shared" si="149"/>
        <v>0</v>
      </c>
      <c r="J278" s="50">
        <f t="shared" si="149"/>
        <v>0</v>
      </c>
      <c r="K278" s="264"/>
      <c r="L278" s="264"/>
      <c r="M278" s="264"/>
      <c r="N278" s="264"/>
      <c r="O278" s="223"/>
      <c r="P278" s="223"/>
      <c r="Q278" s="223"/>
      <c r="R278" s="223"/>
      <c r="S278" s="223"/>
      <c r="T278" s="223"/>
      <c r="U278" s="10"/>
      <c r="V278" s="10"/>
      <c r="W278" s="10"/>
      <c r="X278" s="10"/>
      <c r="Y278" s="10"/>
      <c r="Z278" s="10"/>
      <c r="AA278" s="10"/>
      <c r="AB278" s="10"/>
    </row>
    <row r="279" spans="1:28" outlineLevel="1" x14ac:dyDescent="0.2">
      <c r="A279" s="220"/>
      <c r="B279" s="220"/>
      <c r="C279" s="265"/>
      <c r="D279" s="220"/>
      <c r="E279" s="220"/>
      <c r="F279" s="220"/>
      <c r="G279" s="220"/>
      <c r="H279" s="220"/>
      <c r="I279" s="220"/>
      <c r="J279" s="220"/>
      <c r="K279" s="220"/>
      <c r="L279" s="220"/>
      <c r="M279" s="220"/>
      <c r="N279" s="220"/>
      <c r="O279" s="224"/>
      <c r="P279" s="224"/>
      <c r="Q279" s="224"/>
      <c r="R279" s="224"/>
      <c r="S279" s="224"/>
      <c r="T279" s="224"/>
      <c r="U279" s="4"/>
      <c r="V279" s="4"/>
      <c r="W279" s="4"/>
      <c r="X279" s="4"/>
      <c r="Y279" s="4"/>
      <c r="Z279" s="4"/>
      <c r="AA279" s="571"/>
      <c r="AB279" s="4"/>
    </row>
    <row r="280" spans="1:28" x14ac:dyDescent="0.2">
      <c r="A280" s="220"/>
      <c r="B280" s="220"/>
      <c r="C280" s="220"/>
      <c r="D280" s="220"/>
      <c r="E280" s="220"/>
      <c r="F280" s="220"/>
      <c r="G280" s="220"/>
      <c r="H280" s="220"/>
      <c r="I280" s="220"/>
      <c r="J280" s="220"/>
      <c r="K280" s="220"/>
      <c r="L280" s="220"/>
      <c r="M280" s="220"/>
      <c r="N280" s="220"/>
      <c r="O280" s="224"/>
      <c r="P280" s="224"/>
      <c r="Q280" s="224"/>
      <c r="R280" s="224"/>
      <c r="S280" s="224"/>
      <c r="T280" s="224"/>
      <c r="U280" s="4"/>
      <c r="V280" s="4"/>
      <c r="W280" s="4"/>
      <c r="X280" s="4"/>
      <c r="Y280" s="4"/>
      <c r="Z280" s="4"/>
      <c r="AA280" s="571"/>
      <c r="AB280" s="4"/>
    </row>
    <row r="281" spans="1:28" ht="15" x14ac:dyDescent="0.2">
      <c r="A281" s="187"/>
      <c r="B281" s="422">
        <v>16</v>
      </c>
      <c r="C281" s="221" t="str">
        <f>IF($I$97&lt;&gt;"",MsgNotUsed,INDEX(NamesOverallChanged,B281))</f>
        <v>** NOT USED **</v>
      </c>
      <c r="D281" s="207"/>
      <c r="E281" s="207"/>
      <c r="F281" s="207"/>
      <c r="G281" s="207"/>
      <c r="H281" s="189"/>
      <c r="I281" s="782" t="str">
        <f>IF(C281&lt;&gt;MsgNotUsed,"Co-payment group " &amp; INDEX(CoPayBandMS,B281),"")</f>
        <v/>
      </c>
      <c r="J281" s="782"/>
      <c r="K281" s="207"/>
      <c r="L281" s="207"/>
      <c r="M281" s="207"/>
      <c r="N281" s="207"/>
      <c r="O281" s="225"/>
      <c r="P281" s="225"/>
      <c r="Q281" s="225"/>
      <c r="R281" s="225"/>
      <c r="S281" s="225"/>
      <c r="T281" s="225"/>
      <c r="U281" s="41"/>
      <c r="V281" s="41"/>
      <c r="W281" s="41"/>
      <c r="X281" s="41"/>
      <c r="Y281" s="41"/>
      <c r="Z281" s="41"/>
      <c r="AA281" s="41"/>
      <c r="AB281" s="41"/>
    </row>
    <row r="282" spans="1:28" ht="15.75" outlineLevel="1" x14ac:dyDescent="0.2">
      <c r="A282" s="192"/>
      <c r="B282" s="95">
        <f>INDEX(CoPayBandMS,B281)</f>
        <v>0</v>
      </c>
      <c r="C282" s="193"/>
      <c r="D282" s="192"/>
      <c r="E282" s="192"/>
      <c r="F282" s="192"/>
      <c r="G282" s="192"/>
      <c r="H282" s="192"/>
      <c r="I282" s="192"/>
      <c r="J282" s="192"/>
      <c r="K282" s="192"/>
      <c r="L282" s="192"/>
      <c r="M282" s="192"/>
      <c r="N282" s="192"/>
      <c r="O282" s="226"/>
      <c r="P282" s="226"/>
      <c r="Q282" s="226"/>
      <c r="R282" s="226"/>
      <c r="S282" s="226"/>
      <c r="T282" s="226"/>
      <c r="U282" s="3"/>
      <c r="V282" s="3"/>
      <c r="W282" s="3"/>
      <c r="X282" s="3"/>
      <c r="Y282" s="3"/>
      <c r="Z282" s="3"/>
      <c r="AA282" s="3"/>
      <c r="AB282" s="3"/>
    </row>
    <row r="283" spans="1:28" ht="14.25" customHeight="1" outlineLevel="1" x14ac:dyDescent="0.2">
      <c r="A283" s="220"/>
      <c r="B283" s="220"/>
      <c r="C283" s="15"/>
      <c r="D283" s="87">
        <f>E283-1</f>
        <v>-1</v>
      </c>
      <c r="E283" s="87">
        <f>FirstYear</f>
        <v>0</v>
      </c>
      <c r="F283" s="87">
        <f>E283+1</f>
        <v>1</v>
      </c>
      <c r="G283" s="87">
        <f>F283+1</f>
        <v>2</v>
      </c>
      <c r="H283" s="87">
        <f>G283+1</f>
        <v>3</v>
      </c>
      <c r="I283" s="87">
        <f>H283+1</f>
        <v>4</v>
      </c>
      <c r="J283" s="87">
        <f>I283+1</f>
        <v>5</v>
      </c>
      <c r="K283" s="220"/>
      <c r="L283" s="195"/>
      <c r="M283" s="220"/>
      <c r="N283" s="220"/>
      <c r="O283" s="224"/>
      <c r="P283" s="224"/>
      <c r="Q283" s="224"/>
      <c r="R283" s="224"/>
      <c r="S283" s="224"/>
      <c r="T283" s="224"/>
      <c r="U283" s="4"/>
      <c r="V283" s="4"/>
      <c r="W283" s="4"/>
      <c r="X283" s="4"/>
      <c r="Y283" s="4"/>
      <c r="Z283" s="4"/>
      <c r="AA283" s="571"/>
      <c r="AB283" s="4"/>
    </row>
    <row r="284" spans="1:28" outlineLevel="1" x14ac:dyDescent="0.2">
      <c r="A284" s="220"/>
      <c r="B284" s="220"/>
      <c r="C284" s="8" t="s">
        <v>132</v>
      </c>
      <c r="D284" s="53">
        <f>IF($I$97="",-R65,0)</f>
        <v>0</v>
      </c>
      <c r="E284" s="53">
        <f t="shared" ref="E284" si="150">IF(D284="","",D284*(1+D285))</f>
        <v>0</v>
      </c>
      <c r="F284" s="53">
        <f t="shared" ref="F284" si="151">IF(E284="","",E284*(1+E285))</f>
        <v>0</v>
      </c>
      <c r="G284" s="53">
        <f t="shared" ref="G284" si="152">IF(F284="","",F284*(1+F285))</f>
        <v>0</v>
      </c>
      <c r="H284" s="53">
        <f t="shared" ref="H284" si="153">IF(G284="","",G284*(1+G285))</f>
        <v>0</v>
      </c>
      <c r="I284" s="53">
        <f t="shared" ref="I284" si="154">IF(H284="","",H284*(1+H285))</f>
        <v>0</v>
      </c>
      <c r="J284" s="53">
        <f t="shared" ref="J284" si="155">IF(I284="","",I284*(1+I285))</f>
        <v>0</v>
      </c>
      <c r="K284" s="220"/>
      <c r="L284" s="19" t="s">
        <v>292</v>
      </c>
      <c r="M284" s="220"/>
      <c r="N284" s="195"/>
      <c r="O284" s="227"/>
      <c r="P284" s="224"/>
      <c r="Q284" s="224"/>
      <c r="R284" s="224"/>
      <c r="S284" s="224"/>
      <c r="T284" s="224"/>
      <c r="U284" s="4"/>
      <c r="V284" s="4"/>
      <c r="W284" s="4"/>
      <c r="X284" s="4"/>
      <c r="Y284" s="4"/>
      <c r="Z284" s="4"/>
      <c r="AA284" s="571"/>
      <c r="AB284" s="4"/>
    </row>
    <row r="285" spans="1:28" outlineLevel="1" x14ac:dyDescent="0.2">
      <c r="A285" s="220"/>
      <c r="B285" s="220"/>
      <c r="C285" s="21" t="s">
        <v>27</v>
      </c>
      <c r="D285" s="76"/>
      <c r="E285" s="76"/>
      <c r="F285" s="76"/>
      <c r="G285" s="76"/>
      <c r="H285" s="76"/>
      <c r="I285" s="76"/>
      <c r="J285" s="48"/>
      <c r="K285" s="220"/>
      <c r="L285" s="783"/>
      <c r="M285" s="784"/>
      <c r="N285" s="784"/>
      <c r="O285" s="784"/>
      <c r="P285" s="784"/>
      <c r="Q285" s="784"/>
      <c r="R285" s="784"/>
      <c r="S285" s="784"/>
      <c r="T285" s="784"/>
      <c r="U285" s="4"/>
      <c r="V285" s="4"/>
      <c r="W285" s="4"/>
      <c r="X285" s="4"/>
      <c r="Y285" s="4"/>
      <c r="Z285" s="4"/>
      <c r="AA285" s="571"/>
      <c r="AB285" s="4"/>
    </row>
    <row r="286" spans="1:28" outlineLevel="1" x14ac:dyDescent="0.2">
      <c r="A286" s="220"/>
      <c r="B286" s="220"/>
      <c r="C286" s="21" t="s">
        <v>34</v>
      </c>
      <c r="D286" s="76"/>
      <c r="E286" s="76"/>
      <c r="F286" s="76"/>
      <c r="G286" s="76"/>
      <c r="H286" s="76"/>
      <c r="I286" s="76"/>
      <c r="J286" s="76"/>
      <c r="K286" s="220"/>
      <c r="L286" s="783"/>
      <c r="M286" s="784"/>
      <c r="N286" s="784"/>
      <c r="O286" s="784"/>
      <c r="P286" s="784"/>
      <c r="Q286" s="784"/>
      <c r="R286" s="784"/>
      <c r="S286" s="784"/>
      <c r="T286" s="784"/>
      <c r="U286" s="4"/>
      <c r="V286" s="4"/>
      <c r="W286" s="4"/>
      <c r="X286" s="4"/>
      <c r="Y286" s="4"/>
      <c r="Z286" s="4"/>
      <c r="AA286" s="571"/>
      <c r="AB286" s="4"/>
    </row>
    <row r="287" spans="1:28" outlineLevel="1" x14ac:dyDescent="0.2">
      <c r="A287" s="247"/>
      <c r="B287" s="180"/>
      <c r="C287" s="88" t="str">
        <f>"Proportion " &amp; IF(MarketImpact=0,"affected by","affected") &amp; " the proposed medicine"</f>
        <v>Proportion affected the proposed medicine</v>
      </c>
      <c r="D287" s="76"/>
      <c r="E287" s="76"/>
      <c r="F287" s="76"/>
      <c r="G287" s="76"/>
      <c r="H287" s="76"/>
      <c r="I287" s="76"/>
      <c r="J287" s="76"/>
      <c r="K287" s="220"/>
      <c r="L287" s="783"/>
      <c r="M287" s="784"/>
      <c r="N287" s="784"/>
      <c r="O287" s="784"/>
      <c r="P287" s="784"/>
      <c r="Q287" s="784"/>
      <c r="R287" s="784"/>
      <c r="S287" s="784"/>
      <c r="T287" s="784"/>
      <c r="U287" s="4"/>
      <c r="V287" s="4"/>
      <c r="W287" s="4"/>
      <c r="X287" s="4"/>
      <c r="Y287" s="4"/>
      <c r="Z287" s="4"/>
      <c r="AA287" s="571"/>
      <c r="AB287" s="4"/>
    </row>
    <row r="288" spans="1:28" outlineLevel="1" x14ac:dyDescent="0.2">
      <c r="A288" s="264"/>
      <c r="B288" s="264"/>
      <c r="C288" s="23" t="s">
        <v>125</v>
      </c>
      <c r="D288" s="47">
        <f t="shared" ref="D288:J288" si="156">D290-D289</f>
        <v>0</v>
      </c>
      <c r="E288" s="47">
        <f t="shared" si="156"/>
        <v>0</v>
      </c>
      <c r="F288" s="47">
        <f t="shared" si="156"/>
        <v>0</v>
      </c>
      <c r="G288" s="47">
        <f t="shared" si="156"/>
        <v>0</v>
      </c>
      <c r="H288" s="47">
        <f t="shared" si="156"/>
        <v>0</v>
      </c>
      <c r="I288" s="47">
        <f t="shared" si="156"/>
        <v>0</v>
      </c>
      <c r="J288" s="47">
        <f t="shared" si="156"/>
        <v>0</v>
      </c>
      <c r="K288" s="264"/>
      <c r="L288" s="264"/>
      <c r="M288" s="264"/>
      <c r="N288" s="264"/>
      <c r="O288" s="223"/>
      <c r="P288" s="223"/>
      <c r="Q288" s="223"/>
      <c r="R288" s="223"/>
      <c r="S288" s="223"/>
      <c r="T288" s="223"/>
      <c r="U288" s="10"/>
      <c r="V288" s="10"/>
      <c r="W288" s="10"/>
      <c r="X288" s="10"/>
      <c r="Y288" s="10"/>
      <c r="Z288" s="10"/>
      <c r="AA288" s="10"/>
      <c r="AB288" s="10"/>
    </row>
    <row r="289" spans="1:28" outlineLevel="1" x14ac:dyDescent="0.2">
      <c r="A289" s="264"/>
      <c r="B289" s="264"/>
      <c r="C289" s="23" t="s">
        <v>126</v>
      </c>
      <c r="D289" s="47">
        <f t="shared" ref="D289:J289" si="157">IF($B282&lt;&gt;0,ROUND(D290*INDEX(ServiceSplitRPBS,$B282),0),0)</f>
        <v>0</v>
      </c>
      <c r="E289" s="47">
        <f t="shared" si="157"/>
        <v>0</v>
      </c>
      <c r="F289" s="47">
        <f t="shared" si="157"/>
        <v>0</v>
      </c>
      <c r="G289" s="47">
        <f t="shared" si="157"/>
        <v>0</v>
      </c>
      <c r="H289" s="47">
        <f t="shared" si="157"/>
        <v>0</v>
      </c>
      <c r="I289" s="47">
        <f t="shared" si="157"/>
        <v>0</v>
      </c>
      <c r="J289" s="47">
        <f t="shared" si="157"/>
        <v>0</v>
      </c>
      <c r="K289" s="264"/>
      <c r="L289" s="264"/>
      <c r="M289" s="264"/>
      <c r="N289" s="264"/>
      <c r="O289" s="223"/>
      <c r="P289" s="223"/>
      <c r="Q289" s="223"/>
      <c r="R289" s="223"/>
      <c r="S289" s="223"/>
      <c r="T289" s="223"/>
      <c r="U289" s="10"/>
      <c r="V289" s="10"/>
      <c r="W289" s="10"/>
      <c r="X289" s="10"/>
      <c r="Y289" s="10"/>
      <c r="Z289" s="10"/>
      <c r="AA289" s="10"/>
      <c r="AB289" s="10"/>
    </row>
    <row r="290" spans="1:28" outlineLevel="1" x14ac:dyDescent="0.2">
      <c r="A290" s="264"/>
      <c r="B290" s="264"/>
      <c r="C290" s="409" t="s">
        <v>918</v>
      </c>
      <c r="D290" s="50">
        <f t="shared" ref="D290:J290" si="158">IF(D284="","",D287*D286*D284)</f>
        <v>0</v>
      </c>
      <c r="E290" s="50">
        <f t="shared" si="158"/>
        <v>0</v>
      </c>
      <c r="F290" s="50">
        <f t="shared" si="158"/>
        <v>0</v>
      </c>
      <c r="G290" s="50">
        <f t="shared" si="158"/>
        <v>0</v>
      </c>
      <c r="H290" s="50">
        <f t="shared" si="158"/>
        <v>0</v>
      </c>
      <c r="I290" s="50">
        <f t="shared" si="158"/>
        <v>0</v>
      </c>
      <c r="J290" s="50">
        <f t="shared" si="158"/>
        <v>0</v>
      </c>
      <c r="K290" s="264"/>
      <c r="L290" s="264"/>
      <c r="M290" s="264"/>
      <c r="N290" s="264"/>
      <c r="O290" s="223"/>
      <c r="P290" s="223"/>
      <c r="Q290" s="223"/>
      <c r="R290" s="223"/>
      <c r="S290" s="223"/>
      <c r="T290" s="223"/>
      <c r="U290" s="10"/>
      <c r="V290" s="10"/>
      <c r="W290" s="10"/>
      <c r="X290" s="10"/>
      <c r="Y290" s="10"/>
      <c r="Z290" s="10"/>
      <c r="AA290" s="10"/>
      <c r="AB290" s="10"/>
    </row>
    <row r="291" spans="1:28" outlineLevel="1" x14ac:dyDescent="0.2">
      <c r="A291" s="220"/>
      <c r="B291" s="220"/>
      <c r="C291" s="265"/>
      <c r="D291" s="220"/>
      <c r="E291" s="220"/>
      <c r="F291" s="220"/>
      <c r="G291" s="220"/>
      <c r="H291" s="220"/>
      <c r="I291" s="220"/>
      <c r="J291" s="220"/>
      <c r="K291" s="220"/>
      <c r="L291" s="220"/>
      <c r="M291" s="220"/>
      <c r="N291" s="220"/>
      <c r="O291" s="224"/>
      <c r="P291" s="224"/>
      <c r="Q291" s="224"/>
      <c r="R291" s="224"/>
      <c r="S291" s="224"/>
      <c r="T291" s="224"/>
      <c r="U291" s="4"/>
      <c r="V291" s="4"/>
      <c r="W291" s="4"/>
      <c r="X291" s="4"/>
      <c r="Y291" s="4"/>
      <c r="Z291" s="4"/>
      <c r="AA291" s="571"/>
      <c r="AB291" s="4"/>
    </row>
    <row r="292" spans="1:28" x14ac:dyDescent="0.2">
      <c r="A292" s="220"/>
      <c r="B292" s="220"/>
      <c r="C292" s="220"/>
      <c r="D292" s="220"/>
      <c r="E292" s="220"/>
      <c r="F292" s="220"/>
      <c r="G292" s="220"/>
      <c r="H292" s="220"/>
      <c r="I292" s="220"/>
      <c r="J292" s="220"/>
      <c r="K292" s="220"/>
      <c r="L292" s="220"/>
      <c r="M292" s="220"/>
      <c r="N292" s="220"/>
      <c r="O292" s="224"/>
      <c r="P292" s="224"/>
      <c r="Q292" s="224"/>
      <c r="R292" s="224"/>
      <c r="S292" s="224"/>
      <c r="T292" s="224"/>
      <c r="U292" s="4"/>
      <c r="V292" s="4"/>
      <c r="W292" s="4"/>
      <c r="X292" s="4"/>
      <c r="Y292" s="4"/>
      <c r="Z292" s="4"/>
      <c r="AA292" s="571"/>
      <c r="AB292" s="4"/>
    </row>
    <row r="293" spans="1:28" ht="15" x14ac:dyDescent="0.2">
      <c r="A293" s="187"/>
      <c r="B293" s="422">
        <v>17</v>
      </c>
      <c r="C293" s="221" t="str">
        <f>IF($I$97&lt;&gt;"",MsgNotUsed,INDEX(NamesOverallChanged,B293))</f>
        <v>** NOT USED **</v>
      </c>
      <c r="D293" s="207"/>
      <c r="E293" s="207"/>
      <c r="F293" s="207"/>
      <c r="G293" s="207"/>
      <c r="H293" s="189"/>
      <c r="I293" s="782" t="str">
        <f>IF(C293&lt;&gt;MsgNotUsed,"Co-payment group " &amp; INDEX(CoPayBandMS,B293),"")</f>
        <v/>
      </c>
      <c r="J293" s="782"/>
      <c r="K293" s="207"/>
      <c r="L293" s="207"/>
      <c r="M293" s="207"/>
      <c r="N293" s="207"/>
      <c r="O293" s="225"/>
      <c r="P293" s="225"/>
      <c r="Q293" s="225"/>
      <c r="R293" s="225"/>
      <c r="S293" s="225"/>
      <c r="T293" s="225"/>
      <c r="U293" s="41"/>
      <c r="V293" s="41"/>
      <c r="W293" s="41"/>
      <c r="X293" s="41"/>
      <c r="Y293" s="41"/>
      <c r="Z293" s="41"/>
      <c r="AA293" s="41"/>
      <c r="AB293" s="41"/>
    </row>
    <row r="294" spans="1:28" ht="15.75" outlineLevel="1" x14ac:dyDescent="0.2">
      <c r="A294" s="192"/>
      <c r="B294" s="95">
        <f>INDEX(CoPayBandMS,B293)</f>
        <v>0</v>
      </c>
      <c r="C294" s="193"/>
      <c r="D294" s="192"/>
      <c r="E294" s="192"/>
      <c r="F294" s="192"/>
      <c r="G294" s="192"/>
      <c r="H294" s="192"/>
      <c r="I294" s="192"/>
      <c r="J294" s="192"/>
      <c r="K294" s="192"/>
      <c r="L294" s="192"/>
      <c r="M294" s="192"/>
      <c r="N294" s="192"/>
      <c r="O294" s="226"/>
      <c r="P294" s="226"/>
      <c r="Q294" s="226"/>
      <c r="R294" s="226"/>
      <c r="S294" s="226"/>
      <c r="T294" s="226"/>
      <c r="U294" s="3"/>
      <c r="V294" s="3"/>
      <c r="W294" s="3"/>
      <c r="X294" s="3"/>
      <c r="Y294" s="3"/>
      <c r="Z294" s="3"/>
      <c r="AA294" s="3"/>
      <c r="AB294" s="3"/>
    </row>
    <row r="295" spans="1:28" ht="14.25" customHeight="1" outlineLevel="1" x14ac:dyDescent="0.2">
      <c r="A295" s="220"/>
      <c r="B295" s="220"/>
      <c r="C295" s="15"/>
      <c r="D295" s="87">
        <f>E295-1</f>
        <v>-1</v>
      </c>
      <c r="E295" s="87">
        <f>FirstYear</f>
        <v>0</v>
      </c>
      <c r="F295" s="87">
        <f>E295+1</f>
        <v>1</v>
      </c>
      <c r="G295" s="87">
        <f>F295+1</f>
        <v>2</v>
      </c>
      <c r="H295" s="87">
        <f>G295+1</f>
        <v>3</v>
      </c>
      <c r="I295" s="87">
        <f>H295+1</f>
        <v>4</v>
      </c>
      <c r="J295" s="87">
        <f>I295+1</f>
        <v>5</v>
      </c>
      <c r="K295" s="220"/>
      <c r="L295" s="195"/>
      <c r="M295" s="220"/>
      <c r="N295" s="220"/>
      <c r="O295" s="224"/>
      <c r="P295" s="224"/>
      <c r="Q295" s="224"/>
      <c r="R295" s="224"/>
      <c r="S295" s="224"/>
      <c r="T295" s="224"/>
      <c r="U295" s="4"/>
      <c r="V295" s="4"/>
      <c r="W295" s="4"/>
      <c r="X295" s="4"/>
      <c r="Y295" s="4"/>
      <c r="Z295" s="4"/>
      <c r="AA295" s="571"/>
      <c r="AB295" s="4"/>
    </row>
    <row r="296" spans="1:28" outlineLevel="1" x14ac:dyDescent="0.2">
      <c r="A296" s="220"/>
      <c r="B296" s="220"/>
      <c r="C296" s="8" t="s">
        <v>132</v>
      </c>
      <c r="D296" s="53">
        <f>IF($I$97="",-R66,0)</f>
        <v>0</v>
      </c>
      <c r="E296" s="53">
        <f t="shared" ref="E296" si="159">IF(D296="","",D296*(1+D297))</f>
        <v>0</v>
      </c>
      <c r="F296" s="53">
        <f t="shared" ref="F296" si="160">IF(E296="","",E296*(1+E297))</f>
        <v>0</v>
      </c>
      <c r="G296" s="53">
        <f t="shared" ref="G296" si="161">IF(F296="","",F296*(1+F297))</f>
        <v>0</v>
      </c>
      <c r="H296" s="53">
        <f t="shared" ref="H296" si="162">IF(G296="","",G296*(1+G297))</f>
        <v>0</v>
      </c>
      <c r="I296" s="53">
        <f t="shared" ref="I296" si="163">IF(H296="","",H296*(1+H297))</f>
        <v>0</v>
      </c>
      <c r="J296" s="53">
        <f t="shared" ref="J296" si="164">IF(I296="","",I296*(1+I297))</f>
        <v>0</v>
      </c>
      <c r="K296" s="220"/>
      <c r="L296" s="19" t="s">
        <v>292</v>
      </c>
      <c r="M296" s="220"/>
      <c r="N296" s="195"/>
      <c r="O296" s="227"/>
      <c r="P296" s="224"/>
      <c r="Q296" s="224"/>
      <c r="R296" s="224"/>
      <c r="S296" s="224"/>
      <c r="T296" s="224"/>
      <c r="U296" s="4"/>
      <c r="V296" s="4"/>
      <c r="W296" s="4"/>
      <c r="X296" s="4"/>
      <c r="Y296" s="4"/>
      <c r="Z296" s="4"/>
      <c r="AA296" s="571"/>
      <c r="AB296" s="4"/>
    </row>
    <row r="297" spans="1:28" outlineLevel="1" x14ac:dyDescent="0.2">
      <c r="A297" s="220"/>
      <c r="B297" s="220"/>
      <c r="C297" s="21" t="s">
        <v>27</v>
      </c>
      <c r="D297" s="76"/>
      <c r="E297" s="76"/>
      <c r="F297" s="76"/>
      <c r="G297" s="76"/>
      <c r="H297" s="76"/>
      <c r="I297" s="76"/>
      <c r="J297" s="48"/>
      <c r="K297" s="220"/>
      <c r="L297" s="783"/>
      <c r="M297" s="784"/>
      <c r="N297" s="784"/>
      <c r="O297" s="784"/>
      <c r="P297" s="784"/>
      <c r="Q297" s="784"/>
      <c r="R297" s="784"/>
      <c r="S297" s="784"/>
      <c r="T297" s="784"/>
      <c r="U297" s="4"/>
      <c r="V297" s="4"/>
      <c r="W297" s="4"/>
      <c r="X297" s="4"/>
      <c r="Y297" s="4"/>
      <c r="Z297" s="4"/>
      <c r="AA297" s="571"/>
      <c r="AB297" s="4"/>
    </row>
    <row r="298" spans="1:28" outlineLevel="1" x14ac:dyDescent="0.2">
      <c r="A298" s="220"/>
      <c r="B298" s="220"/>
      <c r="C298" s="21" t="s">
        <v>34</v>
      </c>
      <c r="D298" s="76"/>
      <c r="E298" s="76"/>
      <c r="F298" s="76"/>
      <c r="G298" s="76"/>
      <c r="H298" s="76"/>
      <c r="I298" s="76"/>
      <c r="J298" s="76"/>
      <c r="K298" s="220"/>
      <c r="L298" s="783"/>
      <c r="M298" s="784"/>
      <c r="N298" s="784"/>
      <c r="O298" s="784"/>
      <c r="P298" s="784"/>
      <c r="Q298" s="784"/>
      <c r="R298" s="784"/>
      <c r="S298" s="784"/>
      <c r="T298" s="784"/>
      <c r="U298" s="4"/>
      <c r="V298" s="4"/>
      <c r="W298" s="4"/>
      <c r="X298" s="4"/>
      <c r="Y298" s="4"/>
      <c r="Z298" s="4"/>
      <c r="AA298" s="571"/>
      <c r="AB298" s="4"/>
    </row>
    <row r="299" spans="1:28" outlineLevel="1" x14ac:dyDescent="0.2">
      <c r="A299" s="247"/>
      <c r="B299" s="180"/>
      <c r="C299" s="88" t="str">
        <f>"Proportion " &amp; IF(MarketImpact=0,"affected by","affected") &amp; " the proposed medicine"</f>
        <v>Proportion affected the proposed medicine</v>
      </c>
      <c r="D299" s="76"/>
      <c r="E299" s="76"/>
      <c r="F299" s="76"/>
      <c r="G299" s="76"/>
      <c r="H299" s="76"/>
      <c r="I299" s="76"/>
      <c r="J299" s="76"/>
      <c r="K299" s="220"/>
      <c r="L299" s="783"/>
      <c r="M299" s="784"/>
      <c r="N299" s="784"/>
      <c r="O299" s="784"/>
      <c r="P299" s="784"/>
      <c r="Q299" s="784"/>
      <c r="R299" s="784"/>
      <c r="S299" s="784"/>
      <c r="T299" s="784"/>
      <c r="U299" s="4"/>
      <c r="V299" s="4"/>
      <c r="W299" s="4"/>
      <c r="X299" s="4"/>
      <c r="Y299" s="4"/>
      <c r="Z299" s="4"/>
      <c r="AA299" s="571"/>
      <c r="AB299" s="4"/>
    </row>
    <row r="300" spans="1:28" outlineLevel="1" x14ac:dyDescent="0.2">
      <c r="A300" s="264"/>
      <c r="B300" s="264"/>
      <c r="C300" s="23" t="s">
        <v>125</v>
      </c>
      <c r="D300" s="47">
        <f t="shared" ref="D300:J300" si="165">D302-D301</f>
        <v>0</v>
      </c>
      <c r="E300" s="47">
        <f t="shared" si="165"/>
        <v>0</v>
      </c>
      <c r="F300" s="47">
        <f t="shared" si="165"/>
        <v>0</v>
      </c>
      <c r="G300" s="47">
        <f t="shared" si="165"/>
        <v>0</v>
      </c>
      <c r="H300" s="47">
        <f t="shared" si="165"/>
        <v>0</v>
      </c>
      <c r="I300" s="47">
        <f t="shared" si="165"/>
        <v>0</v>
      </c>
      <c r="J300" s="47">
        <f t="shared" si="165"/>
        <v>0</v>
      </c>
      <c r="K300" s="264"/>
      <c r="L300" s="264"/>
      <c r="M300" s="264"/>
      <c r="N300" s="264"/>
      <c r="O300" s="223"/>
      <c r="P300" s="223"/>
      <c r="Q300" s="223"/>
      <c r="R300" s="223"/>
      <c r="S300" s="223"/>
      <c r="T300" s="223"/>
      <c r="U300" s="10"/>
      <c r="V300" s="10"/>
      <c r="W300" s="10"/>
      <c r="X300" s="10"/>
      <c r="Y300" s="10"/>
      <c r="Z300" s="10"/>
      <c r="AA300" s="10"/>
      <c r="AB300" s="10"/>
    </row>
    <row r="301" spans="1:28" outlineLevel="1" x14ac:dyDescent="0.2">
      <c r="A301" s="264"/>
      <c r="B301" s="264"/>
      <c r="C301" s="23" t="s">
        <v>126</v>
      </c>
      <c r="D301" s="47">
        <f t="shared" ref="D301:J301" si="166">IF($B294&lt;&gt;0,ROUND(D302*INDEX(ServiceSplitRPBS,$B294),0),0)</f>
        <v>0</v>
      </c>
      <c r="E301" s="47">
        <f t="shared" si="166"/>
        <v>0</v>
      </c>
      <c r="F301" s="47">
        <f t="shared" si="166"/>
        <v>0</v>
      </c>
      <c r="G301" s="47">
        <f t="shared" si="166"/>
        <v>0</v>
      </c>
      <c r="H301" s="47">
        <f t="shared" si="166"/>
        <v>0</v>
      </c>
      <c r="I301" s="47">
        <f t="shared" si="166"/>
        <v>0</v>
      </c>
      <c r="J301" s="47">
        <f t="shared" si="166"/>
        <v>0</v>
      </c>
      <c r="K301" s="264"/>
      <c r="L301" s="264"/>
      <c r="M301" s="264"/>
      <c r="N301" s="264"/>
      <c r="O301" s="223"/>
      <c r="P301" s="223"/>
      <c r="Q301" s="223"/>
      <c r="R301" s="223"/>
      <c r="S301" s="223"/>
      <c r="T301" s="223"/>
      <c r="U301" s="10"/>
      <c r="V301" s="10"/>
      <c r="W301" s="10"/>
      <c r="X301" s="10"/>
      <c r="Y301" s="10"/>
      <c r="Z301" s="10"/>
      <c r="AA301" s="10"/>
      <c r="AB301" s="10"/>
    </row>
    <row r="302" spans="1:28" outlineLevel="1" x14ac:dyDescent="0.2">
      <c r="A302" s="264"/>
      <c r="B302" s="264"/>
      <c r="C302" s="409" t="s">
        <v>918</v>
      </c>
      <c r="D302" s="50">
        <f t="shared" ref="D302:J302" si="167">IF(D296="","",D299*D298*D296)</f>
        <v>0</v>
      </c>
      <c r="E302" s="50">
        <f t="shared" si="167"/>
        <v>0</v>
      </c>
      <c r="F302" s="50">
        <f t="shared" si="167"/>
        <v>0</v>
      </c>
      <c r="G302" s="50">
        <f t="shared" si="167"/>
        <v>0</v>
      </c>
      <c r="H302" s="50">
        <f t="shared" si="167"/>
        <v>0</v>
      </c>
      <c r="I302" s="50">
        <f t="shared" si="167"/>
        <v>0</v>
      </c>
      <c r="J302" s="50">
        <f t="shared" si="167"/>
        <v>0</v>
      </c>
      <c r="K302" s="264"/>
      <c r="L302" s="264"/>
      <c r="M302" s="264"/>
      <c r="N302" s="264"/>
      <c r="O302" s="223"/>
      <c r="P302" s="223"/>
      <c r="Q302" s="223"/>
      <c r="R302" s="223"/>
      <c r="S302" s="223"/>
      <c r="T302" s="223"/>
      <c r="U302" s="10"/>
      <c r="V302" s="10"/>
      <c r="W302" s="10"/>
      <c r="X302" s="10"/>
      <c r="Y302" s="10"/>
      <c r="Z302" s="10"/>
      <c r="AA302" s="10"/>
      <c r="AB302" s="10"/>
    </row>
    <row r="303" spans="1:28" outlineLevel="1" x14ac:dyDescent="0.2">
      <c r="A303" s="220"/>
      <c r="B303" s="220"/>
      <c r="C303" s="265"/>
      <c r="D303" s="220"/>
      <c r="E303" s="220"/>
      <c r="F303" s="220"/>
      <c r="G303" s="220"/>
      <c r="H303" s="220"/>
      <c r="I303" s="220"/>
      <c r="J303" s="220"/>
      <c r="K303" s="220"/>
      <c r="L303" s="220"/>
      <c r="M303" s="220"/>
      <c r="N303" s="220"/>
      <c r="O303" s="224"/>
      <c r="P303" s="224"/>
      <c r="Q303" s="224"/>
      <c r="R303" s="224"/>
      <c r="S303" s="224"/>
      <c r="T303" s="224"/>
      <c r="U303" s="4"/>
      <c r="V303" s="4"/>
      <c r="W303" s="4"/>
      <c r="X303" s="4"/>
      <c r="Y303" s="4"/>
      <c r="Z303" s="4"/>
      <c r="AA303" s="571"/>
      <c r="AB303" s="4"/>
    </row>
    <row r="304" spans="1:28" x14ac:dyDescent="0.2">
      <c r="A304" s="220"/>
      <c r="B304" s="220"/>
      <c r="C304" s="220"/>
      <c r="D304" s="220"/>
      <c r="E304" s="220"/>
      <c r="F304" s="220"/>
      <c r="G304" s="220"/>
      <c r="H304" s="220"/>
      <c r="I304" s="220"/>
      <c r="J304" s="220"/>
      <c r="K304" s="220"/>
      <c r="L304" s="220"/>
      <c r="M304" s="220"/>
      <c r="N304" s="220"/>
      <c r="O304" s="224"/>
      <c r="P304" s="224"/>
      <c r="Q304" s="224"/>
      <c r="R304" s="224"/>
      <c r="S304" s="224"/>
      <c r="T304" s="224"/>
      <c r="U304" s="4"/>
      <c r="V304" s="4"/>
      <c r="W304" s="4"/>
      <c r="X304" s="4"/>
      <c r="Y304" s="4"/>
      <c r="Z304" s="4"/>
      <c r="AA304" s="571"/>
      <c r="AB304" s="4"/>
    </row>
    <row r="305" spans="1:28" ht="15" x14ac:dyDescent="0.2">
      <c r="A305" s="187"/>
      <c r="B305" s="422">
        <v>18</v>
      </c>
      <c r="C305" s="221" t="str">
        <f>IF($I$97&lt;&gt;"",MsgNotUsed,INDEX(NamesOverallChanged,B305))</f>
        <v>** NOT USED **</v>
      </c>
      <c r="D305" s="207"/>
      <c r="E305" s="207"/>
      <c r="F305" s="207"/>
      <c r="G305" s="207"/>
      <c r="H305" s="189"/>
      <c r="I305" s="782" t="str">
        <f>IF(C305&lt;&gt;MsgNotUsed,"Co-payment group " &amp; INDEX(CoPayBandMS,B305),"")</f>
        <v/>
      </c>
      <c r="J305" s="782"/>
      <c r="K305" s="207"/>
      <c r="L305" s="207"/>
      <c r="M305" s="207"/>
      <c r="N305" s="207"/>
      <c r="O305" s="225"/>
      <c r="P305" s="225"/>
      <c r="Q305" s="225"/>
      <c r="R305" s="225"/>
      <c r="S305" s="225"/>
      <c r="T305" s="225"/>
      <c r="U305" s="41"/>
      <c r="V305" s="41"/>
      <c r="W305" s="41"/>
      <c r="X305" s="41"/>
      <c r="Y305" s="41"/>
      <c r="Z305" s="41"/>
      <c r="AA305" s="41"/>
      <c r="AB305" s="41"/>
    </row>
    <row r="306" spans="1:28" ht="15.75" outlineLevel="1" x14ac:dyDescent="0.2">
      <c r="A306" s="192"/>
      <c r="B306" s="95">
        <f>INDEX(CoPayBandMS,B305)</f>
        <v>0</v>
      </c>
      <c r="C306" s="193"/>
      <c r="D306" s="192"/>
      <c r="E306" s="192"/>
      <c r="F306" s="192"/>
      <c r="G306" s="192"/>
      <c r="H306" s="192"/>
      <c r="I306" s="192"/>
      <c r="J306" s="192"/>
      <c r="K306" s="192"/>
      <c r="L306" s="192"/>
      <c r="M306" s="192"/>
      <c r="N306" s="192"/>
      <c r="O306" s="226"/>
      <c r="P306" s="226"/>
      <c r="Q306" s="226"/>
      <c r="R306" s="226"/>
      <c r="S306" s="226"/>
      <c r="T306" s="226"/>
      <c r="U306" s="3"/>
      <c r="V306" s="3"/>
      <c r="W306" s="3"/>
      <c r="X306" s="3"/>
      <c r="Y306" s="3"/>
      <c r="Z306" s="3"/>
      <c r="AA306" s="3"/>
      <c r="AB306" s="3"/>
    </row>
    <row r="307" spans="1:28" ht="14.25" customHeight="1" outlineLevel="1" x14ac:dyDescent="0.2">
      <c r="A307" s="220"/>
      <c r="B307" s="220"/>
      <c r="C307" s="15"/>
      <c r="D307" s="87">
        <f>E307-1</f>
        <v>-1</v>
      </c>
      <c r="E307" s="87">
        <f>FirstYear</f>
        <v>0</v>
      </c>
      <c r="F307" s="87">
        <f>E307+1</f>
        <v>1</v>
      </c>
      <c r="G307" s="87">
        <f>F307+1</f>
        <v>2</v>
      </c>
      <c r="H307" s="87">
        <f>G307+1</f>
        <v>3</v>
      </c>
      <c r="I307" s="87">
        <f>H307+1</f>
        <v>4</v>
      </c>
      <c r="J307" s="87">
        <f>I307+1</f>
        <v>5</v>
      </c>
      <c r="K307" s="220"/>
      <c r="L307" s="195"/>
      <c r="M307" s="220"/>
      <c r="N307" s="220"/>
      <c r="O307" s="224"/>
      <c r="P307" s="224"/>
      <c r="Q307" s="224"/>
      <c r="R307" s="224"/>
      <c r="S307" s="224"/>
      <c r="T307" s="224"/>
      <c r="U307" s="4"/>
      <c r="V307" s="4"/>
      <c r="W307" s="4"/>
      <c r="X307" s="4"/>
      <c r="Y307" s="4"/>
      <c r="Z307" s="4"/>
      <c r="AA307" s="571"/>
      <c r="AB307" s="4"/>
    </row>
    <row r="308" spans="1:28" outlineLevel="1" x14ac:dyDescent="0.2">
      <c r="A308" s="220"/>
      <c r="B308" s="220"/>
      <c r="C308" s="8" t="s">
        <v>132</v>
      </c>
      <c r="D308" s="53">
        <f>IF($I$97="",-R67,0)</f>
        <v>0</v>
      </c>
      <c r="E308" s="53">
        <f t="shared" ref="E308" si="168">IF(D308="","",D308*(1+D309))</f>
        <v>0</v>
      </c>
      <c r="F308" s="53">
        <f t="shared" ref="F308" si="169">IF(E308="","",E308*(1+E309))</f>
        <v>0</v>
      </c>
      <c r="G308" s="53">
        <f t="shared" ref="G308" si="170">IF(F308="","",F308*(1+F309))</f>
        <v>0</v>
      </c>
      <c r="H308" s="53">
        <f t="shared" ref="H308" si="171">IF(G308="","",G308*(1+G309))</f>
        <v>0</v>
      </c>
      <c r="I308" s="53">
        <f t="shared" ref="I308" si="172">IF(H308="","",H308*(1+H309))</f>
        <v>0</v>
      </c>
      <c r="J308" s="53">
        <f t="shared" ref="J308" si="173">IF(I308="","",I308*(1+I309))</f>
        <v>0</v>
      </c>
      <c r="K308" s="220"/>
      <c r="L308" s="19" t="s">
        <v>292</v>
      </c>
      <c r="M308" s="220"/>
      <c r="N308" s="195"/>
      <c r="O308" s="227"/>
      <c r="P308" s="224"/>
      <c r="Q308" s="224"/>
      <c r="R308" s="224"/>
      <c r="S308" s="224"/>
      <c r="T308" s="224"/>
      <c r="U308" s="4"/>
      <c r="V308" s="4"/>
      <c r="W308" s="4"/>
      <c r="X308" s="4"/>
      <c r="Y308" s="4"/>
      <c r="Z308" s="4"/>
      <c r="AA308" s="571"/>
      <c r="AB308" s="4"/>
    </row>
    <row r="309" spans="1:28" outlineLevel="1" x14ac:dyDescent="0.2">
      <c r="A309" s="220"/>
      <c r="B309" s="220"/>
      <c r="C309" s="21" t="s">
        <v>27</v>
      </c>
      <c r="D309" s="76"/>
      <c r="E309" s="76"/>
      <c r="F309" s="76"/>
      <c r="G309" s="76"/>
      <c r="H309" s="76"/>
      <c r="I309" s="76"/>
      <c r="J309" s="48"/>
      <c r="K309" s="220"/>
      <c r="L309" s="783"/>
      <c r="M309" s="784"/>
      <c r="N309" s="784"/>
      <c r="O309" s="784"/>
      <c r="P309" s="784"/>
      <c r="Q309" s="784"/>
      <c r="R309" s="784"/>
      <c r="S309" s="784"/>
      <c r="T309" s="784"/>
      <c r="U309" s="4"/>
      <c r="V309" s="4"/>
      <c r="W309" s="4"/>
      <c r="X309" s="4"/>
      <c r="Y309" s="4"/>
      <c r="Z309" s="4"/>
      <c r="AA309" s="571"/>
      <c r="AB309" s="4"/>
    </row>
    <row r="310" spans="1:28" outlineLevel="1" x14ac:dyDescent="0.2">
      <c r="A310" s="220"/>
      <c r="B310" s="220"/>
      <c r="C310" s="21" t="s">
        <v>34</v>
      </c>
      <c r="D310" s="76"/>
      <c r="E310" s="76"/>
      <c r="F310" s="76"/>
      <c r="G310" s="76"/>
      <c r="H310" s="76"/>
      <c r="I310" s="76"/>
      <c r="J310" s="76"/>
      <c r="K310" s="220"/>
      <c r="L310" s="783"/>
      <c r="M310" s="784"/>
      <c r="N310" s="784"/>
      <c r="O310" s="784"/>
      <c r="P310" s="784"/>
      <c r="Q310" s="784"/>
      <c r="R310" s="784"/>
      <c r="S310" s="784"/>
      <c r="T310" s="784"/>
      <c r="U310" s="4"/>
      <c r="V310" s="4"/>
      <c r="W310" s="4"/>
      <c r="X310" s="4"/>
      <c r="Y310" s="4"/>
      <c r="Z310" s="4"/>
      <c r="AA310" s="571"/>
      <c r="AB310" s="4"/>
    </row>
    <row r="311" spans="1:28" outlineLevel="1" x14ac:dyDescent="0.2">
      <c r="A311" s="247"/>
      <c r="B311" s="180"/>
      <c r="C311" s="88" t="str">
        <f>"Proportion " &amp; IF(MarketImpact=0,"affected by","affected") &amp; " the proposed medicine"</f>
        <v>Proportion affected the proposed medicine</v>
      </c>
      <c r="D311" s="76"/>
      <c r="E311" s="76"/>
      <c r="F311" s="76"/>
      <c r="G311" s="76"/>
      <c r="H311" s="76"/>
      <c r="I311" s="76"/>
      <c r="J311" s="76"/>
      <c r="K311" s="220"/>
      <c r="L311" s="783"/>
      <c r="M311" s="784"/>
      <c r="N311" s="784"/>
      <c r="O311" s="784"/>
      <c r="P311" s="784"/>
      <c r="Q311" s="784"/>
      <c r="R311" s="784"/>
      <c r="S311" s="784"/>
      <c r="T311" s="784"/>
      <c r="U311" s="4"/>
      <c r="V311" s="4"/>
      <c r="W311" s="4"/>
      <c r="X311" s="4"/>
      <c r="Y311" s="4"/>
      <c r="Z311" s="4"/>
      <c r="AA311" s="571"/>
      <c r="AB311" s="4"/>
    </row>
    <row r="312" spans="1:28" outlineLevel="1" x14ac:dyDescent="0.2">
      <c r="A312" s="264"/>
      <c r="B312" s="264"/>
      <c r="C312" s="23" t="s">
        <v>125</v>
      </c>
      <c r="D312" s="47">
        <f t="shared" ref="D312:J312" si="174">D314-D313</f>
        <v>0</v>
      </c>
      <c r="E312" s="47">
        <f t="shared" si="174"/>
        <v>0</v>
      </c>
      <c r="F312" s="47">
        <f t="shared" si="174"/>
        <v>0</v>
      </c>
      <c r="G312" s="47">
        <f t="shared" si="174"/>
        <v>0</v>
      </c>
      <c r="H312" s="47">
        <f t="shared" si="174"/>
        <v>0</v>
      </c>
      <c r="I312" s="47">
        <f t="shared" si="174"/>
        <v>0</v>
      </c>
      <c r="J312" s="47">
        <f t="shared" si="174"/>
        <v>0</v>
      </c>
      <c r="K312" s="264"/>
      <c r="L312" s="264"/>
      <c r="M312" s="264"/>
      <c r="N312" s="264"/>
      <c r="O312" s="223"/>
      <c r="P312" s="223"/>
      <c r="Q312" s="223"/>
      <c r="R312" s="223"/>
      <c r="S312" s="223"/>
      <c r="T312" s="223"/>
      <c r="U312" s="10"/>
      <c r="V312" s="10"/>
      <c r="W312" s="10"/>
      <c r="X312" s="10"/>
      <c r="Y312" s="10"/>
      <c r="Z312" s="10"/>
      <c r="AA312" s="10"/>
      <c r="AB312" s="10"/>
    </row>
    <row r="313" spans="1:28" outlineLevel="1" x14ac:dyDescent="0.2">
      <c r="A313" s="264"/>
      <c r="B313" s="264"/>
      <c r="C313" s="23" t="s">
        <v>126</v>
      </c>
      <c r="D313" s="47">
        <f t="shared" ref="D313:J313" si="175">IF($B306&lt;&gt;0,ROUND(D314*INDEX(ServiceSplitRPBS,$B306),0),0)</f>
        <v>0</v>
      </c>
      <c r="E313" s="47">
        <f t="shared" si="175"/>
        <v>0</v>
      </c>
      <c r="F313" s="47">
        <f t="shared" si="175"/>
        <v>0</v>
      </c>
      <c r="G313" s="47">
        <f t="shared" si="175"/>
        <v>0</v>
      </c>
      <c r="H313" s="47">
        <f t="shared" si="175"/>
        <v>0</v>
      </c>
      <c r="I313" s="47">
        <f t="shared" si="175"/>
        <v>0</v>
      </c>
      <c r="J313" s="47">
        <f t="shared" si="175"/>
        <v>0</v>
      </c>
      <c r="K313" s="264"/>
      <c r="L313" s="264"/>
      <c r="M313" s="264"/>
      <c r="N313" s="264"/>
      <c r="O313" s="223"/>
      <c r="P313" s="223"/>
      <c r="Q313" s="223"/>
      <c r="R313" s="223"/>
      <c r="S313" s="223"/>
      <c r="T313" s="223"/>
      <c r="U313" s="10"/>
      <c r="V313" s="10"/>
      <c r="W313" s="10"/>
      <c r="X313" s="10"/>
      <c r="Y313" s="10"/>
      <c r="Z313" s="10"/>
      <c r="AA313" s="10"/>
      <c r="AB313" s="10"/>
    </row>
    <row r="314" spans="1:28" outlineLevel="1" x14ac:dyDescent="0.2">
      <c r="A314" s="264"/>
      <c r="B314" s="264"/>
      <c r="C314" s="409" t="s">
        <v>918</v>
      </c>
      <c r="D314" s="50">
        <f t="shared" ref="D314:J314" si="176">IF(D308="","",D311*D310*D308)</f>
        <v>0</v>
      </c>
      <c r="E314" s="50">
        <f t="shared" si="176"/>
        <v>0</v>
      </c>
      <c r="F314" s="50">
        <f t="shared" si="176"/>
        <v>0</v>
      </c>
      <c r="G314" s="50">
        <f t="shared" si="176"/>
        <v>0</v>
      </c>
      <c r="H314" s="50">
        <f t="shared" si="176"/>
        <v>0</v>
      </c>
      <c r="I314" s="50">
        <f t="shared" si="176"/>
        <v>0</v>
      </c>
      <c r="J314" s="50">
        <f t="shared" si="176"/>
        <v>0</v>
      </c>
      <c r="K314" s="264"/>
      <c r="L314" s="264"/>
      <c r="M314" s="264"/>
      <c r="N314" s="264"/>
      <c r="O314" s="223"/>
      <c r="P314" s="223"/>
      <c r="Q314" s="223"/>
      <c r="R314" s="223"/>
      <c r="S314" s="223"/>
      <c r="T314" s="223"/>
      <c r="U314" s="10"/>
      <c r="V314" s="10"/>
      <c r="W314" s="10"/>
      <c r="X314" s="10"/>
      <c r="Y314" s="10"/>
      <c r="Z314" s="10"/>
      <c r="AA314" s="10"/>
      <c r="AB314" s="10"/>
    </row>
    <row r="315" spans="1:28" outlineLevel="1" x14ac:dyDescent="0.2">
      <c r="A315" s="220"/>
      <c r="B315" s="220"/>
      <c r="C315" s="265"/>
      <c r="D315" s="220"/>
      <c r="E315" s="220"/>
      <c r="F315" s="220"/>
      <c r="G315" s="220"/>
      <c r="H315" s="220"/>
      <c r="I315" s="220"/>
      <c r="J315" s="220"/>
      <c r="K315" s="220"/>
      <c r="L315" s="220"/>
      <c r="M315" s="220"/>
      <c r="N315" s="220"/>
      <c r="O315" s="224"/>
      <c r="P315" s="224"/>
      <c r="Q315" s="224"/>
      <c r="R315" s="224"/>
      <c r="S315" s="224"/>
      <c r="T315" s="224"/>
      <c r="U315" s="4"/>
      <c r="V315" s="4"/>
      <c r="W315" s="4"/>
      <c r="X315" s="4"/>
      <c r="Y315" s="4"/>
      <c r="Z315" s="4"/>
      <c r="AA315" s="571"/>
      <c r="AB315" s="4"/>
    </row>
    <row r="316" spans="1:28" x14ac:dyDescent="0.2">
      <c r="A316" s="220"/>
      <c r="B316" s="220"/>
      <c r="C316" s="220"/>
      <c r="D316" s="220"/>
      <c r="E316" s="220"/>
      <c r="F316" s="220"/>
      <c r="G316" s="220"/>
      <c r="H316" s="220"/>
      <c r="I316" s="220"/>
      <c r="J316" s="220"/>
      <c r="K316" s="220"/>
      <c r="L316" s="220"/>
      <c r="M316" s="220"/>
      <c r="N316" s="220"/>
      <c r="O316" s="224"/>
      <c r="P316" s="224"/>
      <c r="Q316" s="224"/>
      <c r="R316" s="224"/>
      <c r="S316" s="224"/>
      <c r="T316" s="224"/>
      <c r="U316" s="4"/>
      <c r="V316" s="4"/>
      <c r="W316" s="4"/>
      <c r="X316" s="4"/>
      <c r="Y316" s="4"/>
      <c r="Z316" s="4"/>
      <c r="AA316" s="571"/>
      <c r="AB316" s="4"/>
    </row>
    <row r="317" spans="1:28" ht="15" x14ac:dyDescent="0.2">
      <c r="A317" s="187"/>
      <c r="B317" s="422">
        <v>19</v>
      </c>
      <c r="C317" s="221" t="str">
        <f>IF($I$97&lt;&gt;"",MsgNotUsed,INDEX(NamesOverallChanged,B317))</f>
        <v>** NOT USED **</v>
      </c>
      <c r="D317" s="207"/>
      <c r="E317" s="207"/>
      <c r="F317" s="207"/>
      <c r="G317" s="207"/>
      <c r="H317" s="189"/>
      <c r="I317" s="782" t="str">
        <f>IF(C317&lt;&gt;MsgNotUsed,"Co-payment group " &amp; INDEX(CoPayBandMS,B317),"")</f>
        <v/>
      </c>
      <c r="J317" s="782"/>
      <c r="K317" s="207"/>
      <c r="L317" s="207"/>
      <c r="M317" s="207"/>
      <c r="N317" s="207"/>
      <c r="O317" s="225"/>
      <c r="P317" s="225"/>
      <c r="Q317" s="225"/>
      <c r="R317" s="225"/>
      <c r="S317" s="225"/>
      <c r="T317" s="225"/>
      <c r="U317" s="41"/>
      <c r="V317" s="41"/>
      <c r="W317" s="41"/>
      <c r="X317" s="41"/>
      <c r="Y317" s="41"/>
      <c r="Z317" s="41"/>
      <c r="AA317" s="41"/>
      <c r="AB317" s="41"/>
    </row>
    <row r="318" spans="1:28" ht="15.75" outlineLevel="1" x14ac:dyDescent="0.2">
      <c r="A318" s="192"/>
      <c r="B318" s="95">
        <f>INDEX(CoPayBandMS,B317)</f>
        <v>0</v>
      </c>
      <c r="C318" s="193"/>
      <c r="D318" s="192"/>
      <c r="E318" s="192"/>
      <c r="F318" s="192"/>
      <c r="G318" s="192"/>
      <c r="H318" s="192"/>
      <c r="I318" s="192"/>
      <c r="J318" s="192"/>
      <c r="K318" s="192"/>
      <c r="L318" s="192"/>
      <c r="M318" s="192"/>
      <c r="N318" s="192"/>
      <c r="O318" s="226"/>
      <c r="P318" s="226"/>
      <c r="Q318" s="226"/>
      <c r="R318" s="226"/>
      <c r="S318" s="226"/>
      <c r="T318" s="226"/>
      <c r="U318" s="3"/>
      <c r="V318" s="3"/>
      <c r="W318" s="3"/>
      <c r="X318" s="3"/>
      <c r="Y318" s="3"/>
      <c r="Z318" s="3"/>
      <c r="AA318" s="3"/>
      <c r="AB318" s="3"/>
    </row>
    <row r="319" spans="1:28" ht="14.25" customHeight="1" outlineLevel="1" x14ac:dyDescent="0.2">
      <c r="A319" s="220"/>
      <c r="B319" s="220"/>
      <c r="C319" s="15"/>
      <c r="D319" s="87">
        <f>E319-1</f>
        <v>-1</v>
      </c>
      <c r="E319" s="87">
        <f>FirstYear</f>
        <v>0</v>
      </c>
      <c r="F319" s="87">
        <f>E319+1</f>
        <v>1</v>
      </c>
      <c r="G319" s="87">
        <f>F319+1</f>
        <v>2</v>
      </c>
      <c r="H319" s="87">
        <f>G319+1</f>
        <v>3</v>
      </c>
      <c r="I319" s="87">
        <f>H319+1</f>
        <v>4</v>
      </c>
      <c r="J319" s="87">
        <f>I319+1</f>
        <v>5</v>
      </c>
      <c r="K319" s="220"/>
      <c r="L319" s="195"/>
      <c r="M319" s="220"/>
      <c r="N319" s="220"/>
      <c r="O319" s="224"/>
      <c r="P319" s="224"/>
      <c r="Q319" s="224"/>
      <c r="R319" s="224"/>
      <c r="S319" s="224"/>
      <c r="T319" s="224"/>
      <c r="U319" s="4"/>
      <c r="V319" s="4"/>
      <c r="W319" s="4"/>
      <c r="X319" s="4"/>
      <c r="Y319" s="4"/>
      <c r="Z319" s="4"/>
      <c r="AA319" s="571"/>
      <c r="AB319" s="4"/>
    </row>
    <row r="320" spans="1:28" outlineLevel="1" x14ac:dyDescent="0.2">
      <c r="A320" s="220"/>
      <c r="B320" s="220"/>
      <c r="C320" s="8" t="s">
        <v>132</v>
      </c>
      <c r="D320" s="53">
        <f>IF($I$97="",-R68,0)</f>
        <v>0</v>
      </c>
      <c r="E320" s="53">
        <f t="shared" ref="E320" si="177">IF(D320="","",D320*(1+D321))</f>
        <v>0</v>
      </c>
      <c r="F320" s="53">
        <f t="shared" ref="F320" si="178">IF(E320="","",E320*(1+E321))</f>
        <v>0</v>
      </c>
      <c r="G320" s="53">
        <f t="shared" ref="G320" si="179">IF(F320="","",F320*(1+F321))</f>
        <v>0</v>
      </c>
      <c r="H320" s="53">
        <f t="shared" ref="H320" si="180">IF(G320="","",G320*(1+G321))</f>
        <v>0</v>
      </c>
      <c r="I320" s="53">
        <f t="shared" ref="I320" si="181">IF(H320="","",H320*(1+H321))</f>
        <v>0</v>
      </c>
      <c r="J320" s="53">
        <f t="shared" ref="J320" si="182">IF(I320="","",I320*(1+I321))</f>
        <v>0</v>
      </c>
      <c r="K320" s="220"/>
      <c r="L320" s="19" t="s">
        <v>292</v>
      </c>
      <c r="M320" s="220"/>
      <c r="N320" s="195"/>
      <c r="O320" s="227"/>
      <c r="P320" s="224"/>
      <c r="Q320" s="224"/>
      <c r="R320" s="224"/>
      <c r="S320" s="224"/>
      <c r="T320" s="224"/>
      <c r="U320" s="4"/>
      <c r="V320" s="4"/>
      <c r="W320" s="4"/>
      <c r="X320" s="4"/>
      <c r="Y320" s="4"/>
      <c r="Z320" s="4"/>
      <c r="AA320" s="571"/>
      <c r="AB320" s="4"/>
    </row>
    <row r="321" spans="1:28" outlineLevel="1" x14ac:dyDescent="0.2">
      <c r="A321" s="220"/>
      <c r="B321" s="220"/>
      <c r="C321" s="21" t="s">
        <v>27</v>
      </c>
      <c r="D321" s="76"/>
      <c r="E321" s="76"/>
      <c r="F321" s="76"/>
      <c r="G321" s="76"/>
      <c r="H321" s="76"/>
      <c r="I321" s="76"/>
      <c r="J321" s="48"/>
      <c r="K321" s="220"/>
      <c r="L321" s="783"/>
      <c r="M321" s="784"/>
      <c r="N321" s="784"/>
      <c r="O321" s="784"/>
      <c r="P321" s="784"/>
      <c r="Q321" s="784"/>
      <c r="R321" s="784"/>
      <c r="S321" s="784"/>
      <c r="T321" s="784"/>
      <c r="U321" s="4"/>
      <c r="V321" s="4"/>
      <c r="W321" s="4"/>
      <c r="X321" s="4"/>
      <c r="Y321" s="4"/>
      <c r="Z321" s="4"/>
      <c r="AA321" s="571"/>
      <c r="AB321" s="4"/>
    </row>
    <row r="322" spans="1:28" outlineLevel="1" x14ac:dyDescent="0.2">
      <c r="A322" s="220"/>
      <c r="B322" s="220"/>
      <c r="C322" s="21" t="s">
        <v>34</v>
      </c>
      <c r="D322" s="76"/>
      <c r="E322" s="76"/>
      <c r="F322" s="76"/>
      <c r="G322" s="76"/>
      <c r="H322" s="76"/>
      <c r="I322" s="76"/>
      <c r="J322" s="76"/>
      <c r="K322" s="220"/>
      <c r="L322" s="783"/>
      <c r="M322" s="784"/>
      <c r="N322" s="784"/>
      <c r="O322" s="784"/>
      <c r="P322" s="784"/>
      <c r="Q322" s="784"/>
      <c r="R322" s="784"/>
      <c r="S322" s="784"/>
      <c r="T322" s="784"/>
      <c r="U322" s="4"/>
      <c r="V322" s="4"/>
      <c r="W322" s="4"/>
      <c r="X322" s="4"/>
      <c r="Y322" s="4"/>
      <c r="Z322" s="4"/>
      <c r="AA322" s="571"/>
      <c r="AB322" s="4"/>
    </row>
    <row r="323" spans="1:28" outlineLevel="1" x14ac:dyDescent="0.2">
      <c r="A323" s="247"/>
      <c r="B323" s="180"/>
      <c r="C323" s="88" t="str">
        <f>"Proportion " &amp; IF(MarketImpact=0,"affected by","affected") &amp; " the proposed medicine"</f>
        <v>Proportion affected the proposed medicine</v>
      </c>
      <c r="D323" s="76"/>
      <c r="E323" s="76"/>
      <c r="F323" s="76"/>
      <c r="G323" s="76"/>
      <c r="H323" s="76"/>
      <c r="I323" s="76"/>
      <c r="J323" s="76"/>
      <c r="K323" s="220"/>
      <c r="L323" s="783"/>
      <c r="M323" s="784"/>
      <c r="N323" s="784"/>
      <c r="O323" s="784"/>
      <c r="P323" s="784"/>
      <c r="Q323" s="784"/>
      <c r="R323" s="784"/>
      <c r="S323" s="784"/>
      <c r="T323" s="784"/>
      <c r="U323" s="4"/>
      <c r="V323" s="4"/>
      <c r="W323" s="4"/>
      <c r="X323" s="4"/>
      <c r="Y323" s="4"/>
      <c r="Z323" s="4"/>
      <c r="AA323" s="571"/>
      <c r="AB323" s="4"/>
    </row>
    <row r="324" spans="1:28" outlineLevel="1" x14ac:dyDescent="0.2">
      <c r="A324" s="264"/>
      <c r="B324" s="264"/>
      <c r="C324" s="23" t="s">
        <v>125</v>
      </c>
      <c r="D324" s="47">
        <f t="shared" ref="D324:J324" si="183">D326-D325</f>
        <v>0</v>
      </c>
      <c r="E324" s="47">
        <f t="shared" si="183"/>
        <v>0</v>
      </c>
      <c r="F324" s="47">
        <f t="shared" si="183"/>
        <v>0</v>
      </c>
      <c r="G324" s="47">
        <f t="shared" si="183"/>
        <v>0</v>
      </c>
      <c r="H324" s="47">
        <f t="shared" si="183"/>
        <v>0</v>
      </c>
      <c r="I324" s="47">
        <f t="shared" si="183"/>
        <v>0</v>
      </c>
      <c r="J324" s="47">
        <f t="shared" si="183"/>
        <v>0</v>
      </c>
      <c r="K324" s="264"/>
      <c r="L324" s="264"/>
      <c r="M324" s="264"/>
      <c r="N324" s="264"/>
      <c r="O324" s="223"/>
      <c r="P324" s="223"/>
      <c r="Q324" s="223"/>
      <c r="R324" s="223"/>
      <c r="S324" s="223"/>
      <c r="T324" s="223"/>
      <c r="U324" s="10"/>
      <c r="V324" s="10"/>
      <c r="W324" s="10"/>
      <c r="X324" s="10"/>
      <c r="Y324" s="10"/>
      <c r="Z324" s="10"/>
      <c r="AA324" s="10"/>
      <c r="AB324" s="10"/>
    </row>
    <row r="325" spans="1:28" outlineLevel="1" x14ac:dyDescent="0.2">
      <c r="A325" s="264"/>
      <c r="B325" s="264"/>
      <c r="C325" s="23" t="s">
        <v>126</v>
      </c>
      <c r="D325" s="47">
        <f t="shared" ref="D325:J325" si="184">IF($B318&lt;&gt;0,ROUND(D326*INDEX(ServiceSplitRPBS,$B318),0),0)</f>
        <v>0</v>
      </c>
      <c r="E325" s="47">
        <f t="shared" si="184"/>
        <v>0</v>
      </c>
      <c r="F325" s="47">
        <f t="shared" si="184"/>
        <v>0</v>
      </c>
      <c r="G325" s="47">
        <f t="shared" si="184"/>
        <v>0</v>
      </c>
      <c r="H325" s="47">
        <f t="shared" si="184"/>
        <v>0</v>
      </c>
      <c r="I325" s="47">
        <f t="shared" si="184"/>
        <v>0</v>
      </c>
      <c r="J325" s="47">
        <f t="shared" si="184"/>
        <v>0</v>
      </c>
      <c r="K325" s="264"/>
      <c r="L325" s="264"/>
      <c r="M325" s="264"/>
      <c r="N325" s="264"/>
      <c r="O325" s="223"/>
      <c r="P325" s="223"/>
      <c r="Q325" s="223"/>
      <c r="R325" s="223"/>
      <c r="S325" s="223"/>
      <c r="T325" s="223"/>
      <c r="U325" s="10"/>
      <c r="V325" s="10"/>
      <c r="W325" s="10"/>
      <c r="X325" s="10"/>
      <c r="Y325" s="10"/>
      <c r="Z325" s="10"/>
      <c r="AA325" s="10"/>
      <c r="AB325" s="10"/>
    </row>
    <row r="326" spans="1:28" outlineLevel="1" x14ac:dyDescent="0.2">
      <c r="A326" s="264"/>
      <c r="B326" s="264"/>
      <c r="C326" s="409" t="s">
        <v>918</v>
      </c>
      <c r="D326" s="50">
        <f t="shared" ref="D326:J326" si="185">IF(D320="","",D323*D322*D320)</f>
        <v>0</v>
      </c>
      <c r="E326" s="50">
        <f t="shared" si="185"/>
        <v>0</v>
      </c>
      <c r="F326" s="50">
        <f t="shared" si="185"/>
        <v>0</v>
      </c>
      <c r="G326" s="50">
        <f t="shared" si="185"/>
        <v>0</v>
      </c>
      <c r="H326" s="50">
        <f t="shared" si="185"/>
        <v>0</v>
      </c>
      <c r="I326" s="50">
        <f t="shared" si="185"/>
        <v>0</v>
      </c>
      <c r="J326" s="50">
        <f t="shared" si="185"/>
        <v>0</v>
      </c>
      <c r="K326" s="264"/>
      <c r="L326" s="264"/>
      <c r="M326" s="264"/>
      <c r="N326" s="264"/>
      <c r="O326" s="223"/>
      <c r="P326" s="223"/>
      <c r="Q326" s="223"/>
      <c r="R326" s="223"/>
      <c r="S326" s="223"/>
      <c r="T326" s="223"/>
      <c r="U326" s="10"/>
      <c r="V326" s="10"/>
      <c r="W326" s="10"/>
      <c r="X326" s="10"/>
      <c r="Y326" s="10"/>
      <c r="Z326" s="10"/>
      <c r="AA326" s="10"/>
      <c r="AB326" s="10"/>
    </row>
    <row r="327" spans="1:28" outlineLevel="1" x14ac:dyDescent="0.2">
      <c r="A327" s="220"/>
      <c r="B327" s="220"/>
      <c r="C327" s="265"/>
      <c r="D327" s="220"/>
      <c r="E327" s="220"/>
      <c r="F327" s="220"/>
      <c r="G327" s="220"/>
      <c r="H327" s="220"/>
      <c r="I327" s="220"/>
      <c r="J327" s="220"/>
      <c r="K327" s="220"/>
      <c r="L327" s="220"/>
      <c r="M327" s="220"/>
      <c r="N327" s="220"/>
      <c r="O327" s="224"/>
      <c r="P327" s="224"/>
      <c r="Q327" s="224"/>
      <c r="R327" s="224"/>
      <c r="S327" s="224"/>
      <c r="T327" s="224"/>
      <c r="U327" s="4"/>
      <c r="V327" s="4"/>
      <c r="W327" s="4"/>
      <c r="X327" s="4"/>
      <c r="Y327" s="4"/>
      <c r="Z327" s="4"/>
      <c r="AA327" s="571"/>
      <c r="AB327" s="4"/>
    </row>
    <row r="328" spans="1:28" x14ac:dyDescent="0.2">
      <c r="A328" s="220"/>
      <c r="B328" s="220"/>
      <c r="C328" s="220"/>
      <c r="D328" s="220"/>
      <c r="E328" s="220"/>
      <c r="F328" s="220"/>
      <c r="G328" s="220"/>
      <c r="H328" s="220"/>
      <c r="I328" s="220"/>
      <c r="J328" s="220"/>
      <c r="K328" s="220"/>
      <c r="L328" s="220"/>
      <c r="M328" s="220"/>
      <c r="N328" s="220"/>
      <c r="O328" s="224"/>
      <c r="P328" s="224"/>
      <c r="Q328" s="224"/>
      <c r="R328" s="224"/>
      <c r="S328" s="224"/>
      <c r="T328" s="224"/>
      <c r="U328" s="4"/>
      <c r="V328" s="4"/>
      <c r="W328" s="4"/>
      <c r="X328" s="4"/>
      <c r="Y328" s="4"/>
      <c r="Z328" s="4"/>
      <c r="AA328" s="571"/>
      <c r="AB328" s="4"/>
    </row>
    <row r="329" spans="1:28" ht="15" x14ac:dyDescent="0.2">
      <c r="A329" s="187"/>
      <c r="B329" s="422">
        <v>20</v>
      </c>
      <c r="C329" s="221" t="str">
        <f>IF($I$97&lt;&gt;"",MsgNotUsed,INDEX(NamesOverallChanged,B329))</f>
        <v>** NOT USED **</v>
      </c>
      <c r="D329" s="207"/>
      <c r="E329" s="207"/>
      <c r="F329" s="207"/>
      <c r="G329" s="207"/>
      <c r="H329" s="189"/>
      <c r="I329" s="782" t="str">
        <f>IF(C329&lt;&gt;MsgNotUsed,"Co-payment group " &amp; INDEX(CoPayBandMS,B329),"")</f>
        <v/>
      </c>
      <c r="J329" s="782"/>
      <c r="K329" s="207"/>
      <c r="L329" s="207"/>
      <c r="M329" s="207"/>
      <c r="N329" s="207"/>
      <c r="O329" s="225"/>
      <c r="P329" s="225"/>
      <c r="Q329" s="225"/>
      <c r="R329" s="225"/>
      <c r="S329" s="225"/>
      <c r="T329" s="225"/>
      <c r="U329" s="41"/>
      <c r="V329" s="41"/>
      <c r="W329" s="41"/>
      <c r="X329" s="41"/>
      <c r="Y329" s="41"/>
      <c r="Z329" s="41"/>
      <c r="AA329" s="41"/>
      <c r="AB329" s="41"/>
    </row>
    <row r="330" spans="1:28" ht="15.75" outlineLevel="1" x14ac:dyDescent="0.2">
      <c r="A330" s="192"/>
      <c r="B330" s="95">
        <f>INDEX(CoPayBandMS,B329)</f>
        <v>0</v>
      </c>
      <c r="C330" s="193"/>
      <c r="D330" s="192"/>
      <c r="E330" s="192"/>
      <c r="F330" s="192"/>
      <c r="G330" s="192"/>
      <c r="H330" s="192"/>
      <c r="I330" s="192"/>
      <c r="J330" s="192"/>
      <c r="K330" s="192"/>
      <c r="L330" s="192"/>
      <c r="M330" s="192"/>
      <c r="N330" s="192"/>
      <c r="O330" s="226"/>
      <c r="P330" s="226"/>
      <c r="Q330" s="226"/>
      <c r="R330" s="226"/>
      <c r="S330" s="226"/>
      <c r="T330" s="226"/>
      <c r="U330" s="3"/>
      <c r="V330" s="3"/>
      <c r="W330" s="3"/>
      <c r="X330" s="3"/>
      <c r="Y330" s="3"/>
      <c r="Z330" s="3"/>
      <c r="AA330" s="3"/>
      <c r="AB330" s="3"/>
    </row>
    <row r="331" spans="1:28" ht="14.25" customHeight="1" outlineLevel="1" x14ac:dyDescent="0.2">
      <c r="A331" s="220"/>
      <c r="B331" s="220"/>
      <c r="C331" s="15"/>
      <c r="D331" s="87">
        <f>E331-1</f>
        <v>-1</v>
      </c>
      <c r="E331" s="87">
        <f>FirstYear</f>
        <v>0</v>
      </c>
      <c r="F331" s="87">
        <f>E331+1</f>
        <v>1</v>
      </c>
      <c r="G331" s="87">
        <f>F331+1</f>
        <v>2</v>
      </c>
      <c r="H331" s="87">
        <f>G331+1</f>
        <v>3</v>
      </c>
      <c r="I331" s="87">
        <f>H331+1</f>
        <v>4</v>
      </c>
      <c r="J331" s="87">
        <f>I331+1</f>
        <v>5</v>
      </c>
      <c r="K331" s="220"/>
      <c r="L331" s="195"/>
      <c r="M331" s="220"/>
      <c r="N331" s="220"/>
      <c r="O331" s="224"/>
      <c r="P331" s="224"/>
      <c r="Q331" s="224"/>
      <c r="R331" s="224"/>
      <c r="S331" s="224"/>
      <c r="T331" s="224"/>
      <c r="U331" s="4"/>
      <c r="V331" s="4"/>
      <c r="W331" s="4"/>
      <c r="X331" s="4"/>
      <c r="Y331" s="4"/>
      <c r="Z331" s="4"/>
      <c r="AA331" s="571"/>
      <c r="AB331" s="4"/>
    </row>
    <row r="332" spans="1:28" outlineLevel="1" x14ac:dyDescent="0.2">
      <c r="A332" s="220"/>
      <c r="B332" s="220"/>
      <c r="C332" s="8" t="s">
        <v>132</v>
      </c>
      <c r="D332" s="53">
        <f>IF($I$97="",-R69,0)</f>
        <v>0</v>
      </c>
      <c r="E332" s="53">
        <f t="shared" ref="E332" si="186">IF(D332="","",D332*(1+D333))</f>
        <v>0</v>
      </c>
      <c r="F332" s="53">
        <f t="shared" ref="F332" si="187">IF(E332="","",E332*(1+E333))</f>
        <v>0</v>
      </c>
      <c r="G332" s="53">
        <f t="shared" ref="G332" si="188">IF(F332="","",F332*(1+F333))</f>
        <v>0</v>
      </c>
      <c r="H332" s="53">
        <f t="shared" ref="H332" si="189">IF(G332="","",G332*(1+G333))</f>
        <v>0</v>
      </c>
      <c r="I332" s="53">
        <f t="shared" ref="I332" si="190">IF(H332="","",H332*(1+H333))</f>
        <v>0</v>
      </c>
      <c r="J332" s="53">
        <f t="shared" ref="J332" si="191">IF(I332="","",I332*(1+I333))</f>
        <v>0</v>
      </c>
      <c r="K332" s="220"/>
      <c r="L332" s="19" t="s">
        <v>292</v>
      </c>
      <c r="M332" s="220"/>
      <c r="N332" s="195"/>
      <c r="O332" s="227"/>
      <c r="P332" s="224"/>
      <c r="Q332" s="224"/>
      <c r="R332" s="224"/>
      <c r="S332" s="224"/>
      <c r="T332" s="224"/>
      <c r="U332" s="4"/>
      <c r="V332" s="4"/>
      <c r="W332" s="4"/>
      <c r="X332" s="4"/>
      <c r="Y332" s="4"/>
      <c r="Z332" s="4"/>
      <c r="AA332" s="571"/>
      <c r="AB332" s="4"/>
    </row>
    <row r="333" spans="1:28" outlineLevel="1" x14ac:dyDescent="0.2">
      <c r="A333" s="220"/>
      <c r="B333" s="220"/>
      <c r="C333" s="21" t="s">
        <v>27</v>
      </c>
      <c r="D333" s="76"/>
      <c r="E333" s="76"/>
      <c r="F333" s="76"/>
      <c r="G333" s="76"/>
      <c r="H333" s="76"/>
      <c r="I333" s="76"/>
      <c r="J333" s="48"/>
      <c r="K333" s="220"/>
      <c r="L333" s="783"/>
      <c r="M333" s="784"/>
      <c r="N333" s="784"/>
      <c r="O333" s="784"/>
      <c r="P333" s="784"/>
      <c r="Q333" s="784"/>
      <c r="R333" s="784"/>
      <c r="S333" s="784"/>
      <c r="T333" s="784"/>
      <c r="U333" s="4"/>
      <c r="V333" s="4"/>
      <c r="W333" s="4"/>
      <c r="X333" s="4"/>
      <c r="Y333" s="4"/>
      <c r="Z333" s="4"/>
      <c r="AA333" s="571"/>
      <c r="AB333" s="4"/>
    </row>
    <row r="334" spans="1:28" outlineLevel="1" x14ac:dyDescent="0.2">
      <c r="A334" s="220"/>
      <c r="B334" s="220"/>
      <c r="C334" s="21" t="s">
        <v>34</v>
      </c>
      <c r="D334" s="76"/>
      <c r="E334" s="76"/>
      <c r="F334" s="76"/>
      <c r="G334" s="76"/>
      <c r="H334" s="76"/>
      <c r="I334" s="76"/>
      <c r="J334" s="76"/>
      <c r="K334" s="220"/>
      <c r="L334" s="783"/>
      <c r="M334" s="784"/>
      <c r="N334" s="784"/>
      <c r="O334" s="784"/>
      <c r="P334" s="784"/>
      <c r="Q334" s="784"/>
      <c r="R334" s="784"/>
      <c r="S334" s="784"/>
      <c r="T334" s="784"/>
      <c r="U334" s="4"/>
      <c r="V334" s="4"/>
      <c r="W334" s="4"/>
      <c r="X334" s="4"/>
      <c r="Y334" s="4"/>
      <c r="Z334" s="4"/>
      <c r="AA334" s="571"/>
      <c r="AB334" s="4"/>
    </row>
    <row r="335" spans="1:28" outlineLevel="1" x14ac:dyDescent="0.2">
      <c r="A335" s="247"/>
      <c r="B335" s="180"/>
      <c r="C335" s="88" t="str">
        <f>"Proportion " &amp; IF(MarketImpact=0,"affected by","affected") &amp; " the proposed medicine"</f>
        <v>Proportion affected the proposed medicine</v>
      </c>
      <c r="D335" s="76"/>
      <c r="E335" s="76"/>
      <c r="F335" s="76"/>
      <c r="G335" s="76"/>
      <c r="H335" s="76"/>
      <c r="I335" s="76"/>
      <c r="J335" s="76"/>
      <c r="K335" s="220"/>
      <c r="L335" s="783"/>
      <c r="M335" s="784"/>
      <c r="N335" s="784"/>
      <c r="O335" s="784"/>
      <c r="P335" s="784"/>
      <c r="Q335" s="784"/>
      <c r="R335" s="784"/>
      <c r="S335" s="784"/>
      <c r="T335" s="784"/>
      <c r="U335" s="4"/>
      <c r="V335" s="4"/>
      <c r="W335" s="4"/>
      <c r="X335" s="4"/>
      <c r="Y335" s="4"/>
      <c r="Z335" s="4"/>
      <c r="AA335" s="571"/>
      <c r="AB335" s="4"/>
    </row>
    <row r="336" spans="1:28" outlineLevel="1" x14ac:dyDescent="0.2">
      <c r="A336" s="264"/>
      <c r="B336" s="264"/>
      <c r="C336" s="23" t="s">
        <v>125</v>
      </c>
      <c r="D336" s="47">
        <f t="shared" ref="D336:J336" si="192">D338-D337</f>
        <v>0</v>
      </c>
      <c r="E336" s="47">
        <f t="shared" si="192"/>
        <v>0</v>
      </c>
      <c r="F336" s="47">
        <f t="shared" si="192"/>
        <v>0</v>
      </c>
      <c r="G336" s="47">
        <f t="shared" si="192"/>
        <v>0</v>
      </c>
      <c r="H336" s="47">
        <f t="shared" si="192"/>
        <v>0</v>
      </c>
      <c r="I336" s="47">
        <f t="shared" si="192"/>
        <v>0</v>
      </c>
      <c r="J336" s="47">
        <f t="shared" si="192"/>
        <v>0</v>
      </c>
      <c r="K336" s="264"/>
      <c r="L336" s="264"/>
      <c r="M336" s="264"/>
      <c r="N336" s="264"/>
      <c r="O336" s="223"/>
      <c r="P336" s="223"/>
      <c r="Q336" s="223"/>
      <c r="R336" s="223"/>
      <c r="S336" s="223"/>
      <c r="T336" s="223"/>
      <c r="U336" s="10"/>
      <c r="V336" s="10"/>
      <c r="W336" s="10"/>
      <c r="X336" s="10"/>
      <c r="Y336" s="10"/>
      <c r="Z336" s="10"/>
      <c r="AA336" s="10"/>
      <c r="AB336" s="10"/>
    </row>
    <row r="337" spans="1:28" outlineLevel="1" x14ac:dyDescent="0.2">
      <c r="A337" s="264"/>
      <c r="B337" s="264"/>
      <c r="C337" s="23" t="s">
        <v>126</v>
      </c>
      <c r="D337" s="47">
        <f t="shared" ref="D337:J337" si="193">IF($B330&lt;&gt;0,ROUND(D338*INDEX(ServiceSplitRPBS,$B330),0),0)</f>
        <v>0</v>
      </c>
      <c r="E337" s="47">
        <f t="shared" si="193"/>
        <v>0</v>
      </c>
      <c r="F337" s="47">
        <f t="shared" si="193"/>
        <v>0</v>
      </c>
      <c r="G337" s="47">
        <f t="shared" si="193"/>
        <v>0</v>
      </c>
      <c r="H337" s="47">
        <f t="shared" si="193"/>
        <v>0</v>
      </c>
      <c r="I337" s="47">
        <f t="shared" si="193"/>
        <v>0</v>
      </c>
      <c r="J337" s="47">
        <f t="shared" si="193"/>
        <v>0</v>
      </c>
      <c r="K337" s="264"/>
      <c r="L337" s="264"/>
      <c r="M337" s="264"/>
      <c r="N337" s="264"/>
      <c r="O337" s="223"/>
      <c r="P337" s="223"/>
      <c r="Q337" s="223"/>
      <c r="R337" s="223"/>
      <c r="S337" s="223"/>
      <c r="T337" s="223"/>
      <c r="U337" s="10"/>
      <c r="V337" s="10"/>
      <c r="W337" s="10"/>
      <c r="X337" s="10"/>
      <c r="Y337" s="10"/>
      <c r="Z337" s="10"/>
      <c r="AA337" s="10"/>
      <c r="AB337" s="10"/>
    </row>
    <row r="338" spans="1:28" outlineLevel="1" x14ac:dyDescent="0.2">
      <c r="A338" s="264"/>
      <c r="B338" s="264"/>
      <c r="C338" s="409" t="s">
        <v>918</v>
      </c>
      <c r="D338" s="50">
        <f t="shared" ref="D338:J338" si="194">IF(D332="","",D335*D334*D332)</f>
        <v>0</v>
      </c>
      <c r="E338" s="50">
        <f t="shared" si="194"/>
        <v>0</v>
      </c>
      <c r="F338" s="50">
        <f t="shared" si="194"/>
        <v>0</v>
      </c>
      <c r="G338" s="50">
        <f t="shared" si="194"/>
        <v>0</v>
      </c>
      <c r="H338" s="50">
        <f t="shared" si="194"/>
        <v>0</v>
      </c>
      <c r="I338" s="50">
        <f t="shared" si="194"/>
        <v>0</v>
      </c>
      <c r="J338" s="50">
        <f t="shared" si="194"/>
        <v>0</v>
      </c>
      <c r="K338" s="264"/>
      <c r="L338" s="264"/>
      <c r="M338" s="264"/>
      <c r="N338" s="264"/>
      <c r="O338" s="223"/>
      <c r="P338" s="223"/>
      <c r="Q338" s="223"/>
      <c r="R338" s="223"/>
      <c r="S338" s="223"/>
      <c r="T338" s="223"/>
      <c r="U338" s="10"/>
      <c r="V338" s="10"/>
      <c r="W338" s="10"/>
      <c r="X338" s="10"/>
      <c r="Y338" s="10"/>
      <c r="Z338" s="10"/>
      <c r="AA338" s="10"/>
      <c r="AB338" s="10"/>
    </row>
    <row r="339" spans="1:28" outlineLevel="1" x14ac:dyDescent="0.2">
      <c r="A339" s="220"/>
      <c r="B339" s="220"/>
      <c r="C339" s="265"/>
      <c r="D339" s="220"/>
      <c r="E339" s="220"/>
      <c r="F339" s="220"/>
      <c r="G339" s="220"/>
      <c r="H339" s="220"/>
      <c r="I339" s="220"/>
      <c r="J339" s="220"/>
      <c r="K339" s="220"/>
      <c r="L339" s="220"/>
      <c r="M339" s="220"/>
      <c r="N339" s="220"/>
      <c r="O339" s="224"/>
      <c r="P339" s="224"/>
      <c r="Q339" s="224"/>
      <c r="R339" s="224"/>
      <c r="S339" s="224"/>
      <c r="T339" s="224"/>
      <c r="U339" s="4"/>
      <c r="V339" s="4"/>
      <c r="W339" s="4"/>
      <c r="X339" s="4"/>
      <c r="Y339" s="4"/>
      <c r="Z339" s="4"/>
      <c r="AA339" s="571"/>
      <c r="AB339" s="4"/>
    </row>
    <row r="340" spans="1:28" x14ac:dyDescent="0.2">
      <c r="A340" s="220"/>
      <c r="B340" s="220"/>
      <c r="C340" s="220"/>
      <c r="D340" s="220"/>
      <c r="E340" s="220"/>
      <c r="F340" s="220"/>
      <c r="G340" s="220"/>
      <c r="H340" s="220"/>
      <c r="I340" s="220"/>
      <c r="J340" s="220"/>
      <c r="K340" s="220"/>
      <c r="L340" s="220"/>
      <c r="M340" s="220"/>
      <c r="N340" s="220"/>
      <c r="O340" s="224"/>
      <c r="P340" s="224"/>
      <c r="Q340" s="224"/>
      <c r="R340" s="224"/>
      <c r="S340" s="224"/>
      <c r="T340" s="224"/>
      <c r="U340" s="4"/>
      <c r="V340" s="4"/>
      <c r="W340" s="4"/>
      <c r="X340" s="4"/>
      <c r="Y340" s="4"/>
      <c r="Z340" s="4"/>
      <c r="AA340" s="571"/>
      <c r="AB340" s="4"/>
    </row>
    <row r="341" spans="1:28" ht="15.75" x14ac:dyDescent="0.2">
      <c r="A341" s="104"/>
      <c r="B341" s="104"/>
      <c r="C341" s="174" t="s">
        <v>941</v>
      </c>
      <c r="D341" s="177"/>
      <c r="E341" s="177"/>
      <c r="F341" s="177"/>
      <c r="G341" s="177"/>
      <c r="H341" s="177"/>
      <c r="I341" s="177"/>
      <c r="J341" s="177"/>
      <c r="K341" s="177"/>
      <c r="L341" s="177"/>
      <c r="M341" s="175"/>
      <c r="N341" s="175"/>
      <c r="O341" s="175"/>
      <c r="P341" s="175"/>
      <c r="Q341" s="175"/>
      <c r="R341" s="175"/>
      <c r="S341" s="175"/>
      <c r="T341" s="175"/>
      <c r="U341" s="37"/>
      <c r="V341" s="37"/>
      <c r="W341" s="37"/>
      <c r="X341" s="37"/>
      <c r="Y341" s="37"/>
      <c r="Z341" s="37"/>
      <c r="AA341" s="37"/>
      <c r="AB341" s="37"/>
    </row>
  </sheetData>
  <mergeCells count="113">
    <mergeCell ref="I1:K1"/>
    <mergeCell ref="L309:T309"/>
    <mergeCell ref="L310:T310"/>
    <mergeCell ref="L311:T311"/>
    <mergeCell ref="L321:T321"/>
    <mergeCell ref="L322:T322"/>
    <mergeCell ref="L323:T323"/>
    <mergeCell ref="L333:T333"/>
    <mergeCell ref="L334:T334"/>
    <mergeCell ref="L237:T237"/>
    <mergeCell ref="L238:T238"/>
    <mergeCell ref="L239:T239"/>
    <mergeCell ref="L249:T249"/>
    <mergeCell ref="L250:T250"/>
    <mergeCell ref="L251:T251"/>
    <mergeCell ref="L261:T261"/>
    <mergeCell ref="L262:T262"/>
    <mergeCell ref="L263:T263"/>
    <mergeCell ref="L165:T165"/>
    <mergeCell ref="L166:T166"/>
    <mergeCell ref="I97:J97"/>
    <mergeCell ref="L130:T130"/>
    <mergeCell ref="L131:T131"/>
    <mergeCell ref="D14:I14"/>
    <mergeCell ref="L335:T335"/>
    <mergeCell ref="L273:T273"/>
    <mergeCell ref="L274:T274"/>
    <mergeCell ref="L275:T275"/>
    <mergeCell ref="L285:T285"/>
    <mergeCell ref="L286:T286"/>
    <mergeCell ref="L287:T287"/>
    <mergeCell ref="L297:T297"/>
    <mergeCell ref="L298:T298"/>
    <mergeCell ref="L299:T299"/>
    <mergeCell ref="D69:F69"/>
    <mergeCell ref="L225:T225"/>
    <mergeCell ref="L226:T226"/>
    <mergeCell ref="L227:T227"/>
    <mergeCell ref="L201:T201"/>
    <mergeCell ref="P90:T90"/>
    <mergeCell ref="P91:T91"/>
    <mergeCell ref="L203:T203"/>
    <mergeCell ref="L213:T213"/>
    <mergeCell ref="L214:T214"/>
    <mergeCell ref="L215:T215"/>
    <mergeCell ref="L105:T105"/>
    <mergeCell ref="L106:T106"/>
    <mergeCell ref="L107:T107"/>
    <mergeCell ref="L117:T117"/>
    <mergeCell ref="L118:T118"/>
    <mergeCell ref="L119:T119"/>
    <mergeCell ref="L167:T167"/>
    <mergeCell ref="L177:T177"/>
    <mergeCell ref="L143:T143"/>
    <mergeCell ref="L153:T153"/>
    <mergeCell ref="L154:T154"/>
    <mergeCell ref="L155:T155"/>
    <mergeCell ref="L191:T191"/>
    <mergeCell ref="D60:F60"/>
    <mergeCell ref="D61:F61"/>
    <mergeCell ref="D62:F62"/>
    <mergeCell ref="D63:F63"/>
    <mergeCell ref="D64:F64"/>
    <mergeCell ref="D65:F65"/>
    <mergeCell ref="D66:F66"/>
    <mergeCell ref="D67:F67"/>
    <mergeCell ref="D68:F68"/>
    <mergeCell ref="K14:P14"/>
    <mergeCell ref="D49:F49"/>
    <mergeCell ref="D50:F50"/>
    <mergeCell ref="D51:F51"/>
    <mergeCell ref="M48:N48"/>
    <mergeCell ref="I48:L48"/>
    <mergeCell ref="D52:F52"/>
    <mergeCell ref="D58:F58"/>
    <mergeCell ref="D59:F59"/>
    <mergeCell ref="D53:F53"/>
    <mergeCell ref="D54:F54"/>
    <mergeCell ref="D55:F55"/>
    <mergeCell ref="D56:F56"/>
    <mergeCell ref="D57:F57"/>
    <mergeCell ref="L142:T142"/>
    <mergeCell ref="L129:T129"/>
    <mergeCell ref="P48:Q48"/>
    <mergeCell ref="L190:T190"/>
    <mergeCell ref="P92:T92"/>
    <mergeCell ref="P93:T93"/>
    <mergeCell ref="P94:T94"/>
    <mergeCell ref="I281:J281"/>
    <mergeCell ref="I161:J161"/>
    <mergeCell ref="I173:J173"/>
    <mergeCell ref="I185:J185"/>
    <mergeCell ref="I197:J197"/>
    <mergeCell ref="I209:J209"/>
    <mergeCell ref="I101:J101"/>
    <mergeCell ref="I113:J113"/>
    <mergeCell ref="I125:J125"/>
    <mergeCell ref="I137:J137"/>
    <mergeCell ref="I149:J149"/>
    <mergeCell ref="L202:T202"/>
    <mergeCell ref="L178:T178"/>
    <mergeCell ref="L179:T179"/>
    <mergeCell ref="L189:T189"/>
    <mergeCell ref="L141:T141"/>
    <mergeCell ref="I293:J293"/>
    <mergeCell ref="I305:J305"/>
    <mergeCell ref="I317:J317"/>
    <mergeCell ref="I329:J329"/>
    <mergeCell ref="I221:J221"/>
    <mergeCell ref="I233:J233"/>
    <mergeCell ref="I245:J245"/>
    <mergeCell ref="I257:J257"/>
    <mergeCell ref="I269:J269"/>
  </mergeCells>
  <conditionalFormatting sqref="C41">
    <cfRule type="expression" dxfId="750" priority="70">
      <formula>$C$16=""</formula>
    </cfRule>
  </conditionalFormatting>
  <conditionalFormatting sqref="C41:I41 C37:I37 K37:P37">
    <cfRule type="expression" dxfId="749" priority="69">
      <formula>$C$37=""</formula>
    </cfRule>
  </conditionalFormatting>
  <conditionalFormatting sqref="D50:T50">
    <cfRule type="expression" dxfId="748" priority="67">
      <formula>$C$50=""</formula>
    </cfRule>
  </conditionalFormatting>
  <conditionalFormatting sqref="D51:T51">
    <cfRule type="expression" dxfId="747" priority="66">
      <formula>$C$51=""</formula>
    </cfRule>
  </conditionalFormatting>
  <conditionalFormatting sqref="D52:T52">
    <cfRule type="expression" dxfId="746" priority="65">
      <formula>$C$52=""</formula>
    </cfRule>
  </conditionalFormatting>
  <conditionalFormatting sqref="D53:T53">
    <cfRule type="expression" dxfId="745" priority="64">
      <formula>$C$53=""</formula>
    </cfRule>
  </conditionalFormatting>
  <conditionalFormatting sqref="D54:T54">
    <cfRule type="expression" dxfId="744" priority="63">
      <formula>$C$54=""</formula>
    </cfRule>
  </conditionalFormatting>
  <conditionalFormatting sqref="D55:T55">
    <cfRule type="expression" dxfId="743" priority="62">
      <formula>$C$55=""</formula>
    </cfRule>
  </conditionalFormatting>
  <conditionalFormatting sqref="D56:T56">
    <cfRule type="expression" dxfId="742" priority="61">
      <formula>$C$56=""</formula>
    </cfRule>
  </conditionalFormatting>
  <conditionalFormatting sqref="D57:T57">
    <cfRule type="expression" dxfId="741" priority="60">
      <formula>$C$57=""</formula>
    </cfRule>
  </conditionalFormatting>
  <conditionalFormatting sqref="D58:T58">
    <cfRule type="expression" dxfId="740" priority="59">
      <formula>$C$58=""</formula>
    </cfRule>
  </conditionalFormatting>
  <conditionalFormatting sqref="D59:T59">
    <cfRule type="expression" dxfId="739" priority="58">
      <formula>$C$59=""</formula>
    </cfRule>
  </conditionalFormatting>
  <conditionalFormatting sqref="L105:N107 D105:I105 D106:J107">
    <cfRule type="expression" dxfId="738" priority="57">
      <formula>$C$101=MsgNotUsed</formula>
    </cfRule>
  </conditionalFormatting>
  <conditionalFormatting sqref="D117:I119 J118:J119 L117:N119">
    <cfRule type="expression" dxfId="737" priority="56">
      <formula>$C$113=MsgNotUsed</formula>
    </cfRule>
  </conditionalFormatting>
  <conditionalFormatting sqref="D129:I131 J130:J131 L129:N131">
    <cfRule type="expression" dxfId="736" priority="55">
      <formula>$C$125=MsgNotUsed</formula>
    </cfRule>
  </conditionalFormatting>
  <conditionalFormatting sqref="D141:I143 J142:J143 L141:N143">
    <cfRule type="expression" dxfId="735" priority="54">
      <formula>$C$137=MsgNotUsed</formula>
    </cfRule>
  </conditionalFormatting>
  <conditionalFormatting sqref="D153:I155 J154:J155 L153:N155">
    <cfRule type="expression" dxfId="734" priority="53">
      <formula>$C$149=MsgNotUsed</formula>
    </cfRule>
  </conditionalFormatting>
  <conditionalFormatting sqref="D165:I167 J166:J167 L165:N167">
    <cfRule type="expression" dxfId="733" priority="52">
      <formula>$C$161=MsgNotUsed</formula>
    </cfRule>
  </conditionalFormatting>
  <conditionalFormatting sqref="D177:I179 J178:J179 L177:N179">
    <cfRule type="expression" dxfId="732" priority="51">
      <formula>$C$173=MsgNotUsed</formula>
    </cfRule>
  </conditionalFormatting>
  <conditionalFormatting sqref="D189:I191 J190:J191 L189:N191">
    <cfRule type="expression" dxfId="731" priority="50">
      <formula>$C$185=MsgNotUsed</formula>
    </cfRule>
  </conditionalFormatting>
  <conditionalFormatting sqref="D201:I203 J202:J203 L201:N203">
    <cfRule type="expression" dxfId="730" priority="49">
      <formula>$C$197=MsgNotUsed</formula>
    </cfRule>
  </conditionalFormatting>
  <conditionalFormatting sqref="D213:I215 J214:J215 L213:N215 J226:J227 L225:N227 J238:J239 L237:N239 J250:J251 L249:N251 J262:J263 L261:N263 J274:J275 L273:N275 J286:J287 L285:N287 J298:J299 L297:N299 J310:J311 L309:N311 J322:J323 L321:N323 J334:J335 L333:N335">
    <cfRule type="expression" dxfId="729" priority="48">
      <formula>$C$209=MsgNotUsed</formula>
    </cfRule>
  </conditionalFormatting>
  <conditionalFormatting sqref="D60:T60">
    <cfRule type="expression" dxfId="728" priority="32">
      <formula>$C$60=""</formula>
    </cfRule>
  </conditionalFormatting>
  <conditionalFormatting sqref="D61:T61">
    <cfRule type="expression" dxfId="727" priority="31">
      <formula>$C$61=""</formula>
    </cfRule>
  </conditionalFormatting>
  <conditionalFormatting sqref="D62:T62">
    <cfRule type="expression" dxfId="726" priority="30">
      <formula>$C$62=""</formula>
    </cfRule>
  </conditionalFormatting>
  <conditionalFormatting sqref="D63:T63">
    <cfRule type="expression" dxfId="725" priority="29">
      <formula>$C$63=""</formula>
    </cfRule>
  </conditionalFormatting>
  <conditionalFormatting sqref="D64:T64">
    <cfRule type="expression" dxfId="724" priority="28">
      <formula>$C$64=""</formula>
    </cfRule>
  </conditionalFormatting>
  <conditionalFormatting sqref="D65:T65">
    <cfRule type="expression" dxfId="723" priority="27">
      <formula>$C$65=""</formula>
    </cfRule>
  </conditionalFormatting>
  <conditionalFormatting sqref="D66:T66">
    <cfRule type="expression" dxfId="722" priority="26">
      <formula>$C$66=""</formula>
    </cfRule>
  </conditionalFormatting>
  <conditionalFormatting sqref="D67:T67">
    <cfRule type="expression" dxfId="721" priority="25">
      <formula>$C$67=""</formula>
    </cfRule>
  </conditionalFormatting>
  <conditionalFormatting sqref="D68:T68">
    <cfRule type="expression" dxfId="720" priority="24">
      <formula>$C$68=""</formula>
    </cfRule>
  </conditionalFormatting>
  <conditionalFormatting sqref="D69:T69">
    <cfRule type="expression" dxfId="719" priority="23">
      <formula>$C$69=""</formula>
    </cfRule>
  </conditionalFormatting>
  <conditionalFormatting sqref="D225:I227">
    <cfRule type="expression" dxfId="718" priority="22">
      <formula>$C$209=MsgNotUsed</formula>
    </cfRule>
  </conditionalFormatting>
  <conditionalFormatting sqref="D237:I239">
    <cfRule type="expression" dxfId="717" priority="21">
      <formula>$C$209=MsgNotUsed</formula>
    </cfRule>
  </conditionalFormatting>
  <conditionalFormatting sqref="D249:I251">
    <cfRule type="expression" dxfId="716" priority="20">
      <formula>$C$209=MsgNotUsed</formula>
    </cfRule>
  </conditionalFormatting>
  <conditionalFormatting sqref="D261:I263">
    <cfRule type="expression" dxfId="715" priority="19">
      <formula>$C$209=MsgNotUsed</formula>
    </cfRule>
  </conditionalFormatting>
  <conditionalFormatting sqref="D273:I275">
    <cfRule type="expression" dxfId="714" priority="18">
      <formula>$C$209=MsgNotUsed</formula>
    </cfRule>
  </conditionalFormatting>
  <conditionalFormatting sqref="D285:I287">
    <cfRule type="expression" dxfId="713" priority="17">
      <formula>$C$209=MsgNotUsed</formula>
    </cfRule>
  </conditionalFormatting>
  <conditionalFormatting sqref="D297:I299">
    <cfRule type="expression" dxfId="712" priority="16">
      <formula>$C$209=MsgNotUsed</formula>
    </cfRule>
  </conditionalFormatting>
  <conditionalFormatting sqref="D309:I311">
    <cfRule type="expression" dxfId="711" priority="15">
      <formula>$C$209=MsgNotUsed</formula>
    </cfRule>
  </conditionalFormatting>
  <conditionalFormatting sqref="D321:I323">
    <cfRule type="expression" dxfId="710" priority="14">
      <formula>$C$209=MsgNotUsed</formula>
    </cfRule>
  </conditionalFormatting>
  <conditionalFormatting sqref="D333:I335">
    <cfRule type="expression" dxfId="709" priority="13">
      <formula>$C$209=MsgNotUsed</formula>
    </cfRule>
  </conditionalFormatting>
  <conditionalFormatting sqref="M90:N90">
    <cfRule type="expression" dxfId="708" priority="558">
      <formula>$U$90=1</formula>
    </cfRule>
  </conditionalFormatting>
  <conditionalFormatting sqref="M91:N91">
    <cfRule type="expression" dxfId="707" priority="11">
      <formula>$U$91=1</formula>
    </cfRule>
  </conditionalFormatting>
  <conditionalFormatting sqref="M92:N92">
    <cfRule type="expression" dxfId="706" priority="10">
      <formula>$U$92=1</formula>
    </cfRule>
  </conditionalFormatting>
  <conditionalFormatting sqref="M93:N93">
    <cfRule type="expression" dxfId="705" priority="9">
      <formula>$U$93=1</formula>
    </cfRule>
  </conditionalFormatting>
  <conditionalFormatting sqref="M94:N94">
    <cfRule type="expression" dxfId="704" priority="8">
      <formula>$U$94=1</formula>
    </cfRule>
  </conditionalFormatting>
  <conditionalFormatting sqref="I82:L86">
    <cfRule type="cellIs" dxfId="703" priority="2" operator="equal">
      <formula>0</formula>
    </cfRule>
  </conditionalFormatting>
  <conditionalFormatting sqref="I90:J94">
    <cfRule type="cellIs" dxfId="702" priority="1" operator="equal">
      <formula>0</formula>
    </cfRule>
  </conditionalFormatting>
  <conditionalFormatting sqref="M90:N90 P90">
    <cfRule type="expression" dxfId="701" priority="593">
      <formula>$I$90+$J$90=0</formula>
    </cfRule>
  </conditionalFormatting>
  <conditionalFormatting sqref="M91:N91 P91">
    <cfRule type="expression" dxfId="700" priority="595">
      <formula>$I$91+$J$91=0</formula>
    </cfRule>
  </conditionalFormatting>
  <conditionalFormatting sqref="M92:N92 P92">
    <cfRule type="expression" dxfId="699" priority="597">
      <formula>$I$92+$J$92=0</formula>
    </cfRule>
  </conditionalFormatting>
  <conditionalFormatting sqref="M93:N93 P93">
    <cfRule type="expression" dxfId="698" priority="599">
      <formula>$I$93+$J$93=0</formula>
    </cfRule>
  </conditionalFormatting>
  <conditionalFormatting sqref="M94:N94 P94">
    <cfRule type="expression" dxfId="697" priority="601">
      <formula>$I$94+$J$94=0</formula>
    </cfRule>
  </conditionalFormatting>
  <dataValidations disablePrompts="1" count="3">
    <dataValidation type="list" allowBlank="1" showInputMessage="1" showErrorMessage="1" sqref="H50:H69">
      <formula1>TPShort</formula1>
    </dataValidation>
    <dataValidation type="list" allowBlank="1" showInputMessage="1" showErrorMessage="1" sqref="P50:Q69">
      <formula1>Switch</formula1>
    </dataValidation>
    <dataValidation type="list" allowBlank="1" showInputMessage="1" showErrorMessage="1" sqref="O50:O69">
      <formula1>CoPayBands</formula1>
    </dataValidation>
  </dataValidations>
  <pageMargins left="0.11811023622047245" right="0.11811023622047245" top="0.19685039370078741" bottom="0.15748031496062992" header="0.31496062992125984" footer="0.31496062992125984"/>
  <pageSetup paperSize="9" scale="41"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pageSetUpPr fitToPage="1"/>
  </sheetPr>
  <dimension ref="A1:AN20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3" width="3.7109375" style="570" hidden="1" customWidth="1"/>
    <col min="4" max="4" width="3.7109375" hidden="1" customWidth="1"/>
    <col min="5" max="5" width="50.7109375" customWidth="1"/>
    <col min="6" max="21" width="15.7109375" customWidth="1"/>
    <col min="22" max="22" width="10.7109375" hidden="1" customWidth="1"/>
    <col min="23" max="23" width="50.7109375" hidden="1" customWidth="1"/>
    <col min="24" max="40" width="10.7109375" hidden="1" customWidth="1"/>
  </cols>
  <sheetData>
    <row r="1" spans="1:40" ht="23.25" x14ac:dyDescent="0.2">
      <c r="A1" s="469">
        <f>IF((SUM(F36:K36)+SUM(M36:R36)&lt;&gt;0),2,0)</f>
        <v>0</v>
      </c>
      <c r="B1" s="469"/>
      <c r="C1" s="469"/>
      <c r="D1" s="465"/>
      <c r="E1" s="466" t="s">
        <v>889</v>
      </c>
      <c r="F1" s="465"/>
      <c r="G1" s="465"/>
      <c r="H1" s="465"/>
      <c r="I1" s="465"/>
      <c r="J1" s="470" t="str">
        <f>"Source: " &amp; '0. Title'!C39</f>
        <v xml:space="preserve">Source: </v>
      </c>
      <c r="K1" s="466"/>
      <c r="L1" s="465"/>
      <c r="M1" s="465"/>
      <c r="N1" s="465"/>
      <c r="O1" s="465"/>
      <c r="P1" s="465"/>
      <c r="Q1" s="465"/>
      <c r="R1" s="465"/>
      <c r="S1" s="465"/>
      <c r="T1" s="465"/>
      <c r="U1" s="465"/>
      <c r="V1" s="38"/>
      <c r="W1" s="38"/>
      <c r="X1" s="38"/>
      <c r="Y1" s="38"/>
      <c r="Z1" s="38"/>
      <c r="AA1" s="38"/>
      <c r="AB1" s="38"/>
      <c r="AC1" s="38"/>
      <c r="AD1" s="38"/>
      <c r="AE1" s="38"/>
      <c r="AF1" s="38"/>
      <c r="AG1" s="38"/>
      <c r="AH1" s="38"/>
      <c r="AI1" s="38"/>
      <c r="AJ1" s="38"/>
      <c r="AK1" s="38"/>
      <c r="AL1" s="38"/>
      <c r="AM1" s="38"/>
      <c r="AN1" s="38"/>
    </row>
    <row r="2" spans="1:40" ht="15.75" x14ac:dyDescent="0.2">
      <c r="A2" s="465"/>
      <c r="B2" s="465"/>
      <c r="C2" s="465"/>
      <c r="D2" s="465"/>
      <c r="E2" s="468" t="str">
        <f>CONCATENATE("Name of medicine: ", MedicineBrand)</f>
        <v>Name of medicine:  (®)</v>
      </c>
      <c r="F2" s="465"/>
      <c r="G2" s="465"/>
      <c r="H2" s="465"/>
      <c r="I2" s="465"/>
      <c r="J2" s="465"/>
      <c r="K2" s="465"/>
      <c r="L2" s="465"/>
      <c r="M2" s="465"/>
      <c r="N2" s="465"/>
      <c r="O2" s="465"/>
      <c r="P2" s="465"/>
      <c r="Q2" s="465"/>
      <c r="R2" s="465"/>
      <c r="S2" s="465"/>
      <c r="T2" s="465"/>
      <c r="U2" s="465"/>
      <c r="V2" s="38"/>
      <c r="W2" s="38"/>
      <c r="X2" s="38"/>
      <c r="Y2" s="38"/>
      <c r="Z2" s="38"/>
      <c r="AA2" s="38"/>
      <c r="AB2" s="38"/>
      <c r="AC2" s="38"/>
      <c r="AD2" s="38"/>
      <c r="AE2" s="38"/>
      <c r="AF2" s="38"/>
      <c r="AG2" s="38"/>
      <c r="AH2" s="38"/>
      <c r="AI2" s="38"/>
      <c r="AJ2" s="38"/>
      <c r="AK2" s="38"/>
      <c r="AL2" s="38"/>
      <c r="AM2" s="38"/>
      <c r="AN2" s="38"/>
    </row>
    <row r="3" spans="1:40" ht="15.75" x14ac:dyDescent="0.2">
      <c r="A3" s="465"/>
      <c r="B3" s="465"/>
      <c r="C3" s="465"/>
      <c r="D3" s="465"/>
      <c r="E3" s="468" t="str">
        <f>CONCATENATE("Indication: ",Indication)</f>
        <v xml:space="preserve">Indication: </v>
      </c>
      <c r="F3" s="465"/>
      <c r="G3" s="465"/>
      <c r="H3" s="465"/>
      <c r="I3" s="465"/>
      <c r="J3" s="465"/>
      <c r="K3" s="465"/>
      <c r="L3" s="465"/>
      <c r="M3" s="465"/>
      <c r="N3" s="465"/>
      <c r="O3" s="465"/>
      <c r="P3" s="465"/>
      <c r="Q3" s="465"/>
      <c r="R3" s="465"/>
      <c r="S3" s="465"/>
      <c r="T3" s="465"/>
      <c r="U3" s="465"/>
      <c r="V3" s="38"/>
      <c r="W3" s="38"/>
      <c r="X3" s="38"/>
      <c r="Y3" s="38"/>
      <c r="Z3" s="38"/>
      <c r="AA3" s="38"/>
      <c r="AB3" s="38"/>
      <c r="AC3" s="38"/>
      <c r="AD3" s="38"/>
      <c r="AE3" s="38"/>
      <c r="AF3" s="38"/>
      <c r="AG3" s="38"/>
      <c r="AH3" s="38"/>
      <c r="AI3" s="38"/>
      <c r="AJ3" s="38"/>
      <c r="AK3" s="38"/>
      <c r="AL3" s="38"/>
      <c r="AM3" s="38"/>
      <c r="AN3" s="38"/>
    </row>
    <row r="4" spans="1:40" s="575" customFormat="1" x14ac:dyDescent="0.2">
      <c r="A4" s="572"/>
      <c r="B4" s="572"/>
      <c r="C4" s="572"/>
      <c r="D4" s="572"/>
      <c r="E4" s="266"/>
      <c r="F4" s="121"/>
      <c r="G4" s="572"/>
      <c r="H4" s="572"/>
      <c r="I4" s="572"/>
      <c r="J4" s="572"/>
      <c r="K4" s="572"/>
      <c r="L4" s="572"/>
      <c r="M4" s="572"/>
      <c r="N4" s="572"/>
      <c r="O4" s="572"/>
      <c r="P4" s="572"/>
      <c r="Q4" s="572"/>
      <c r="R4" s="572"/>
      <c r="S4" s="572"/>
      <c r="T4" s="572"/>
      <c r="U4" s="572"/>
      <c r="V4" s="571"/>
      <c r="W4" s="571"/>
      <c r="X4" s="571"/>
      <c r="Y4" s="571"/>
      <c r="Z4" s="571"/>
      <c r="AA4" s="571"/>
      <c r="AB4" s="571"/>
      <c r="AC4" s="571"/>
      <c r="AD4" s="571"/>
      <c r="AE4" s="571"/>
      <c r="AF4" s="571"/>
      <c r="AG4" s="571"/>
      <c r="AH4" s="571"/>
      <c r="AI4" s="571"/>
      <c r="AJ4" s="571"/>
      <c r="AK4" s="571"/>
      <c r="AL4" s="571"/>
      <c r="AM4" s="571"/>
      <c r="AN4" s="571"/>
    </row>
    <row r="5" spans="1:40" ht="15.75" x14ac:dyDescent="0.2">
      <c r="A5" s="171"/>
      <c r="B5" s="592"/>
      <c r="C5" s="592"/>
      <c r="D5" s="171"/>
      <c r="E5" s="174" t="s">
        <v>2</v>
      </c>
      <c r="F5" s="228"/>
      <c r="G5" s="175"/>
      <c r="H5" s="175"/>
      <c r="I5" s="175"/>
      <c r="J5" s="175"/>
      <c r="K5" s="175"/>
      <c r="L5" s="175"/>
      <c r="M5" s="175"/>
      <c r="N5" s="175"/>
      <c r="O5" s="175"/>
      <c r="P5" s="175"/>
      <c r="Q5" s="175"/>
      <c r="R5" s="175"/>
      <c r="S5" s="175"/>
      <c r="T5" s="175"/>
      <c r="U5" s="175"/>
      <c r="V5" s="39"/>
      <c r="W5" s="39"/>
      <c r="X5" s="39"/>
      <c r="Y5" s="39"/>
      <c r="Z5" s="39"/>
      <c r="AA5" s="39"/>
      <c r="AB5" s="39"/>
      <c r="AC5" s="39"/>
      <c r="AD5" s="39"/>
      <c r="AE5" s="39"/>
      <c r="AF5" s="39"/>
      <c r="AG5" s="39"/>
      <c r="AH5" s="39"/>
      <c r="AI5" s="39"/>
      <c r="AJ5" s="39"/>
      <c r="AK5" s="39"/>
      <c r="AL5" s="39"/>
      <c r="AM5" s="39"/>
      <c r="AN5" s="39"/>
    </row>
    <row r="6" spans="1:40" ht="14.25" x14ac:dyDescent="0.2">
      <c r="A6" s="171"/>
      <c r="B6" s="592"/>
      <c r="C6" s="592"/>
      <c r="D6" s="171"/>
      <c r="E6" s="209"/>
      <c r="F6" s="215"/>
      <c r="G6" s="171"/>
      <c r="H6" s="171"/>
      <c r="I6" s="171"/>
      <c r="J6" s="171"/>
      <c r="K6" s="171"/>
      <c r="L6" s="171"/>
      <c r="M6" s="171"/>
      <c r="N6" s="171"/>
      <c r="O6" s="171"/>
      <c r="P6" s="171"/>
      <c r="Q6" s="171"/>
      <c r="R6" s="171"/>
      <c r="S6" s="171"/>
      <c r="T6" s="171"/>
      <c r="U6" s="171"/>
      <c r="V6" s="5"/>
      <c r="W6" s="5"/>
      <c r="X6" s="5"/>
      <c r="Y6" s="5"/>
      <c r="Z6" s="5"/>
      <c r="AA6" s="5"/>
      <c r="AB6" s="5"/>
      <c r="AC6" s="5"/>
      <c r="AD6" s="5"/>
      <c r="AE6" s="5"/>
      <c r="AF6" s="5"/>
      <c r="AG6" s="5"/>
      <c r="AH6" s="5"/>
      <c r="AI6" s="5"/>
      <c r="AJ6" s="5"/>
      <c r="AK6" s="5"/>
      <c r="AL6" s="5"/>
      <c r="AM6" s="5"/>
      <c r="AN6" s="5"/>
    </row>
    <row r="7" spans="1:40" x14ac:dyDescent="0.2">
      <c r="A7" s="171"/>
      <c r="B7" s="592"/>
      <c r="C7" s="592"/>
      <c r="D7" s="171"/>
      <c r="E7" s="6" t="s">
        <v>890</v>
      </c>
      <c r="F7" s="121"/>
      <c r="G7" s="121"/>
      <c r="H7" s="121"/>
      <c r="I7" s="121"/>
      <c r="J7" s="121"/>
      <c r="K7" s="121"/>
      <c r="L7" s="121"/>
      <c r="M7" s="121"/>
      <c r="N7" s="121"/>
      <c r="O7" s="121"/>
      <c r="P7" s="121"/>
      <c r="Q7" s="121"/>
      <c r="R7" s="121"/>
      <c r="S7" s="121"/>
      <c r="T7" s="121"/>
      <c r="U7" s="121"/>
      <c r="V7" s="5"/>
      <c r="W7" s="5"/>
      <c r="X7" s="5"/>
      <c r="Y7" s="5"/>
      <c r="Z7" s="5"/>
      <c r="AA7" s="5"/>
      <c r="AB7" s="5"/>
      <c r="AC7" s="5"/>
      <c r="AD7" s="5"/>
      <c r="AE7" s="5"/>
      <c r="AF7" s="5"/>
      <c r="AG7" s="5"/>
      <c r="AH7" s="5"/>
      <c r="AI7" s="5"/>
      <c r="AJ7" s="5"/>
      <c r="AK7" s="5"/>
      <c r="AL7" s="5"/>
      <c r="AM7" s="5"/>
      <c r="AN7" s="5"/>
    </row>
    <row r="8" spans="1:40" x14ac:dyDescent="0.2">
      <c r="A8" s="171"/>
      <c r="B8" s="592"/>
      <c r="C8" s="592"/>
      <c r="D8" s="171"/>
      <c r="E8" s="36"/>
      <c r="F8" s="229"/>
      <c r="G8" s="229"/>
      <c r="H8" s="229"/>
      <c r="I8" s="229"/>
      <c r="J8" s="229"/>
      <c r="K8" s="229"/>
      <c r="L8" s="229"/>
      <c r="M8" s="229"/>
      <c r="N8" s="121"/>
      <c r="O8" s="121"/>
      <c r="P8" s="121"/>
      <c r="Q8" s="121"/>
      <c r="R8" s="121"/>
      <c r="S8" s="121"/>
      <c r="T8" s="121"/>
      <c r="U8" s="121"/>
      <c r="V8" s="5"/>
      <c r="W8" s="5"/>
      <c r="X8" s="5"/>
      <c r="Y8" s="5"/>
      <c r="Z8" s="5"/>
      <c r="AA8" s="5"/>
      <c r="AB8" s="5"/>
      <c r="AC8" s="5"/>
      <c r="AD8" s="5"/>
      <c r="AE8" s="5"/>
      <c r="AF8" s="5"/>
      <c r="AG8" s="5"/>
      <c r="AH8" s="5"/>
      <c r="AI8" s="5"/>
      <c r="AJ8" s="5"/>
      <c r="AK8" s="5"/>
      <c r="AL8" s="5"/>
      <c r="AM8" s="5"/>
      <c r="AN8" s="5"/>
    </row>
    <row r="9" spans="1:40" x14ac:dyDescent="0.2">
      <c r="A9" s="171"/>
      <c r="B9" s="592"/>
      <c r="C9" s="592"/>
      <c r="D9" s="171"/>
      <c r="E9" s="6"/>
      <c r="F9" s="6"/>
      <c r="G9" s="6"/>
      <c r="H9" s="6"/>
      <c r="I9" s="6"/>
      <c r="J9" s="6"/>
      <c r="K9" s="6"/>
      <c r="L9" s="6"/>
      <c r="M9" s="6"/>
      <c r="N9" s="6"/>
      <c r="O9" s="6"/>
      <c r="P9" s="6"/>
      <c r="Q9" s="6"/>
      <c r="R9" s="6"/>
      <c r="S9" s="6"/>
      <c r="T9" s="6"/>
      <c r="U9" s="6"/>
      <c r="V9" s="5"/>
      <c r="W9" s="5"/>
      <c r="X9" s="5"/>
      <c r="Y9" s="5"/>
      <c r="Z9" s="5"/>
      <c r="AA9" s="5"/>
      <c r="AB9" s="5"/>
      <c r="AC9" s="5"/>
      <c r="AD9" s="5"/>
      <c r="AE9" s="5"/>
      <c r="AF9" s="5"/>
      <c r="AG9" s="5"/>
      <c r="AH9" s="5"/>
      <c r="AI9" s="5"/>
      <c r="AJ9" s="5"/>
      <c r="AK9" s="5"/>
      <c r="AL9" s="5"/>
      <c r="AM9" s="5"/>
      <c r="AN9" s="5"/>
    </row>
    <row r="10" spans="1:40" ht="15.75" x14ac:dyDescent="0.2">
      <c r="A10" s="176"/>
      <c r="B10" s="176"/>
      <c r="C10" s="176"/>
      <c r="D10" s="176"/>
      <c r="E10" s="174" t="s">
        <v>939</v>
      </c>
      <c r="F10" s="228"/>
      <c r="G10" s="175"/>
      <c r="H10" s="175"/>
      <c r="I10" s="175"/>
      <c r="J10" s="175"/>
      <c r="K10" s="175"/>
      <c r="L10" s="175"/>
      <c r="M10" s="175"/>
      <c r="N10" s="175"/>
      <c r="O10" s="175"/>
      <c r="P10" s="175"/>
      <c r="Q10" s="175"/>
      <c r="R10" s="175"/>
      <c r="S10" s="175"/>
      <c r="T10" s="175"/>
      <c r="U10" s="175"/>
      <c r="V10" s="40"/>
      <c r="W10" s="40"/>
      <c r="X10" s="40"/>
      <c r="Y10" s="40"/>
      <c r="Z10" s="40"/>
      <c r="AA10" s="40"/>
      <c r="AB10" s="40"/>
      <c r="AC10" s="40"/>
      <c r="AD10" s="40"/>
      <c r="AE10" s="40"/>
      <c r="AF10" s="40"/>
      <c r="AG10" s="40"/>
      <c r="AH10" s="40"/>
      <c r="AI10" s="40"/>
      <c r="AJ10" s="40"/>
      <c r="AK10" s="40"/>
      <c r="AL10" s="40"/>
      <c r="AM10" s="40"/>
      <c r="AN10" s="40"/>
    </row>
    <row r="11" spans="1:40" s="575" customFormat="1" x14ac:dyDescent="0.2">
      <c r="A11" s="572"/>
      <c r="B11" s="572"/>
      <c r="C11" s="572"/>
      <c r="D11" s="572"/>
      <c r="E11" s="595"/>
      <c r="F11" s="121"/>
      <c r="G11" s="572"/>
      <c r="H11" s="572"/>
      <c r="I11" s="572"/>
      <c r="J11" s="572"/>
      <c r="K11" s="572"/>
      <c r="L11" s="572"/>
      <c r="M11" s="572"/>
      <c r="N11" s="572"/>
      <c r="O11" s="572"/>
      <c r="P11" s="572"/>
      <c r="Q11" s="572"/>
      <c r="R11" s="572"/>
      <c r="S11" s="572"/>
      <c r="T11" s="572"/>
      <c r="U11" s="572"/>
      <c r="V11" s="571"/>
      <c r="W11" s="571"/>
      <c r="X11" s="571"/>
      <c r="Y11" s="571"/>
      <c r="Z11" s="571"/>
      <c r="AA11" s="571"/>
      <c r="AB11" s="571"/>
      <c r="AC11" s="571"/>
      <c r="AD11" s="571"/>
      <c r="AE11" s="571"/>
      <c r="AF11" s="571"/>
      <c r="AG11" s="571"/>
      <c r="AH11" s="571"/>
      <c r="AI11" s="571"/>
      <c r="AJ11" s="571"/>
      <c r="AK11" s="571"/>
      <c r="AL11" s="571"/>
      <c r="AM11" s="571"/>
      <c r="AN11" s="571"/>
    </row>
    <row r="12" spans="1:40" s="575" customFormat="1" x14ac:dyDescent="0.2">
      <c r="A12" s="572"/>
      <c r="B12" s="572"/>
      <c r="C12" s="572"/>
      <c r="D12" s="572"/>
      <c r="E12" s="211" t="s">
        <v>891</v>
      </c>
      <c r="F12" s="211"/>
      <c r="G12" s="211"/>
      <c r="H12" s="211"/>
      <c r="I12" s="211"/>
      <c r="J12" s="211"/>
      <c r="K12" s="211"/>
      <c r="L12" s="211"/>
      <c r="M12" s="211"/>
      <c r="N12" s="211"/>
      <c r="O12" s="211"/>
      <c r="P12" s="211"/>
      <c r="Q12" s="211"/>
      <c r="R12" s="211"/>
      <c r="S12" s="211"/>
      <c r="T12" s="211"/>
      <c r="U12" s="211"/>
      <c r="V12" s="571"/>
      <c r="W12" s="571"/>
      <c r="X12" s="571"/>
      <c r="Y12" s="571"/>
      <c r="Z12" s="571"/>
      <c r="AA12" s="571"/>
      <c r="AB12" s="571"/>
      <c r="AC12" s="571"/>
      <c r="AD12" s="571"/>
      <c r="AE12" s="571"/>
      <c r="AF12" s="571"/>
      <c r="AG12" s="571"/>
      <c r="AH12" s="571"/>
      <c r="AI12" s="571"/>
      <c r="AJ12" s="571"/>
      <c r="AK12" s="571"/>
      <c r="AL12" s="571"/>
      <c r="AM12" s="571"/>
      <c r="AN12" s="571"/>
    </row>
    <row r="13" spans="1:40" s="575" customFormat="1" x14ac:dyDescent="0.2">
      <c r="A13" s="572"/>
      <c r="B13" s="572"/>
      <c r="C13" s="572"/>
      <c r="D13" s="572"/>
      <c r="E13" s="211"/>
      <c r="F13" s="211"/>
      <c r="G13" s="211"/>
      <c r="H13" s="211"/>
      <c r="I13" s="211"/>
      <c r="J13" s="211"/>
      <c r="K13" s="211"/>
      <c r="L13" s="211"/>
      <c r="M13" s="211"/>
      <c r="N13" s="572"/>
      <c r="O13" s="572"/>
      <c r="P13" s="572"/>
      <c r="Q13" s="572"/>
      <c r="R13" s="572"/>
      <c r="S13" s="572"/>
      <c r="T13" s="572"/>
      <c r="U13" s="572"/>
      <c r="V13" s="571"/>
      <c r="W13" s="571"/>
      <c r="X13" s="571"/>
      <c r="Y13" s="571"/>
      <c r="Z13" s="571"/>
      <c r="AA13" s="571"/>
      <c r="AB13" s="571"/>
      <c r="AC13" s="571"/>
      <c r="AD13" s="571"/>
      <c r="AE13" s="571"/>
      <c r="AF13" s="571"/>
      <c r="AG13" s="571"/>
      <c r="AH13" s="571"/>
      <c r="AI13" s="571"/>
      <c r="AJ13" s="571"/>
      <c r="AK13" s="571"/>
      <c r="AL13" s="571"/>
      <c r="AM13" s="571"/>
      <c r="AN13" s="571"/>
    </row>
    <row r="14" spans="1:40" s="575" customFormat="1" x14ac:dyDescent="0.2">
      <c r="A14" s="572"/>
      <c r="B14" s="572"/>
      <c r="C14" s="572"/>
      <c r="D14" s="572"/>
      <c r="E14" s="211"/>
      <c r="F14" s="792" t="s">
        <v>256</v>
      </c>
      <c r="G14" s="802"/>
      <c r="H14" s="802"/>
      <c r="I14" s="802"/>
      <c r="J14" s="802"/>
      <c r="K14" s="803"/>
      <c r="L14" s="572"/>
      <c r="M14" s="792" t="s">
        <v>257</v>
      </c>
      <c r="N14" s="802"/>
      <c r="O14" s="802"/>
      <c r="P14" s="802"/>
      <c r="Q14" s="802"/>
      <c r="R14" s="803"/>
      <c r="S14" s="572"/>
      <c r="T14" s="572"/>
      <c r="U14" s="572"/>
      <c r="V14" s="571"/>
      <c r="W14" s="571"/>
      <c r="X14" s="571"/>
      <c r="Y14" s="571"/>
      <c r="Z14" s="571"/>
      <c r="AA14" s="571"/>
      <c r="AB14" s="571"/>
      <c r="AC14" s="571"/>
      <c r="AD14" s="571"/>
      <c r="AE14" s="571"/>
      <c r="AF14" s="571"/>
      <c r="AG14" s="571"/>
      <c r="AH14" s="571"/>
      <c r="AI14" s="571"/>
      <c r="AJ14" s="571"/>
      <c r="AK14" s="571"/>
      <c r="AL14" s="571"/>
      <c r="AM14" s="571"/>
      <c r="AN14" s="571"/>
    </row>
    <row r="15" spans="1:40" s="575" customFormat="1" x14ac:dyDescent="0.2">
      <c r="A15" s="572"/>
      <c r="B15" s="572"/>
      <c r="C15" s="572"/>
      <c r="D15" s="572"/>
      <c r="E15" s="89" t="s">
        <v>883</v>
      </c>
      <c r="F15" s="629">
        <f>FirstYear</f>
        <v>0</v>
      </c>
      <c r="G15" s="629">
        <f>F15+1</f>
        <v>1</v>
      </c>
      <c r="H15" s="629">
        <f>G15+1</f>
        <v>2</v>
      </c>
      <c r="I15" s="629">
        <f>H15+1</f>
        <v>3</v>
      </c>
      <c r="J15" s="629">
        <f>I15+1</f>
        <v>4</v>
      </c>
      <c r="K15" s="629">
        <f>J15+1</f>
        <v>5</v>
      </c>
      <c r="L15" s="572"/>
      <c r="M15" s="629">
        <f>FirstYear</f>
        <v>0</v>
      </c>
      <c r="N15" s="629">
        <f>M15+1</f>
        <v>1</v>
      </c>
      <c r="O15" s="629">
        <f>N15+1</f>
        <v>2</v>
      </c>
      <c r="P15" s="629">
        <f>O15+1</f>
        <v>3</v>
      </c>
      <c r="Q15" s="629">
        <f>P15+1</f>
        <v>4</v>
      </c>
      <c r="R15" s="629">
        <f>Q15+1</f>
        <v>5</v>
      </c>
      <c r="S15" s="572"/>
      <c r="T15" s="572"/>
      <c r="U15" s="572"/>
      <c r="V15" s="571"/>
      <c r="W15" s="571"/>
      <c r="X15" s="571"/>
      <c r="Y15" s="571"/>
      <c r="Z15" s="571"/>
      <c r="AA15" s="571"/>
      <c r="AB15" s="571"/>
      <c r="AC15" s="571"/>
      <c r="AD15" s="571"/>
      <c r="AE15" s="571"/>
      <c r="AF15" s="571"/>
      <c r="AG15" s="571"/>
      <c r="AH15" s="571"/>
      <c r="AI15" s="571"/>
      <c r="AJ15" s="571"/>
      <c r="AK15" s="571"/>
      <c r="AL15" s="571"/>
      <c r="AM15" s="571"/>
      <c r="AN15" s="571"/>
    </row>
    <row r="16" spans="1:40" s="575" customFormat="1" x14ac:dyDescent="0.2">
      <c r="A16" s="572"/>
      <c r="B16" s="572"/>
      <c r="C16" s="572"/>
      <c r="D16" s="79">
        <v>1</v>
      </c>
      <c r="E16" s="631" t="str">
        <f t="shared" ref="E16:E35" si="0">INDEX(NamesNew,D16)</f>
        <v>** NOT USED **</v>
      </c>
      <c r="F16" s="607">
        <f t="shared" ref="F16:K25" si="1">IF($E16&lt;&gt;"",F48+SUMIFS(F$83:F$102,$W$83:$W$102,$E16),0)</f>
        <v>0</v>
      </c>
      <c r="G16" s="607">
        <f t="shared" si="1"/>
        <v>0</v>
      </c>
      <c r="H16" s="607">
        <f t="shared" si="1"/>
        <v>0</v>
      </c>
      <c r="I16" s="607">
        <f t="shared" si="1"/>
        <v>0</v>
      </c>
      <c r="J16" s="607">
        <f t="shared" si="1"/>
        <v>0</v>
      </c>
      <c r="K16" s="607">
        <f t="shared" si="1"/>
        <v>0</v>
      </c>
      <c r="L16" s="572"/>
      <c r="M16" s="607">
        <f t="shared" ref="M16:R25" si="2">IF($E16&lt;&gt;"",M48+SUMIFS(M$83:M$102,$W$83:$W$102,$E16),0)</f>
        <v>0</v>
      </c>
      <c r="N16" s="607">
        <f t="shared" si="2"/>
        <v>0</v>
      </c>
      <c r="O16" s="607">
        <f t="shared" si="2"/>
        <v>0</v>
      </c>
      <c r="P16" s="607">
        <f t="shared" si="2"/>
        <v>0</v>
      </c>
      <c r="Q16" s="607">
        <f t="shared" si="2"/>
        <v>0</v>
      </c>
      <c r="R16" s="607">
        <f t="shared" si="2"/>
        <v>0</v>
      </c>
      <c r="S16" s="572"/>
      <c r="T16" s="572"/>
      <c r="U16" s="572"/>
      <c r="V16" s="571"/>
      <c r="W16" s="571"/>
      <c r="X16" s="571"/>
      <c r="Y16" s="571"/>
      <c r="Z16" s="571"/>
      <c r="AA16" s="571"/>
      <c r="AB16" s="571"/>
      <c r="AC16" s="571"/>
      <c r="AD16" s="571"/>
      <c r="AE16" s="571"/>
      <c r="AF16" s="571"/>
      <c r="AG16" s="571"/>
      <c r="AH16" s="571"/>
      <c r="AI16" s="571"/>
      <c r="AJ16" s="571"/>
      <c r="AK16" s="571"/>
      <c r="AL16" s="571"/>
      <c r="AM16" s="571"/>
      <c r="AN16" s="571"/>
    </row>
    <row r="17" spans="1:40" s="575" customFormat="1" x14ac:dyDescent="0.2">
      <c r="A17" s="572"/>
      <c r="B17" s="572"/>
      <c r="C17" s="572"/>
      <c r="D17" s="79">
        <v>2</v>
      </c>
      <c r="E17" s="631" t="str">
        <f t="shared" si="0"/>
        <v>** NOT USED **</v>
      </c>
      <c r="F17" s="607">
        <f t="shared" si="1"/>
        <v>0</v>
      </c>
      <c r="G17" s="607">
        <f t="shared" si="1"/>
        <v>0</v>
      </c>
      <c r="H17" s="607">
        <f t="shared" si="1"/>
        <v>0</v>
      </c>
      <c r="I17" s="607">
        <f t="shared" si="1"/>
        <v>0</v>
      </c>
      <c r="J17" s="607">
        <f t="shared" si="1"/>
        <v>0</v>
      </c>
      <c r="K17" s="607">
        <f t="shared" si="1"/>
        <v>0</v>
      </c>
      <c r="L17" s="572"/>
      <c r="M17" s="607">
        <f t="shared" si="2"/>
        <v>0</v>
      </c>
      <c r="N17" s="607">
        <f t="shared" si="2"/>
        <v>0</v>
      </c>
      <c r="O17" s="607">
        <f t="shared" si="2"/>
        <v>0</v>
      </c>
      <c r="P17" s="607">
        <f t="shared" si="2"/>
        <v>0</v>
      </c>
      <c r="Q17" s="607">
        <f t="shared" si="2"/>
        <v>0</v>
      </c>
      <c r="R17" s="607">
        <f t="shared" si="2"/>
        <v>0</v>
      </c>
      <c r="S17" s="572"/>
      <c r="T17" s="572"/>
      <c r="U17" s="572"/>
      <c r="V17" s="571"/>
      <c r="W17" s="571"/>
      <c r="X17" s="571"/>
      <c r="Y17" s="571"/>
      <c r="Z17" s="571"/>
      <c r="AA17" s="571"/>
      <c r="AB17" s="571"/>
      <c r="AC17" s="571"/>
      <c r="AD17" s="571"/>
      <c r="AE17" s="571"/>
      <c r="AF17" s="571"/>
      <c r="AG17" s="571"/>
      <c r="AH17" s="571"/>
      <c r="AI17" s="571"/>
      <c r="AJ17" s="571"/>
      <c r="AK17" s="571"/>
      <c r="AL17" s="571"/>
      <c r="AM17" s="571"/>
      <c r="AN17" s="571"/>
    </row>
    <row r="18" spans="1:40" s="575" customFormat="1" x14ac:dyDescent="0.2">
      <c r="A18" s="572"/>
      <c r="B18" s="572"/>
      <c r="C18" s="572"/>
      <c r="D18" s="79">
        <v>3</v>
      </c>
      <c r="E18" s="631" t="str">
        <f t="shared" si="0"/>
        <v>** NOT USED **</v>
      </c>
      <c r="F18" s="607">
        <f t="shared" si="1"/>
        <v>0</v>
      </c>
      <c r="G18" s="607">
        <f t="shared" si="1"/>
        <v>0</v>
      </c>
      <c r="H18" s="607">
        <f t="shared" si="1"/>
        <v>0</v>
      </c>
      <c r="I18" s="607">
        <f t="shared" si="1"/>
        <v>0</v>
      </c>
      <c r="J18" s="607">
        <f t="shared" si="1"/>
        <v>0</v>
      </c>
      <c r="K18" s="607">
        <f t="shared" si="1"/>
        <v>0</v>
      </c>
      <c r="L18" s="572"/>
      <c r="M18" s="607">
        <f t="shared" si="2"/>
        <v>0</v>
      </c>
      <c r="N18" s="607">
        <f t="shared" si="2"/>
        <v>0</v>
      </c>
      <c r="O18" s="607">
        <f t="shared" si="2"/>
        <v>0</v>
      </c>
      <c r="P18" s="607">
        <f t="shared" si="2"/>
        <v>0</v>
      </c>
      <c r="Q18" s="607">
        <f t="shared" si="2"/>
        <v>0</v>
      </c>
      <c r="R18" s="607">
        <f t="shared" si="2"/>
        <v>0</v>
      </c>
      <c r="S18" s="572"/>
      <c r="T18" s="572"/>
      <c r="U18" s="572"/>
      <c r="V18" s="571"/>
      <c r="W18" s="571"/>
      <c r="X18" s="571"/>
      <c r="Y18" s="571"/>
      <c r="Z18" s="571"/>
      <c r="AA18" s="571"/>
      <c r="AB18" s="571"/>
      <c r="AC18" s="571"/>
      <c r="AD18" s="571"/>
      <c r="AE18" s="571"/>
      <c r="AF18" s="571"/>
      <c r="AG18" s="571"/>
      <c r="AH18" s="571"/>
      <c r="AI18" s="571"/>
      <c r="AJ18" s="571"/>
      <c r="AK18" s="571"/>
      <c r="AL18" s="571"/>
      <c r="AM18" s="571"/>
      <c r="AN18" s="571"/>
    </row>
    <row r="19" spans="1:40" s="575" customFormat="1" x14ac:dyDescent="0.2">
      <c r="A19" s="572"/>
      <c r="B19" s="572"/>
      <c r="C19" s="572"/>
      <c r="D19" s="79">
        <v>4</v>
      </c>
      <c r="E19" s="631" t="str">
        <f t="shared" si="0"/>
        <v>** NOT USED **</v>
      </c>
      <c r="F19" s="607">
        <f t="shared" si="1"/>
        <v>0</v>
      </c>
      <c r="G19" s="607">
        <f t="shared" si="1"/>
        <v>0</v>
      </c>
      <c r="H19" s="607">
        <f t="shared" si="1"/>
        <v>0</v>
      </c>
      <c r="I19" s="607">
        <f t="shared" si="1"/>
        <v>0</v>
      </c>
      <c r="J19" s="607">
        <f t="shared" si="1"/>
        <v>0</v>
      </c>
      <c r="K19" s="607">
        <f t="shared" si="1"/>
        <v>0</v>
      </c>
      <c r="L19" s="572"/>
      <c r="M19" s="607">
        <f t="shared" si="2"/>
        <v>0</v>
      </c>
      <c r="N19" s="607">
        <f t="shared" si="2"/>
        <v>0</v>
      </c>
      <c r="O19" s="607">
        <f t="shared" si="2"/>
        <v>0</v>
      </c>
      <c r="P19" s="607">
        <f t="shared" si="2"/>
        <v>0</v>
      </c>
      <c r="Q19" s="607">
        <f t="shared" si="2"/>
        <v>0</v>
      </c>
      <c r="R19" s="607">
        <f t="shared" si="2"/>
        <v>0</v>
      </c>
      <c r="S19" s="572"/>
      <c r="T19" s="572"/>
      <c r="U19" s="572"/>
      <c r="V19" s="571"/>
      <c r="W19" s="571"/>
      <c r="X19" s="571"/>
      <c r="Y19" s="571"/>
      <c r="Z19" s="571"/>
      <c r="AA19" s="571"/>
      <c r="AB19" s="571"/>
      <c r="AC19" s="571"/>
      <c r="AD19" s="571"/>
      <c r="AE19" s="571"/>
      <c r="AF19" s="571"/>
      <c r="AG19" s="571"/>
      <c r="AH19" s="571"/>
      <c r="AI19" s="571"/>
      <c r="AJ19" s="571"/>
      <c r="AK19" s="571"/>
      <c r="AL19" s="571"/>
      <c r="AM19" s="571"/>
      <c r="AN19" s="571"/>
    </row>
    <row r="20" spans="1:40" s="575" customFormat="1" x14ac:dyDescent="0.2">
      <c r="A20" s="572"/>
      <c r="B20" s="572"/>
      <c r="C20" s="572"/>
      <c r="D20" s="79">
        <v>5</v>
      </c>
      <c r="E20" s="631" t="str">
        <f t="shared" si="0"/>
        <v>** NOT USED **</v>
      </c>
      <c r="F20" s="607">
        <f t="shared" si="1"/>
        <v>0</v>
      </c>
      <c r="G20" s="607">
        <f t="shared" si="1"/>
        <v>0</v>
      </c>
      <c r="H20" s="607">
        <f t="shared" si="1"/>
        <v>0</v>
      </c>
      <c r="I20" s="607">
        <f t="shared" si="1"/>
        <v>0</v>
      </c>
      <c r="J20" s="607">
        <f t="shared" si="1"/>
        <v>0</v>
      </c>
      <c r="K20" s="607">
        <f t="shared" si="1"/>
        <v>0</v>
      </c>
      <c r="L20" s="572"/>
      <c r="M20" s="607">
        <f t="shared" si="2"/>
        <v>0</v>
      </c>
      <c r="N20" s="607">
        <f t="shared" si="2"/>
        <v>0</v>
      </c>
      <c r="O20" s="607">
        <f t="shared" si="2"/>
        <v>0</v>
      </c>
      <c r="P20" s="607">
        <f t="shared" si="2"/>
        <v>0</v>
      </c>
      <c r="Q20" s="607">
        <f t="shared" si="2"/>
        <v>0</v>
      </c>
      <c r="R20" s="607">
        <f t="shared" si="2"/>
        <v>0</v>
      </c>
      <c r="S20" s="572"/>
      <c r="T20" s="572"/>
      <c r="U20" s="572"/>
      <c r="V20" s="571"/>
      <c r="W20" s="571"/>
      <c r="X20" s="571"/>
      <c r="Y20" s="571"/>
      <c r="Z20" s="571"/>
      <c r="AA20" s="571"/>
      <c r="AB20" s="571"/>
      <c r="AC20" s="571"/>
      <c r="AD20" s="571"/>
      <c r="AE20" s="571"/>
      <c r="AF20" s="571"/>
      <c r="AG20" s="571"/>
      <c r="AH20" s="571"/>
      <c r="AI20" s="571"/>
      <c r="AJ20" s="571"/>
      <c r="AK20" s="571"/>
      <c r="AL20" s="571"/>
      <c r="AM20" s="571"/>
      <c r="AN20" s="571"/>
    </row>
    <row r="21" spans="1:40" s="575" customFormat="1" x14ac:dyDescent="0.2">
      <c r="A21" s="572"/>
      <c r="B21" s="572"/>
      <c r="C21" s="572"/>
      <c r="D21" s="79">
        <v>6</v>
      </c>
      <c r="E21" s="631" t="str">
        <f t="shared" si="0"/>
        <v>** NOT USED **</v>
      </c>
      <c r="F21" s="607">
        <f t="shared" si="1"/>
        <v>0</v>
      </c>
      <c r="G21" s="607">
        <f t="shared" si="1"/>
        <v>0</v>
      </c>
      <c r="H21" s="607">
        <f t="shared" si="1"/>
        <v>0</v>
      </c>
      <c r="I21" s="607">
        <f t="shared" si="1"/>
        <v>0</v>
      </c>
      <c r="J21" s="607">
        <f t="shared" si="1"/>
        <v>0</v>
      </c>
      <c r="K21" s="607">
        <f t="shared" si="1"/>
        <v>0</v>
      </c>
      <c r="L21" s="572"/>
      <c r="M21" s="607">
        <f t="shared" si="2"/>
        <v>0</v>
      </c>
      <c r="N21" s="607">
        <f t="shared" si="2"/>
        <v>0</v>
      </c>
      <c r="O21" s="607">
        <f t="shared" si="2"/>
        <v>0</v>
      </c>
      <c r="P21" s="607">
        <f t="shared" si="2"/>
        <v>0</v>
      </c>
      <c r="Q21" s="607">
        <f t="shared" si="2"/>
        <v>0</v>
      </c>
      <c r="R21" s="607">
        <f t="shared" si="2"/>
        <v>0</v>
      </c>
      <c r="S21" s="572"/>
      <c r="T21" s="572"/>
      <c r="U21" s="572"/>
      <c r="V21" s="571"/>
      <c r="W21" s="571"/>
      <c r="X21" s="571"/>
      <c r="Y21" s="571"/>
      <c r="Z21" s="571"/>
      <c r="AA21" s="571"/>
      <c r="AB21" s="571"/>
      <c r="AC21" s="571"/>
      <c r="AD21" s="571"/>
      <c r="AE21" s="571"/>
      <c r="AF21" s="571"/>
      <c r="AG21" s="571"/>
      <c r="AH21" s="571"/>
      <c r="AI21" s="571"/>
      <c r="AJ21" s="571"/>
      <c r="AK21" s="571"/>
      <c r="AL21" s="571"/>
      <c r="AM21" s="571"/>
      <c r="AN21" s="571"/>
    </row>
    <row r="22" spans="1:40" s="575" customFormat="1" x14ac:dyDescent="0.2">
      <c r="A22" s="572"/>
      <c r="B22" s="572"/>
      <c r="C22" s="572"/>
      <c r="D22" s="79">
        <v>7</v>
      </c>
      <c r="E22" s="631" t="str">
        <f t="shared" si="0"/>
        <v>** NOT USED **</v>
      </c>
      <c r="F22" s="607">
        <f t="shared" si="1"/>
        <v>0</v>
      </c>
      <c r="G22" s="607">
        <f t="shared" si="1"/>
        <v>0</v>
      </c>
      <c r="H22" s="607">
        <f t="shared" si="1"/>
        <v>0</v>
      </c>
      <c r="I22" s="607">
        <f t="shared" si="1"/>
        <v>0</v>
      </c>
      <c r="J22" s="607">
        <f t="shared" si="1"/>
        <v>0</v>
      </c>
      <c r="K22" s="607">
        <f t="shared" si="1"/>
        <v>0</v>
      </c>
      <c r="L22" s="572"/>
      <c r="M22" s="607">
        <f t="shared" si="2"/>
        <v>0</v>
      </c>
      <c r="N22" s="607">
        <f t="shared" si="2"/>
        <v>0</v>
      </c>
      <c r="O22" s="607">
        <f t="shared" si="2"/>
        <v>0</v>
      </c>
      <c r="P22" s="607">
        <f t="shared" si="2"/>
        <v>0</v>
      </c>
      <c r="Q22" s="607">
        <f t="shared" si="2"/>
        <v>0</v>
      </c>
      <c r="R22" s="607">
        <f t="shared" si="2"/>
        <v>0</v>
      </c>
      <c r="S22" s="572"/>
      <c r="T22" s="572"/>
      <c r="U22" s="572"/>
      <c r="V22" s="571"/>
      <c r="W22" s="571"/>
      <c r="X22" s="571"/>
      <c r="Y22" s="571"/>
      <c r="Z22" s="571"/>
      <c r="AA22" s="571"/>
      <c r="AB22" s="571"/>
      <c r="AC22" s="571"/>
      <c r="AD22" s="571"/>
      <c r="AE22" s="571"/>
      <c r="AF22" s="571"/>
      <c r="AG22" s="571"/>
      <c r="AH22" s="571"/>
      <c r="AI22" s="571"/>
      <c r="AJ22" s="571"/>
      <c r="AK22" s="571"/>
      <c r="AL22" s="571"/>
      <c r="AM22" s="571"/>
      <c r="AN22" s="571"/>
    </row>
    <row r="23" spans="1:40" s="575" customFormat="1" x14ac:dyDescent="0.2">
      <c r="A23" s="572"/>
      <c r="B23" s="572"/>
      <c r="C23" s="572"/>
      <c r="D23" s="79">
        <v>8</v>
      </c>
      <c r="E23" s="631" t="str">
        <f t="shared" si="0"/>
        <v>** NOT USED **</v>
      </c>
      <c r="F23" s="607">
        <f t="shared" si="1"/>
        <v>0</v>
      </c>
      <c r="G23" s="607">
        <f t="shared" si="1"/>
        <v>0</v>
      </c>
      <c r="H23" s="607">
        <f t="shared" si="1"/>
        <v>0</v>
      </c>
      <c r="I23" s="607">
        <f t="shared" si="1"/>
        <v>0</v>
      </c>
      <c r="J23" s="607">
        <f t="shared" si="1"/>
        <v>0</v>
      </c>
      <c r="K23" s="607">
        <f t="shared" si="1"/>
        <v>0</v>
      </c>
      <c r="L23" s="572"/>
      <c r="M23" s="607">
        <f t="shared" si="2"/>
        <v>0</v>
      </c>
      <c r="N23" s="607">
        <f t="shared" si="2"/>
        <v>0</v>
      </c>
      <c r="O23" s="607">
        <f t="shared" si="2"/>
        <v>0</v>
      </c>
      <c r="P23" s="607">
        <f t="shared" si="2"/>
        <v>0</v>
      </c>
      <c r="Q23" s="607">
        <f t="shared" si="2"/>
        <v>0</v>
      </c>
      <c r="R23" s="607">
        <f t="shared" si="2"/>
        <v>0</v>
      </c>
      <c r="S23" s="572"/>
      <c r="T23" s="572"/>
      <c r="U23" s="572"/>
      <c r="V23" s="571"/>
      <c r="W23" s="571"/>
      <c r="X23" s="571"/>
      <c r="Y23" s="571"/>
      <c r="Z23" s="571"/>
      <c r="AA23" s="571"/>
      <c r="AB23" s="571"/>
      <c r="AC23" s="571"/>
      <c r="AD23" s="571"/>
      <c r="AE23" s="571"/>
      <c r="AF23" s="571"/>
      <c r="AG23" s="571"/>
      <c r="AH23" s="571"/>
      <c r="AI23" s="571"/>
      <c r="AJ23" s="571"/>
      <c r="AK23" s="571"/>
      <c r="AL23" s="571"/>
      <c r="AM23" s="571"/>
      <c r="AN23" s="571"/>
    </row>
    <row r="24" spans="1:40" s="575" customFormat="1" x14ac:dyDescent="0.2">
      <c r="A24" s="572"/>
      <c r="B24" s="572"/>
      <c r="C24" s="572"/>
      <c r="D24" s="79">
        <v>9</v>
      </c>
      <c r="E24" s="631" t="str">
        <f t="shared" si="0"/>
        <v>** NOT USED **</v>
      </c>
      <c r="F24" s="607">
        <f t="shared" si="1"/>
        <v>0</v>
      </c>
      <c r="G24" s="607">
        <f t="shared" si="1"/>
        <v>0</v>
      </c>
      <c r="H24" s="607">
        <f t="shared" si="1"/>
        <v>0</v>
      </c>
      <c r="I24" s="607">
        <f t="shared" si="1"/>
        <v>0</v>
      </c>
      <c r="J24" s="607">
        <f t="shared" si="1"/>
        <v>0</v>
      </c>
      <c r="K24" s="607">
        <f t="shared" si="1"/>
        <v>0</v>
      </c>
      <c r="L24" s="572"/>
      <c r="M24" s="607">
        <f t="shared" si="2"/>
        <v>0</v>
      </c>
      <c r="N24" s="607">
        <f t="shared" si="2"/>
        <v>0</v>
      </c>
      <c r="O24" s="607">
        <f t="shared" si="2"/>
        <v>0</v>
      </c>
      <c r="P24" s="607">
        <f t="shared" si="2"/>
        <v>0</v>
      </c>
      <c r="Q24" s="607">
        <f t="shared" si="2"/>
        <v>0</v>
      </c>
      <c r="R24" s="607">
        <f t="shared" si="2"/>
        <v>0</v>
      </c>
      <c r="S24" s="572"/>
      <c r="T24" s="572"/>
      <c r="U24" s="572"/>
      <c r="V24" s="571"/>
      <c r="W24" s="571"/>
      <c r="X24" s="571"/>
      <c r="Y24" s="571"/>
      <c r="Z24" s="571"/>
      <c r="AA24" s="571"/>
      <c r="AB24" s="571"/>
      <c r="AC24" s="571"/>
      <c r="AD24" s="571"/>
      <c r="AE24" s="571"/>
      <c r="AF24" s="571"/>
      <c r="AG24" s="571"/>
      <c r="AH24" s="571"/>
      <c r="AI24" s="571"/>
      <c r="AJ24" s="571"/>
      <c r="AK24" s="571"/>
      <c r="AL24" s="571"/>
      <c r="AM24" s="571"/>
      <c r="AN24" s="571"/>
    </row>
    <row r="25" spans="1:40" s="575" customFormat="1" x14ac:dyDescent="0.2">
      <c r="A25" s="572"/>
      <c r="B25" s="572"/>
      <c r="C25" s="572"/>
      <c r="D25" s="79">
        <v>10</v>
      </c>
      <c r="E25" s="631" t="str">
        <f t="shared" si="0"/>
        <v>** NOT USED **</v>
      </c>
      <c r="F25" s="607">
        <f t="shared" si="1"/>
        <v>0</v>
      </c>
      <c r="G25" s="607">
        <f t="shared" si="1"/>
        <v>0</v>
      </c>
      <c r="H25" s="607">
        <f t="shared" si="1"/>
        <v>0</v>
      </c>
      <c r="I25" s="607">
        <f t="shared" si="1"/>
        <v>0</v>
      </c>
      <c r="J25" s="607">
        <f t="shared" si="1"/>
        <v>0</v>
      </c>
      <c r="K25" s="607">
        <f t="shared" si="1"/>
        <v>0</v>
      </c>
      <c r="L25" s="572"/>
      <c r="M25" s="607">
        <f t="shared" si="2"/>
        <v>0</v>
      </c>
      <c r="N25" s="607">
        <f t="shared" si="2"/>
        <v>0</v>
      </c>
      <c r="O25" s="607">
        <f t="shared" si="2"/>
        <v>0</v>
      </c>
      <c r="P25" s="607">
        <f t="shared" si="2"/>
        <v>0</v>
      </c>
      <c r="Q25" s="607">
        <f t="shared" si="2"/>
        <v>0</v>
      </c>
      <c r="R25" s="607">
        <f t="shared" si="2"/>
        <v>0</v>
      </c>
      <c r="S25" s="572"/>
      <c r="T25" s="572"/>
      <c r="U25" s="572"/>
      <c r="V25" s="571"/>
      <c r="W25" s="571"/>
      <c r="X25" s="571"/>
      <c r="Y25" s="571"/>
      <c r="Z25" s="571"/>
      <c r="AA25" s="571"/>
      <c r="AB25" s="571"/>
      <c r="AC25" s="571"/>
      <c r="AD25" s="571"/>
      <c r="AE25" s="571"/>
      <c r="AF25" s="571"/>
      <c r="AG25" s="571"/>
      <c r="AH25" s="571"/>
      <c r="AI25" s="571"/>
      <c r="AJ25" s="571"/>
      <c r="AK25" s="571"/>
      <c r="AL25" s="571"/>
      <c r="AM25" s="571"/>
      <c r="AN25" s="571"/>
    </row>
    <row r="26" spans="1:40" s="575" customFormat="1" x14ac:dyDescent="0.2">
      <c r="A26" s="572"/>
      <c r="B26" s="572"/>
      <c r="C26" s="572"/>
      <c r="D26" s="79">
        <v>11</v>
      </c>
      <c r="E26" s="631" t="str">
        <f t="shared" si="0"/>
        <v>** NOT USED **</v>
      </c>
      <c r="F26" s="607">
        <f t="shared" ref="F26:K35" si="3">IF($E26&lt;&gt;"",F58+SUMIFS(F$83:F$102,$W$83:$W$102,$E26),0)</f>
        <v>0</v>
      </c>
      <c r="G26" s="607">
        <f t="shared" si="3"/>
        <v>0</v>
      </c>
      <c r="H26" s="607">
        <f t="shared" si="3"/>
        <v>0</v>
      </c>
      <c r="I26" s="607">
        <f t="shared" si="3"/>
        <v>0</v>
      </c>
      <c r="J26" s="607">
        <f t="shared" si="3"/>
        <v>0</v>
      </c>
      <c r="K26" s="607">
        <f t="shared" si="3"/>
        <v>0</v>
      </c>
      <c r="L26" s="572"/>
      <c r="M26" s="607">
        <f t="shared" ref="M26:R35" si="4">IF($E26&lt;&gt;"",M58+SUMIFS(M$83:M$102,$W$83:$W$102,$E26),0)</f>
        <v>0</v>
      </c>
      <c r="N26" s="607">
        <f t="shared" si="4"/>
        <v>0</v>
      </c>
      <c r="O26" s="607">
        <f t="shared" si="4"/>
        <v>0</v>
      </c>
      <c r="P26" s="607">
        <f t="shared" si="4"/>
        <v>0</v>
      </c>
      <c r="Q26" s="607">
        <f t="shared" si="4"/>
        <v>0</v>
      </c>
      <c r="R26" s="607">
        <f t="shared" si="4"/>
        <v>0</v>
      </c>
      <c r="S26" s="572"/>
      <c r="T26" s="572"/>
      <c r="U26" s="572"/>
      <c r="V26" s="571"/>
      <c r="W26" s="571"/>
      <c r="X26" s="571"/>
      <c r="Y26" s="571"/>
      <c r="Z26" s="571"/>
      <c r="AA26" s="571"/>
      <c r="AB26" s="571"/>
      <c r="AC26" s="571"/>
      <c r="AD26" s="571"/>
      <c r="AE26" s="571"/>
      <c r="AF26" s="571"/>
      <c r="AG26" s="571"/>
      <c r="AH26" s="571"/>
      <c r="AI26" s="571"/>
      <c r="AJ26" s="571"/>
      <c r="AK26" s="571"/>
      <c r="AL26" s="571"/>
      <c r="AM26" s="571"/>
      <c r="AN26" s="571"/>
    </row>
    <row r="27" spans="1:40" s="575" customFormat="1" x14ac:dyDescent="0.2">
      <c r="A27" s="572"/>
      <c r="B27" s="572"/>
      <c r="C27" s="572"/>
      <c r="D27" s="79">
        <v>12</v>
      </c>
      <c r="E27" s="631" t="str">
        <f t="shared" si="0"/>
        <v>** NOT USED **</v>
      </c>
      <c r="F27" s="607">
        <f t="shared" si="3"/>
        <v>0</v>
      </c>
      <c r="G27" s="607">
        <f t="shared" si="3"/>
        <v>0</v>
      </c>
      <c r="H27" s="607">
        <f t="shared" si="3"/>
        <v>0</v>
      </c>
      <c r="I27" s="607">
        <f t="shared" si="3"/>
        <v>0</v>
      </c>
      <c r="J27" s="607">
        <f t="shared" si="3"/>
        <v>0</v>
      </c>
      <c r="K27" s="607">
        <f t="shared" si="3"/>
        <v>0</v>
      </c>
      <c r="L27" s="572"/>
      <c r="M27" s="607">
        <f t="shared" si="4"/>
        <v>0</v>
      </c>
      <c r="N27" s="607">
        <f t="shared" si="4"/>
        <v>0</v>
      </c>
      <c r="O27" s="607">
        <f t="shared" si="4"/>
        <v>0</v>
      </c>
      <c r="P27" s="607">
        <f t="shared" si="4"/>
        <v>0</v>
      </c>
      <c r="Q27" s="607">
        <f t="shared" si="4"/>
        <v>0</v>
      </c>
      <c r="R27" s="607">
        <f t="shared" si="4"/>
        <v>0</v>
      </c>
      <c r="S27" s="572"/>
      <c r="T27" s="572"/>
      <c r="U27" s="572"/>
      <c r="V27" s="571"/>
      <c r="W27" s="571"/>
      <c r="X27" s="571"/>
      <c r="Y27" s="571"/>
      <c r="Z27" s="571"/>
      <c r="AA27" s="571"/>
      <c r="AB27" s="571"/>
      <c r="AC27" s="571"/>
      <c r="AD27" s="571"/>
      <c r="AE27" s="571"/>
      <c r="AF27" s="571"/>
      <c r="AG27" s="571"/>
      <c r="AH27" s="571"/>
      <c r="AI27" s="571"/>
      <c r="AJ27" s="571"/>
      <c r="AK27" s="571"/>
      <c r="AL27" s="571"/>
      <c r="AM27" s="571"/>
      <c r="AN27" s="571"/>
    </row>
    <row r="28" spans="1:40" s="575" customFormat="1" x14ac:dyDescent="0.2">
      <c r="A28" s="572"/>
      <c r="B28" s="572"/>
      <c r="C28" s="572"/>
      <c r="D28" s="79">
        <v>13</v>
      </c>
      <c r="E28" s="631" t="str">
        <f t="shared" si="0"/>
        <v>** NOT USED **</v>
      </c>
      <c r="F28" s="607">
        <f t="shared" si="3"/>
        <v>0</v>
      </c>
      <c r="G28" s="607">
        <f t="shared" si="3"/>
        <v>0</v>
      </c>
      <c r="H28" s="607">
        <f t="shared" si="3"/>
        <v>0</v>
      </c>
      <c r="I28" s="607">
        <f t="shared" si="3"/>
        <v>0</v>
      </c>
      <c r="J28" s="607">
        <f t="shared" si="3"/>
        <v>0</v>
      </c>
      <c r="K28" s="607">
        <f t="shared" si="3"/>
        <v>0</v>
      </c>
      <c r="L28" s="572"/>
      <c r="M28" s="607">
        <f t="shared" si="4"/>
        <v>0</v>
      </c>
      <c r="N28" s="607">
        <f t="shared" si="4"/>
        <v>0</v>
      </c>
      <c r="O28" s="607">
        <f t="shared" si="4"/>
        <v>0</v>
      </c>
      <c r="P28" s="607">
        <f t="shared" si="4"/>
        <v>0</v>
      </c>
      <c r="Q28" s="607">
        <f t="shared" si="4"/>
        <v>0</v>
      </c>
      <c r="R28" s="607">
        <f t="shared" si="4"/>
        <v>0</v>
      </c>
      <c r="S28" s="572"/>
      <c r="T28" s="572"/>
      <c r="U28" s="572"/>
      <c r="V28" s="571"/>
      <c r="W28" s="571"/>
      <c r="X28" s="571"/>
      <c r="Y28" s="571"/>
      <c r="Z28" s="571"/>
      <c r="AA28" s="571"/>
      <c r="AB28" s="571"/>
      <c r="AC28" s="571"/>
      <c r="AD28" s="571"/>
      <c r="AE28" s="571"/>
      <c r="AF28" s="571"/>
      <c r="AG28" s="571"/>
      <c r="AH28" s="571"/>
      <c r="AI28" s="571"/>
      <c r="AJ28" s="571"/>
      <c r="AK28" s="571"/>
      <c r="AL28" s="571"/>
      <c r="AM28" s="571"/>
      <c r="AN28" s="571"/>
    </row>
    <row r="29" spans="1:40" s="575" customFormat="1" x14ac:dyDescent="0.2">
      <c r="A29" s="572"/>
      <c r="B29" s="572"/>
      <c r="C29" s="572"/>
      <c r="D29" s="79">
        <v>14</v>
      </c>
      <c r="E29" s="631" t="str">
        <f t="shared" si="0"/>
        <v>** NOT USED **</v>
      </c>
      <c r="F29" s="607">
        <f t="shared" si="3"/>
        <v>0</v>
      </c>
      <c r="G29" s="607">
        <f t="shared" si="3"/>
        <v>0</v>
      </c>
      <c r="H29" s="607">
        <f t="shared" si="3"/>
        <v>0</v>
      </c>
      <c r="I29" s="607">
        <f t="shared" si="3"/>
        <v>0</v>
      </c>
      <c r="J29" s="607">
        <f t="shared" si="3"/>
        <v>0</v>
      </c>
      <c r="K29" s="607">
        <f t="shared" si="3"/>
        <v>0</v>
      </c>
      <c r="L29" s="572"/>
      <c r="M29" s="607">
        <f t="shared" si="4"/>
        <v>0</v>
      </c>
      <c r="N29" s="607">
        <f t="shared" si="4"/>
        <v>0</v>
      </c>
      <c r="O29" s="607">
        <f t="shared" si="4"/>
        <v>0</v>
      </c>
      <c r="P29" s="607">
        <f t="shared" si="4"/>
        <v>0</v>
      </c>
      <c r="Q29" s="607">
        <f t="shared" si="4"/>
        <v>0</v>
      </c>
      <c r="R29" s="607">
        <f t="shared" si="4"/>
        <v>0</v>
      </c>
      <c r="S29" s="572"/>
      <c r="T29" s="572"/>
      <c r="U29" s="572"/>
      <c r="V29" s="571"/>
      <c r="W29" s="571"/>
      <c r="X29" s="571"/>
      <c r="Y29" s="571"/>
      <c r="Z29" s="571"/>
      <c r="AA29" s="571"/>
      <c r="AB29" s="571"/>
      <c r="AC29" s="571"/>
      <c r="AD29" s="571"/>
      <c r="AE29" s="571"/>
      <c r="AF29" s="571"/>
      <c r="AG29" s="571"/>
      <c r="AH29" s="571"/>
      <c r="AI29" s="571"/>
      <c r="AJ29" s="571"/>
      <c r="AK29" s="571"/>
      <c r="AL29" s="571"/>
      <c r="AM29" s="571"/>
      <c r="AN29" s="571"/>
    </row>
    <row r="30" spans="1:40" s="575" customFormat="1" x14ac:dyDescent="0.2">
      <c r="A30" s="572"/>
      <c r="B30" s="572"/>
      <c r="C30" s="572"/>
      <c r="D30" s="79">
        <v>15</v>
      </c>
      <c r="E30" s="631" t="str">
        <f t="shared" si="0"/>
        <v>** NOT USED **</v>
      </c>
      <c r="F30" s="607">
        <f t="shared" si="3"/>
        <v>0</v>
      </c>
      <c r="G30" s="607">
        <f t="shared" si="3"/>
        <v>0</v>
      </c>
      <c r="H30" s="607">
        <f t="shared" si="3"/>
        <v>0</v>
      </c>
      <c r="I30" s="607">
        <f t="shared" si="3"/>
        <v>0</v>
      </c>
      <c r="J30" s="607">
        <f t="shared" si="3"/>
        <v>0</v>
      </c>
      <c r="K30" s="607">
        <f t="shared" si="3"/>
        <v>0</v>
      </c>
      <c r="L30" s="572"/>
      <c r="M30" s="607">
        <f t="shared" si="4"/>
        <v>0</v>
      </c>
      <c r="N30" s="607">
        <f t="shared" si="4"/>
        <v>0</v>
      </c>
      <c r="O30" s="607">
        <f t="shared" si="4"/>
        <v>0</v>
      </c>
      <c r="P30" s="607">
        <f t="shared" si="4"/>
        <v>0</v>
      </c>
      <c r="Q30" s="607">
        <f t="shared" si="4"/>
        <v>0</v>
      </c>
      <c r="R30" s="607">
        <f t="shared" si="4"/>
        <v>0</v>
      </c>
      <c r="S30" s="572"/>
      <c r="T30" s="572"/>
      <c r="U30" s="572"/>
      <c r="V30" s="571"/>
      <c r="W30" s="571"/>
      <c r="X30" s="571"/>
      <c r="Y30" s="571"/>
      <c r="Z30" s="571"/>
      <c r="AA30" s="571"/>
      <c r="AB30" s="571"/>
      <c r="AC30" s="571"/>
      <c r="AD30" s="571"/>
      <c r="AE30" s="571"/>
      <c r="AF30" s="571"/>
      <c r="AG30" s="571"/>
      <c r="AH30" s="571"/>
      <c r="AI30" s="571"/>
      <c r="AJ30" s="571"/>
      <c r="AK30" s="571"/>
      <c r="AL30" s="571"/>
      <c r="AM30" s="571"/>
      <c r="AN30" s="571"/>
    </row>
    <row r="31" spans="1:40" s="575" customFormat="1" x14ac:dyDescent="0.2">
      <c r="A31" s="572"/>
      <c r="B31" s="572"/>
      <c r="C31" s="572"/>
      <c r="D31" s="79">
        <v>16</v>
      </c>
      <c r="E31" s="631" t="str">
        <f t="shared" si="0"/>
        <v>** NOT USED **</v>
      </c>
      <c r="F31" s="607">
        <f t="shared" si="3"/>
        <v>0</v>
      </c>
      <c r="G31" s="607">
        <f t="shared" si="3"/>
        <v>0</v>
      </c>
      <c r="H31" s="607">
        <f t="shared" si="3"/>
        <v>0</v>
      </c>
      <c r="I31" s="607">
        <f t="shared" si="3"/>
        <v>0</v>
      </c>
      <c r="J31" s="607">
        <f t="shared" si="3"/>
        <v>0</v>
      </c>
      <c r="K31" s="607">
        <f t="shared" si="3"/>
        <v>0</v>
      </c>
      <c r="L31" s="572"/>
      <c r="M31" s="607">
        <f t="shared" si="4"/>
        <v>0</v>
      </c>
      <c r="N31" s="607">
        <f t="shared" si="4"/>
        <v>0</v>
      </c>
      <c r="O31" s="607">
        <f t="shared" si="4"/>
        <v>0</v>
      </c>
      <c r="P31" s="607">
        <f t="shared" si="4"/>
        <v>0</v>
      </c>
      <c r="Q31" s="607">
        <f t="shared" si="4"/>
        <v>0</v>
      </c>
      <c r="R31" s="607">
        <f t="shared" si="4"/>
        <v>0</v>
      </c>
      <c r="S31" s="572"/>
      <c r="T31" s="572"/>
      <c r="U31" s="572"/>
      <c r="V31" s="571"/>
      <c r="W31" s="571"/>
      <c r="X31" s="571"/>
      <c r="Y31" s="571"/>
      <c r="Z31" s="571"/>
      <c r="AA31" s="571"/>
      <c r="AB31" s="571"/>
      <c r="AC31" s="571"/>
      <c r="AD31" s="571"/>
      <c r="AE31" s="571"/>
      <c r="AF31" s="571"/>
      <c r="AG31" s="571"/>
      <c r="AH31" s="571"/>
      <c r="AI31" s="571"/>
      <c r="AJ31" s="571"/>
      <c r="AK31" s="571"/>
      <c r="AL31" s="571"/>
      <c r="AM31" s="571"/>
      <c r="AN31" s="571"/>
    </row>
    <row r="32" spans="1:40" s="575" customFormat="1" x14ac:dyDescent="0.2">
      <c r="A32" s="572"/>
      <c r="B32" s="572"/>
      <c r="C32" s="572"/>
      <c r="D32" s="79">
        <v>17</v>
      </c>
      <c r="E32" s="631" t="str">
        <f t="shared" si="0"/>
        <v>** NOT USED **</v>
      </c>
      <c r="F32" s="607">
        <f t="shared" si="3"/>
        <v>0</v>
      </c>
      <c r="G32" s="607">
        <f t="shared" si="3"/>
        <v>0</v>
      </c>
      <c r="H32" s="607">
        <f t="shared" si="3"/>
        <v>0</v>
      </c>
      <c r="I32" s="607">
        <f t="shared" si="3"/>
        <v>0</v>
      </c>
      <c r="J32" s="607">
        <f t="shared" si="3"/>
        <v>0</v>
      </c>
      <c r="K32" s="607">
        <f t="shared" si="3"/>
        <v>0</v>
      </c>
      <c r="L32" s="572"/>
      <c r="M32" s="607">
        <f t="shared" si="4"/>
        <v>0</v>
      </c>
      <c r="N32" s="607">
        <f t="shared" si="4"/>
        <v>0</v>
      </c>
      <c r="O32" s="607">
        <f t="shared" si="4"/>
        <v>0</v>
      </c>
      <c r="P32" s="607">
        <f t="shared" si="4"/>
        <v>0</v>
      </c>
      <c r="Q32" s="607">
        <f t="shared" si="4"/>
        <v>0</v>
      </c>
      <c r="R32" s="607">
        <f t="shared" si="4"/>
        <v>0</v>
      </c>
      <c r="S32" s="572"/>
      <c r="T32" s="572"/>
      <c r="U32" s="572"/>
      <c r="V32" s="571"/>
      <c r="W32" s="571"/>
      <c r="X32" s="571"/>
      <c r="Y32" s="571"/>
      <c r="Z32" s="571"/>
      <c r="AA32" s="571"/>
      <c r="AB32" s="571"/>
      <c r="AC32" s="571"/>
      <c r="AD32" s="571"/>
      <c r="AE32" s="571"/>
      <c r="AF32" s="571"/>
      <c r="AG32" s="571"/>
      <c r="AH32" s="571"/>
      <c r="AI32" s="571"/>
      <c r="AJ32" s="571"/>
      <c r="AK32" s="571"/>
      <c r="AL32" s="571"/>
      <c r="AM32" s="571"/>
      <c r="AN32" s="571"/>
    </row>
    <row r="33" spans="1:40" s="575" customFormat="1" x14ac:dyDescent="0.2">
      <c r="A33" s="572"/>
      <c r="B33" s="572"/>
      <c r="C33" s="572"/>
      <c r="D33" s="79">
        <v>18</v>
      </c>
      <c r="E33" s="631" t="str">
        <f t="shared" si="0"/>
        <v>** NOT USED **</v>
      </c>
      <c r="F33" s="607">
        <f t="shared" si="3"/>
        <v>0</v>
      </c>
      <c r="G33" s="607">
        <f t="shared" si="3"/>
        <v>0</v>
      </c>
      <c r="H33" s="607">
        <f t="shared" si="3"/>
        <v>0</v>
      </c>
      <c r="I33" s="607">
        <f t="shared" si="3"/>
        <v>0</v>
      </c>
      <c r="J33" s="607">
        <f t="shared" si="3"/>
        <v>0</v>
      </c>
      <c r="K33" s="607">
        <f t="shared" si="3"/>
        <v>0</v>
      </c>
      <c r="L33" s="572"/>
      <c r="M33" s="607">
        <f t="shared" si="4"/>
        <v>0</v>
      </c>
      <c r="N33" s="607">
        <f t="shared" si="4"/>
        <v>0</v>
      </c>
      <c r="O33" s="607">
        <f t="shared" si="4"/>
        <v>0</v>
      </c>
      <c r="P33" s="607">
        <f t="shared" si="4"/>
        <v>0</v>
      </c>
      <c r="Q33" s="607">
        <f t="shared" si="4"/>
        <v>0</v>
      </c>
      <c r="R33" s="607">
        <f t="shared" si="4"/>
        <v>0</v>
      </c>
      <c r="S33" s="572"/>
      <c r="T33" s="572"/>
      <c r="U33" s="572"/>
      <c r="V33" s="571"/>
      <c r="W33" s="571"/>
      <c r="X33" s="571"/>
      <c r="Y33" s="571"/>
      <c r="Z33" s="571"/>
      <c r="AA33" s="571"/>
      <c r="AB33" s="571"/>
      <c r="AC33" s="571"/>
      <c r="AD33" s="571"/>
      <c r="AE33" s="571"/>
      <c r="AF33" s="571"/>
      <c r="AG33" s="571"/>
      <c r="AH33" s="571"/>
      <c r="AI33" s="571"/>
      <c r="AJ33" s="571"/>
      <c r="AK33" s="571"/>
      <c r="AL33" s="571"/>
      <c r="AM33" s="571"/>
      <c r="AN33" s="571"/>
    </row>
    <row r="34" spans="1:40" s="575" customFormat="1" x14ac:dyDescent="0.2">
      <c r="A34" s="572"/>
      <c r="B34" s="572"/>
      <c r="C34" s="572"/>
      <c r="D34" s="79">
        <v>19</v>
      </c>
      <c r="E34" s="631" t="str">
        <f t="shared" si="0"/>
        <v>** NOT USED **</v>
      </c>
      <c r="F34" s="607">
        <f t="shared" si="3"/>
        <v>0</v>
      </c>
      <c r="G34" s="607">
        <f t="shared" si="3"/>
        <v>0</v>
      </c>
      <c r="H34" s="607">
        <f t="shared" si="3"/>
        <v>0</v>
      </c>
      <c r="I34" s="607">
        <f t="shared" si="3"/>
        <v>0</v>
      </c>
      <c r="J34" s="607">
        <f t="shared" si="3"/>
        <v>0</v>
      </c>
      <c r="K34" s="607">
        <f t="shared" si="3"/>
        <v>0</v>
      </c>
      <c r="L34" s="572"/>
      <c r="M34" s="607">
        <f t="shared" si="4"/>
        <v>0</v>
      </c>
      <c r="N34" s="607">
        <f t="shared" si="4"/>
        <v>0</v>
      </c>
      <c r="O34" s="607">
        <f t="shared" si="4"/>
        <v>0</v>
      </c>
      <c r="P34" s="607">
        <f t="shared" si="4"/>
        <v>0</v>
      </c>
      <c r="Q34" s="607">
        <f t="shared" si="4"/>
        <v>0</v>
      </c>
      <c r="R34" s="607">
        <f t="shared" si="4"/>
        <v>0</v>
      </c>
      <c r="S34" s="572"/>
      <c r="T34" s="572"/>
      <c r="U34" s="572"/>
      <c r="V34" s="571"/>
      <c r="W34" s="571"/>
      <c r="X34" s="571"/>
      <c r="Y34" s="571"/>
      <c r="Z34" s="571"/>
      <c r="AA34" s="571"/>
      <c r="AB34" s="571"/>
      <c r="AC34" s="571"/>
      <c r="AD34" s="571"/>
      <c r="AE34" s="571"/>
      <c r="AF34" s="571"/>
      <c r="AG34" s="571"/>
      <c r="AH34" s="571"/>
      <c r="AI34" s="571"/>
      <c r="AJ34" s="571"/>
      <c r="AK34" s="571"/>
      <c r="AL34" s="571"/>
      <c r="AM34" s="571"/>
      <c r="AN34" s="571"/>
    </row>
    <row r="35" spans="1:40" s="575" customFormat="1" x14ac:dyDescent="0.2">
      <c r="A35" s="572"/>
      <c r="B35" s="572"/>
      <c r="C35" s="572"/>
      <c r="D35" s="79">
        <v>20</v>
      </c>
      <c r="E35" s="631" t="str">
        <f t="shared" si="0"/>
        <v>** NOT USED **</v>
      </c>
      <c r="F35" s="607">
        <f t="shared" si="3"/>
        <v>0</v>
      </c>
      <c r="G35" s="607">
        <f t="shared" si="3"/>
        <v>0</v>
      </c>
      <c r="H35" s="607">
        <f t="shared" si="3"/>
        <v>0</v>
      </c>
      <c r="I35" s="607">
        <f t="shared" si="3"/>
        <v>0</v>
      </c>
      <c r="J35" s="607">
        <f t="shared" si="3"/>
        <v>0</v>
      </c>
      <c r="K35" s="607">
        <f t="shared" si="3"/>
        <v>0</v>
      </c>
      <c r="L35" s="572"/>
      <c r="M35" s="607">
        <f t="shared" si="4"/>
        <v>0</v>
      </c>
      <c r="N35" s="607">
        <f t="shared" si="4"/>
        <v>0</v>
      </c>
      <c r="O35" s="607">
        <f t="shared" si="4"/>
        <v>0</v>
      </c>
      <c r="P35" s="607">
        <f t="shared" si="4"/>
        <v>0</v>
      </c>
      <c r="Q35" s="607">
        <f t="shared" si="4"/>
        <v>0</v>
      </c>
      <c r="R35" s="607">
        <f t="shared" si="4"/>
        <v>0</v>
      </c>
      <c r="S35" s="572"/>
      <c r="T35" s="572"/>
      <c r="U35" s="572"/>
      <c r="V35" s="571"/>
      <c r="W35" s="571"/>
      <c r="X35" s="571"/>
      <c r="Y35" s="571"/>
      <c r="Z35" s="571"/>
      <c r="AA35" s="571"/>
      <c r="AB35" s="571"/>
      <c r="AC35" s="571"/>
      <c r="AD35" s="571"/>
      <c r="AE35" s="571"/>
      <c r="AF35" s="571"/>
      <c r="AG35" s="571"/>
      <c r="AH35" s="571"/>
      <c r="AI35" s="571"/>
      <c r="AJ35" s="571"/>
      <c r="AK35" s="571"/>
      <c r="AL35" s="571"/>
      <c r="AM35" s="571"/>
      <c r="AN35" s="571"/>
    </row>
    <row r="36" spans="1:40" s="575" customFormat="1" x14ac:dyDescent="0.2">
      <c r="A36" s="572"/>
      <c r="B36" s="572"/>
      <c r="C36" s="572"/>
      <c r="D36" s="572"/>
      <c r="E36" s="85" t="s">
        <v>255</v>
      </c>
      <c r="F36" s="50">
        <f>SUM(F16:F35)</f>
        <v>0</v>
      </c>
      <c r="G36" s="50">
        <f t="shared" ref="G36:K36" si="5">SUM(G16:G35)</f>
        <v>0</v>
      </c>
      <c r="H36" s="50">
        <f t="shared" si="5"/>
        <v>0</v>
      </c>
      <c r="I36" s="50">
        <f t="shared" si="5"/>
        <v>0</v>
      </c>
      <c r="J36" s="50">
        <f t="shared" si="5"/>
        <v>0</v>
      </c>
      <c r="K36" s="50">
        <f t="shared" si="5"/>
        <v>0</v>
      </c>
      <c r="L36" s="572"/>
      <c r="M36" s="50">
        <f>SUM(M16:M35)</f>
        <v>0</v>
      </c>
      <c r="N36" s="50">
        <f t="shared" ref="N36:R36" si="6">SUM(N16:N35)</f>
        <v>0</v>
      </c>
      <c r="O36" s="50">
        <f t="shared" si="6"/>
        <v>0</v>
      </c>
      <c r="P36" s="50">
        <f t="shared" si="6"/>
        <v>0</v>
      </c>
      <c r="Q36" s="50">
        <f t="shared" si="6"/>
        <v>0</v>
      </c>
      <c r="R36" s="50">
        <f t="shared" si="6"/>
        <v>0</v>
      </c>
      <c r="S36" s="572"/>
      <c r="T36" s="572"/>
      <c r="U36" s="572"/>
      <c r="V36" s="571"/>
      <c r="W36" s="571"/>
      <c r="X36" s="571"/>
      <c r="Y36" s="571"/>
      <c r="Z36" s="571"/>
      <c r="AA36" s="571"/>
      <c r="AB36" s="571"/>
      <c r="AC36" s="571"/>
      <c r="AD36" s="571"/>
      <c r="AE36" s="571"/>
      <c r="AF36" s="571"/>
      <c r="AG36" s="571"/>
      <c r="AH36" s="571"/>
      <c r="AI36" s="571"/>
      <c r="AJ36" s="571"/>
      <c r="AK36" s="571"/>
      <c r="AL36" s="571"/>
      <c r="AM36" s="571"/>
      <c r="AN36" s="571"/>
    </row>
    <row r="37" spans="1:40" s="575" customFormat="1" x14ac:dyDescent="0.2">
      <c r="A37" s="572"/>
      <c r="B37" s="572"/>
      <c r="C37" s="572"/>
      <c r="D37" s="572"/>
      <c r="E37" s="350"/>
      <c r="S37" s="572"/>
      <c r="T37" s="572"/>
      <c r="U37" s="572"/>
      <c r="V37" s="571"/>
      <c r="W37" s="571"/>
      <c r="X37" s="571"/>
      <c r="Y37" s="571"/>
      <c r="Z37" s="571"/>
      <c r="AA37" s="571"/>
      <c r="AB37" s="571"/>
      <c r="AC37" s="571"/>
      <c r="AD37" s="571"/>
      <c r="AE37" s="571"/>
      <c r="AF37" s="571"/>
      <c r="AG37" s="571"/>
      <c r="AH37" s="571"/>
      <c r="AI37" s="571"/>
      <c r="AJ37" s="571"/>
      <c r="AK37" s="571"/>
      <c r="AL37" s="571"/>
      <c r="AM37" s="571"/>
      <c r="AN37" s="571"/>
    </row>
    <row r="38" spans="1:40" s="575" customFormat="1" x14ac:dyDescent="0.2">
      <c r="A38" s="593"/>
      <c r="B38" s="593"/>
      <c r="C38" s="593"/>
      <c r="D38" s="593"/>
      <c r="E38" s="572"/>
      <c r="F38" s="629">
        <f>FirstYear</f>
        <v>0</v>
      </c>
      <c r="G38" s="629">
        <f>F38+1</f>
        <v>1</v>
      </c>
      <c r="H38" s="629">
        <f>G38+1</f>
        <v>2</v>
      </c>
      <c r="I38" s="629">
        <f>H38+1</f>
        <v>3</v>
      </c>
      <c r="J38" s="629">
        <f>I38+1</f>
        <v>4</v>
      </c>
      <c r="K38" s="629">
        <f>J38+1</f>
        <v>5</v>
      </c>
      <c r="L38" s="593"/>
      <c r="M38" s="593"/>
      <c r="N38" s="593"/>
      <c r="O38" s="593"/>
      <c r="P38" s="593"/>
      <c r="Q38" s="593"/>
      <c r="R38" s="593"/>
      <c r="S38" s="593"/>
    </row>
    <row r="39" spans="1:40" s="575" customFormat="1" x14ac:dyDescent="0.2">
      <c r="A39" s="593"/>
      <c r="B39" s="593"/>
      <c r="C39" s="593"/>
      <c r="D39" s="593"/>
      <c r="E39" s="11" t="s">
        <v>265</v>
      </c>
      <c r="F39" s="55">
        <f>F36+M36</f>
        <v>0</v>
      </c>
      <c r="G39" s="55">
        <f>G36+N36</f>
        <v>0</v>
      </c>
      <c r="H39" s="55">
        <f>H36+O36</f>
        <v>0</v>
      </c>
      <c r="I39" s="55">
        <f>I36+P36</f>
        <v>0</v>
      </c>
      <c r="J39" s="55">
        <f t="shared" ref="J39:K39" si="7">J36+Q36</f>
        <v>0</v>
      </c>
      <c r="K39" s="55">
        <f t="shared" si="7"/>
        <v>0</v>
      </c>
      <c r="L39" s="593"/>
      <c r="M39" s="593"/>
      <c r="N39" s="593"/>
      <c r="O39" s="593"/>
      <c r="P39" s="593"/>
      <c r="Q39" s="593"/>
      <c r="R39" s="593"/>
      <c r="S39" s="593"/>
    </row>
    <row r="40" spans="1:40" s="575" customFormat="1" x14ac:dyDescent="0.2">
      <c r="A40" s="572"/>
      <c r="B40" s="572"/>
      <c r="C40" s="572"/>
      <c r="D40" s="572"/>
      <c r="E40" s="213"/>
      <c r="F40" s="213"/>
      <c r="G40" s="213"/>
      <c r="H40" s="213"/>
      <c r="I40" s="213"/>
      <c r="J40" s="213"/>
      <c r="K40" s="213"/>
      <c r="L40" s="213"/>
      <c r="M40" s="213"/>
      <c r="N40" s="213"/>
      <c r="O40" s="213"/>
      <c r="P40" s="213"/>
      <c r="Q40" s="213"/>
      <c r="R40" s="213"/>
      <c r="S40" s="213"/>
      <c r="T40" s="213"/>
      <c r="U40" s="213"/>
      <c r="V40" s="571"/>
      <c r="W40" s="571"/>
      <c r="X40" s="571"/>
      <c r="Y40" s="571"/>
      <c r="Z40" s="571"/>
      <c r="AA40" s="571"/>
      <c r="AB40" s="571"/>
      <c r="AC40" s="571"/>
      <c r="AD40" s="571"/>
      <c r="AE40" s="571"/>
      <c r="AF40" s="571"/>
      <c r="AG40" s="571"/>
      <c r="AH40" s="571"/>
      <c r="AI40" s="571"/>
      <c r="AJ40" s="571"/>
      <c r="AK40" s="571"/>
      <c r="AL40" s="571"/>
      <c r="AM40" s="571"/>
      <c r="AN40" s="571"/>
    </row>
    <row r="41" spans="1:40" s="575" customFormat="1" x14ac:dyDescent="0.2">
      <c r="A41" s="572"/>
      <c r="B41" s="572"/>
      <c r="C41" s="572"/>
      <c r="D41" s="572"/>
      <c r="E41" s="213"/>
      <c r="F41" s="213"/>
      <c r="G41" s="213"/>
      <c r="H41" s="213"/>
      <c r="I41" s="213"/>
      <c r="J41" s="213"/>
      <c r="K41" s="213"/>
      <c r="L41" s="213"/>
      <c r="M41" s="213"/>
      <c r="N41" s="213"/>
      <c r="O41" s="213"/>
      <c r="P41" s="213"/>
      <c r="Q41" s="213"/>
      <c r="R41" s="213"/>
      <c r="S41" s="213"/>
      <c r="T41" s="213"/>
      <c r="U41" s="213"/>
      <c r="V41" s="571"/>
      <c r="W41" s="571"/>
      <c r="X41" s="571"/>
      <c r="Y41" s="571"/>
      <c r="Z41" s="571"/>
      <c r="AA41" s="571"/>
      <c r="AB41" s="571"/>
      <c r="AC41" s="571"/>
      <c r="AD41" s="571"/>
      <c r="AE41" s="571"/>
      <c r="AF41" s="571"/>
      <c r="AG41" s="571"/>
      <c r="AH41" s="571"/>
      <c r="AI41" s="571"/>
      <c r="AJ41" s="571"/>
      <c r="AK41" s="571"/>
      <c r="AL41" s="571"/>
      <c r="AM41" s="571"/>
      <c r="AN41" s="571"/>
    </row>
    <row r="42" spans="1:40" ht="15.75" x14ac:dyDescent="0.2">
      <c r="A42" s="187"/>
      <c r="B42" s="187"/>
      <c r="C42" s="187"/>
      <c r="D42" s="187"/>
      <c r="E42" s="174" t="s">
        <v>942</v>
      </c>
      <c r="F42" s="228"/>
      <c r="G42" s="175"/>
      <c r="H42" s="175"/>
      <c r="I42" s="175"/>
      <c r="J42" s="771" t="str">
        <f>IF(AND(ScriptSourceCode&lt;&gt;1,ScriptSourceCode&lt;&gt;3),MsgNotRequired,"")</f>
        <v>** NOT REQUIRED **</v>
      </c>
      <c r="K42" s="771"/>
      <c r="L42" s="175"/>
      <c r="M42" s="175"/>
      <c r="N42" s="175"/>
      <c r="O42" s="175"/>
      <c r="P42" s="175"/>
      <c r="Q42" s="771"/>
      <c r="R42" s="772"/>
      <c r="S42" s="175"/>
      <c r="T42" s="175"/>
      <c r="U42" s="175"/>
      <c r="V42" s="41"/>
      <c r="W42" s="41"/>
      <c r="X42" s="41"/>
      <c r="Y42" s="41"/>
      <c r="Z42" s="41"/>
      <c r="AA42" s="41"/>
    </row>
    <row r="43" spans="1:40" outlineLevel="1" x14ac:dyDescent="0.2">
      <c r="A43" s="171"/>
      <c r="B43" s="592"/>
      <c r="C43" s="592"/>
      <c r="D43" s="171"/>
      <c r="E43" s="213"/>
      <c r="F43" s="213"/>
      <c r="G43" s="213"/>
      <c r="H43" s="213"/>
      <c r="I43" s="213"/>
      <c r="J43" s="213"/>
      <c r="K43" s="213"/>
      <c r="L43" s="213"/>
      <c r="M43" s="213"/>
      <c r="N43" s="213"/>
      <c r="O43" s="213"/>
      <c r="P43" s="213"/>
      <c r="Q43" s="213"/>
      <c r="R43" s="213"/>
      <c r="S43" s="213"/>
      <c r="T43" s="213"/>
      <c r="U43" s="213"/>
      <c r="V43" s="5"/>
      <c r="W43" s="5"/>
      <c r="X43" s="5"/>
      <c r="Y43" s="5"/>
      <c r="Z43" s="5"/>
      <c r="AA43" s="5"/>
    </row>
    <row r="44" spans="1:40" ht="15" outlineLevel="1" x14ac:dyDescent="0.2">
      <c r="A44" s="171"/>
      <c r="B44" s="592"/>
      <c r="C44" s="592"/>
      <c r="D44" s="171"/>
      <c r="E44" s="211" t="s">
        <v>892</v>
      </c>
      <c r="F44" s="213"/>
      <c r="G44" s="213"/>
      <c r="H44" s="213"/>
      <c r="I44" s="213"/>
      <c r="J44" s="213"/>
      <c r="K44" s="213"/>
      <c r="L44" s="213"/>
      <c r="M44" s="213"/>
      <c r="N44" s="213"/>
      <c r="O44" s="213"/>
      <c r="P44" s="213"/>
      <c r="Q44" s="213"/>
      <c r="R44" s="213"/>
      <c r="S44" s="213"/>
      <c r="T44" s="213"/>
      <c r="U44" s="213"/>
      <c r="V44" s="5"/>
      <c r="W44" s="5"/>
      <c r="X44" s="5"/>
      <c r="Y44" s="5"/>
      <c r="Z44" s="5"/>
      <c r="AA44" s="5"/>
      <c r="AB44" s="41"/>
      <c r="AD44" s="5"/>
      <c r="AE44" s="5"/>
      <c r="AF44" s="5"/>
      <c r="AG44" s="5"/>
      <c r="AH44" s="5"/>
      <c r="AI44" s="5"/>
      <c r="AJ44" s="5"/>
      <c r="AK44" s="5"/>
      <c r="AL44" s="5"/>
      <c r="AM44" s="5"/>
      <c r="AN44" s="5"/>
    </row>
    <row r="45" spans="1:40" outlineLevel="1" x14ac:dyDescent="0.2">
      <c r="A45" s="171"/>
      <c r="B45" s="592"/>
      <c r="C45" s="592"/>
      <c r="D45" s="171"/>
      <c r="E45" s="213"/>
      <c r="F45" s="213"/>
      <c r="G45" s="213"/>
      <c r="H45" s="213"/>
      <c r="I45" s="213"/>
      <c r="J45" s="213"/>
      <c r="K45" s="213"/>
      <c r="L45" s="213"/>
      <c r="M45" s="213"/>
      <c r="N45" s="213"/>
      <c r="O45" s="213"/>
      <c r="P45" s="213"/>
      <c r="Q45" s="213"/>
      <c r="R45" s="213"/>
      <c r="S45" s="213"/>
      <c r="T45" s="213"/>
      <c r="U45" s="213"/>
      <c r="V45" s="5"/>
      <c r="W45" s="5"/>
      <c r="X45" s="5"/>
      <c r="Y45" s="5"/>
      <c r="Z45" s="5"/>
      <c r="AA45" s="5"/>
      <c r="AB45" s="5"/>
      <c r="AC45" s="828" t="s">
        <v>258</v>
      </c>
      <c r="AD45" s="828"/>
      <c r="AE45" s="828"/>
      <c r="AF45" s="828"/>
      <c r="AG45" s="828"/>
      <c r="AH45" s="828"/>
      <c r="AI45" s="828"/>
      <c r="AJ45" s="828"/>
      <c r="AK45" s="828"/>
      <c r="AL45" s="828"/>
      <c r="AM45" s="828"/>
      <c r="AN45" s="828"/>
    </row>
    <row r="46" spans="1:40" outlineLevel="1" x14ac:dyDescent="0.2">
      <c r="A46" s="171"/>
      <c r="B46" s="592"/>
      <c r="C46" s="592"/>
      <c r="D46" s="171"/>
      <c r="E46" s="211"/>
      <c r="F46" s="792" t="s">
        <v>256</v>
      </c>
      <c r="G46" s="802"/>
      <c r="H46" s="802"/>
      <c r="I46" s="802"/>
      <c r="J46" s="802"/>
      <c r="K46" s="803"/>
      <c r="L46" s="6"/>
      <c r="M46" s="792" t="s">
        <v>257</v>
      </c>
      <c r="N46" s="802"/>
      <c r="O46" s="802"/>
      <c r="P46" s="802"/>
      <c r="Q46" s="802"/>
      <c r="R46" s="803"/>
      <c r="S46" s="171"/>
      <c r="T46" s="171"/>
      <c r="U46" s="171"/>
      <c r="V46" s="5"/>
      <c r="W46" s="5"/>
      <c r="X46" s="5"/>
      <c r="Y46" s="5"/>
      <c r="Z46" s="5"/>
      <c r="AA46" s="5"/>
      <c r="AB46" s="5"/>
      <c r="AC46" s="820" t="str">
        <f>TxPhase1PxTotal</f>
        <v/>
      </c>
      <c r="AD46" s="820"/>
      <c r="AE46" s="820"/>
      <c r="AF46" s="820"/>
      <c r="AG46" s="820"/>
      <c r="AH46" s="820"/>
      <c r="AI46" s="820" t="str">
        <f>TxPhase2PxTotal</f>
        <v/>
      </c>
      <c r="AJ46" s="820"/>
      <c r="AK46" s="820"/>
      <c r="AL46" s="820"/>
      <c r="AM46" s="820"/>
      <c r="AN46" s="820"/>
    </row>
    <row r="47" spans="1:40" outlineLevel="1" x14ac:dyDescent="0.2">
      <c r="A47" s="171"/>
      <c r="B47" s="592"/>
      <c r="C47" s="592"/>
      <c r="D47" s="171"/>
      <c r="E47" s="89" t="s">
        <v>883</v>
      </c>
      <c r="F47" s="112">
        <f>FirstYear</f>
        <v>0</v>
      </c>
      <c r="G47" s="112">
        <f>F47+1</f>
        <v>1</v>
      </c>
      <c r="H47" s="112">
        <f>G47+1</f>
        <v>2</v>
      </c>
      <c r="I47" s="112">
        <f>H47+1</f>
        <v>3</v>
      </c>
      <c r="J47" s="112">
        <f>I47+1</f>
        <v>4</v>
      </c>
      <c r="K47" s="112">
        <f>J47+1</f>
        <v>5</v>
      </c>
      <c r="L47" s="171"/>
      <c r="M47" s="112">
        <f>FirstYear</f>
        <v>0</v>
      </c>
      <c r="N47" s="112">
        <f>M47+1</f>
        <v>1</v>
      </c>
      <c r="O47" s="112">
        <f>N47+1</f>
        <v>2</v>
      </c>
      <c r="P47" s="112">
        <f>O47+1</f>
        <v>3</v>
      </c>
      <c r="Q47" s="112">
        <f>P47+1</f>
        <v>4</v>
      </c>
      <c r="R47" s="112">
        <f>Q47+1</f>
        <v>5</v>
      </c>
      <c r="S47" s="171"/>
      <c r="T47" s="171"/>
      <c r="U47" s="171"/>
      <c r="V47" s="5"/>
      <c r="W47" s="5"/>
      <c r="X47" s="5"/>
      <c r="Y47" s="5"/>
      <c r="Z47" s="5"/>
      <c r="AA47" s="5"/>
      <c r="AB47" s="641"/>
      <c r="AC47" s="335">
        <f>FirstYear</f>
        <v>0</v>
      </c>
      <c r="AD47" s="335">
        <f>AC47+1</f>
        <v>1</v>
      </c>
      <c r="AE47" s="335">
        <f>AD47+1</f>
        <v>2</v>
      </c>
      <c r="AF47" s="335">
        <f>AE47+1</f>
        <v>3</v>
      </c>
      <c r="AG47" s="335">
        <f>AF47+1</f>
        <v>4</v>
      </c>
      <c r="AH47" s="335">
        <f>AG47+1</f>
        <v>5</v>
      </c>
      <c r="AI47" s="335">
        <f>FirstYear</f>
        <v>0</v>
      </c>
      <c r="AJ47" s="335">
        <f>AI47+1</f>
        <v>1</v>
      </c>
      <c r="AK47" s="335">
        <f>AJ47+1</f>
        <v>2</v>
      </c>
      <c r="AL47" s="335">
        <f>AK47+1</f>
        <v>3</v>
      </c>
      <c r="AM47" s="335">
        <f>AL47+1</f>
        <v>4</v>
      </c>
      <c r="AN47" s="335">
        <f>AM47+1</f>
        <v>5</v>
      </c>
    </row>
    <row r="48" spans="1:40" outlineLevel="1" x14ac:dyDescent="0.2">
      <c r="A48" s="171"/>
      <c r="B48" s="592"/>
      <c r="C48" s="592"/>
      <c r="D48" s="79">
        <v>1</v>
      </c>
      <c r="E48" s="116" t="str">
        <f t="shared" ref="E48:E67" si="8">INDEX(NamesNew,D48)</f>
        <v>** NOT USED **</v>
      </c>
      <c r="F48" s="47">
        <f t="shared" ref="F48:F67" si="9">IF(AND($E48&lt;&gt;"",$O111&lt;&gt;""),IF($X111="C",AI48,AC48)*$O111*$P111,0)</f>
        <v>0</v>
      </c>
      <c r="G48" s="47">
        <f t="shared" ref="G48:G67" si="10">IF(AND($E48&lt;&gt;"",$O111&lt;&gt;""),IF($X111="C",AJ48,AD48)*$O111*$P111,0)</f>
        <v>0</v>
      </c>
      <c r="H48" s="47">
        <f t="shared" ref="H48:H67" si="11">IF(AND($E48&lt;&gt;"",$O111&lt;&gt;""),IF($X111="C",AK48,AE48)*$O111*$P111,0)</f>
        <v>0</v>
      </c>
      <c r="I48" s="47">
        <f t="shared" ref="I48:I67" si="12">IF(AND($E48&lt;&gt;"",$O111&lt;&gt;""),IF($X111="C",AL48,AF48)*$O111*$P111,0)</f>
        <v>0</v>
      </c>
      <c r="J48" s="47">
        <f t="shared" ref="J48:J67" si="13">IF(AND($E48&lt;&gt;"",$O111&lt;&gt;""),IF($X111="C",AM48,AG48)*$O111*$P111,0)</f>
        <v>0</v>
      </c>
      <c r="K48" s="47">
        <f t="shared" ref="K48:K67" si="14">IF(AND($E48&lt;&gt;"",$O111&lt;&gt;""),IF($X111="C",AN48,AH48)*$O111*$P111,0)</f>
        <v>0</v>
      </c>
      <c r="L48" s="171"/>
      <c r="M48" s="47">
        <f t="shared" ref="M48:M67" si="15">IF(AND($E48&lt;&gt;"",$O111&lt;&gt;""),IF($X111="C",AI83,AC83)*$O111*$P111,0)</f>
        <v>0</v>
      </c>
      <c r="N48" s="47">
        <f t="shared" ref="N48:N67" si="16">IF(AND($E48&lt;&gt;"",$O111&lt;&gt;""),IF($X111="C",AJ83,AD83)*$O111*$P111,0)</f>
        <v>0</v>
      </c>
      <c r="O48" s="47">
        <f t="shared" ref="O48:O67" si="17">IF(AND($E48&lt;&gt;"",$O111&lt;&gt;""),IF($X111="C",AK83,AE83)*$O111*$P111,0)</f>
        <v>0</v>
      </c>
      <c r="P48" s="47">
        <f t="shared" ref="P48:P67" si="18">IF(AND($E48&lt;&gt;"",$O111&lt;&gt;""),IF($X111="C",AL83,AF83)*$O111*$P111,0)</f>
        <v>0</v>
      </c>
      <c r="Q48" s="47">
        <f t="shared" ref="Q48:Q67" si="19">IF(AND($E48&lt;&gt;"",$O111&lt;&gt;""),IF($X111="C",AM83,AG83)*$O111*$P111,0)</f>
        <v>0</v>
      </c>
      <c r="R48" s="47">
        <f t="shared" ref="R48:R67" si="20">IF(AND($E48&lt;&gt;"",$O111&lt;&gt;""),IF($X111="C",AN83,AH83)*$O111*$P111,0)</f>
        <v>0</v>
      </c>
      <c r="S48" s="171"/>
      <c r="T48" s="171"/>
      <c r="U48" s="171"/>
      <c r="V48" s="5"/>
      <c r="W48" s="5"/>
      <c r="X48" s="5"/>
      <c r="Y48" s="5"/>
      <c r="Z48" s="5"/>
      <c r="AA48" s="5"/>
      <c r="AB48" s="349">
        <v>1</v>
      </c>
      <c r="AC48" s="338">
        <f t="shared" ref="AC48:AN48" si="21">IF(OR(ScriptSourceCode=1,ScriptSourceCode=3),AC111-AC83,0)</f>
        <v>0</v>
      </c>
      <c r="AD48" s="338">
        <f t="shared" si="21"/>
        <v>0</v>
      </c>
      <c r="AE48" s="338">
        <f t="shared" si="21"/>
        <v>0</v>
      </c>
      <c r="AF48" s="338">
        <f t="shared" si="21"/>
        <v>0</v>
      </c>
      <c r="AG48" s="338">
        <f t="shared" si="21"/>
        <v>0</v>
      </c>
      <c r="AH48" s="338">
        <f t="shared" si="21"/>
        <v>0</v>
      </c>
      <c r="AI48" s="338">
        <f t="shared" si="21"/>
        <v>0</v>
      </c>
      <c r="AJ48" s="338">
        <f t="shared" si="21"/>
        <v>0</v>
      </c>
      <c r="AK48" s="338">
        <f t="shared" si="21"/>
        <v>0</v>
      </c>
      <c r="AL48" s="338">
        <f t="shared" si="21"/>
        <v>0</v>
      </c>
      <c r="AM48" s="338">
        <f t="shared" si="21"/>
        <v>0</v>
      </c>
      <c r="AN48" s="338">
        <f t="shared" si="21"/>
        <v>0</v>
      </c>
    </row>
    <row r="49" spans="1:40" outlineLevel="1" x14ac:dyDescent="0.2">
      <c r="A49" s="171"/>
      <c r="B49" s="592"/>
      <c r="C49" s="592"/>
      <c r="D49" s="79">
        <v>2</v>
      </c>
      <c r="E49" s="116" t="str">
        <f t="shared" si="8"/>
        <v>** NOT USED **</v>
      </c>
      <c r="F49" s="47">
        <f t="shared" si="9"/>
        <v>0</v>
      </c>
      <c r="G49" s="47">
        <f t="shared" si="10"/>
        <v>0</v>
      </c>
      <c r="H49" s="47">
        <f t="shared" si="11"/>
        <v>0</v>
      </c>
      <c r="I49" s="47">
        <f t="shared" si="12"/>
        <v>0</v>
      </c>
      <c r="J49" s="47">
        <f t="shared" si="13"/>
        <v>0</v>
      </c>
      <c r="K49" s="47">
        <f t="shared" si="14"/>
        <v>0</v>
      </c>
      <c r="L49" s="171"/>
      <c r="M49" s="47">
        <f t="shared" si="15"/>
        <v>0</v>
      </c>
      <c r="N49" s="47">
        <f t="shared" si="16"/>
        <v>0</v>
      </c>
      <c r="O49" s="47">
        <f t="shared" si="17"/>
        <v>0</v>
      </c>
      <c r="P49" s="47">
        <f t="shared" si="18"/>
        <v>0</v>
      </c>
      <c r="Q49" s="47">
        <f t="shared" si="19"/>
        <v>0</v>
      </c>
      <c r="R49" s="47">
        <f t="shared" si="20"/>
        <v>0</v>
      </c>
      <c r="S49" s="171"/>
      <c r="T49" s="171"/>
      <c r="U49" s="171"/>
      <c r="V49" s="5"/>
      <c r="W49" s="5"/>
      <c r="X49" s="5"/>
      <c r="Y49" s="5"/>
      <c r="Z49" s="5"/>
      <c r="AA49" s="5"/>
      <c r="AB49" s="349">
        <v>2</v>
      </c>
      <c r="AC49" s="338">
        <f t="shared" ref="AC49:AN49" si="22">IF(OR(ScriptSourceCode=1,ScriptSourceCode=3),AC112-AC84,0)</f>
        <v>0</v>
      </c>
      <c r="AD49" s="338">
        <f t="shared" si="22"/>
        <v>0</v>
      </c>
      <c r="AE49" s="338">
        <f t="shared" si="22"/>
        <v>0</v>
      </c>
      <c r="AF49" s="338">
        <f t="shared" si="22"/>
        <v>0</v>
      </c>
      <c r="AG49" s="338">
        <f t="shared" si="22"/>
        <v>0</v>
      </c>
      <c r="AH49" s="338">
        <f t="shared" si="22"/>
        <v>0</v>
      </c>
      <c r="AI49" s="338">
        <f t="shared" si="22"/>
        <v>0</v>
      </c>
      <c r="AJ49" s="338">
        <f t="shared" si="22"/>
        <v>0</v>
      </c>
      <c r="AK49" s="338">
        <f t="shared" si="22"/>
        <v>0</v>
      </c>
      <c r="AL49" s="338">
        <f t="shared" si="22"/>
        <v>0</v>
      </c>
      <c r="AM49" s="338">
        <f t="shared" si="22"/>
        <v>0</v>
      </c>
      <c r="AN49" s="338">
        <f t="shared" si="22"/>
        <v>0</v>
      </c>
    </row>
    <row r="50" spans="1:40" outlineLevel="1" x14ac:dyDescent="0.2">
      <c r="A50" s="171"/>
      <c r="B50" s="592"/>
      <c r="C50" s="592"/>
      <c r="D50" s="79">
        <v>3</v>
      </c>
      <c r="E50" s="116" t="str">
        <f t="shared" si="8"/>
        <v>** NOT USED **</v>
      </c>
      <c r="F50" s="47">
        <f t="shared" si="9"/>
        <v>0</v>
      </c>
      <c r="G50" s="47">
        <f t="shared" si="10"/>
        <v>0</v>
      </c>
      <c r="H50" s="47">
        <f t="shared" si="11"/>
        <v>0</v>
      </c>
      <c r="I50" s="47">
        <f t="shared" si="12"/>
        <v>0</v>
      </c>
      <c r="J50" s="47">
        <f t="shared" si="13"/>
        <v>0</v>
      </c>
      <c r="K50" s="47">
        <f t="shared" si="14"/>
        <v>0</v>
      </c>
      <c r="L50" s="171"/>
      <c r="M50" s="47">
        <f t="shared" si="15"/>
        <v>0</v>
      </c>
      <c r="N50" s="47">
        <f t="shared" si="16"/>
        <v>0</v>
      </c>
      <c r="O50" s="47">
        <f t="shared" si="17"/>
        <v>0</v>
      </c>
      <c r="P50" s="47">
        <f t="shared" si="18"/>
        <v>0</v>
      </c>
      <c r="Q50" s="47">
        <f t="shared" si="19"/>
        <v>0</v>
      </c>
      <c r="R50" s="47">
        <f t="shared" si="20"/>
        <v>0</v>
      </c>
      <c r="S50" s="171"/>
      <c r="T50" s="171"/>
      <c r="U50" s="171"/>
      <c r="V50" s="5"/>
      <c r="W50" s="5"/>
      <c r="X50" s="5"/>
      <c r="Y50" s="5"/>
      <c r="Z50" s="5"/>
      <c r="AA50" s="5"/>
      <c r="AB50" s="349">
        <v>3</v>
      </c>
      <c r="AC50" s="338">
        <f t="shared" ref="AC50:AN50" si="23">IF(OR(ScriptSourceCode=1,ScriptSourceCode=3),AC113-AC85,0)</f>
        <v>0</v>
      </c>
      <c r="AD50" s="338">
        <f t="shared" si="23"/>
        <v>0</v>
      </c>
      <c r="AE50" s="338">
        <f t="shared" si="23"/>
        <v>0</v>
      </c>
      <c r="AF50" s="338">
        <f t="shared" si="23"/>
        <v>0</v>
      </c>
      <c r="AG50" s="338">
        <f t="shared" si="23"/>
        <v>0</v>
      </c>
      <c r="AH50" s="338">
        <f t="shared" si="23"/>
        <v>0</v>
      </c>
      <c r="AI50" s="338">
        <f t="shared" si="23"/>
        <v>0</v>
      </c>
      <c r="AJ50" s="338">
        <f t="shared" si="23"/>
        <v>0</v>
      </c>
      <c r="AK50" s="338">
        <f t="shared" si="23"/>
        <v>0</v>
      </c>
      <c r="AL50" s="338">
        <f t="shared" si="23"/>
        <v>0</v>
      </c>
      <c r="AM50" s="338">
        <f t="shared" si="23"/>
        <v>0</v>
      </c>
      <c r="AN50" s="338">
        <f t="shared" si="23"/>
        <v>0</v>
      </c>
    </row>
    <row r="51" spans="1:40" outlineLevel="1" x14ac:dyDescent="0.2">
      <c r="A51" s="171"/>
      <c r="B51" s="592"/>
      <c r="C51" s="592"/>
      <c r="D51" s="79">
        <v>4</v>
      </c>
      <c r="E51" s="116" t="str">
        <f t="shared" si="8"/>
        <v>** NOT USED **</v>
      </c>
      <c r="F51" s="47">
        <f t="shared" si="9"/>
        <v>0</v>
      </c>
      <c r="G51" s="47">
        <f t="shared" si="10"/>
        <v>0</v>
      </c>
      <c r="H51" s="47">
        <f t="shared" si="11"/>
        <v>0</v>
      </c>
      <c r="I51" s="47">
        <f t="shared" si="12"/>
        <v>0</v>
      </c>
      <c r="J51" s="47">
        <f t="shared" si="13"/>
        <v>0</v>
      </c>
      <c r="K51" s="47">
        <f t="shared" si="14"/>
        <v>0</v>
      </c>
      <c r="L51" s="171"/>
      <c r="M51" s="47">
        <f t="shared" si="15"/>
        <v>0</v>
      </c>
      <c r="N51" s="47">
        <f t="shared" si="16"/>
        <v>0</v>
      </c>
      <c r="O51" s="47">
        <f t="shared" si="17"/>
        <v>0</v>
      </c>
      <c r="P51" s="47">
        <f t="shared" si="18"/>
        <v>0</v>
      </c>
      <c r="Q51" s="47">
        <f t="shared" si="19"/>
        <v>0</v>
      </c>
      <c r="R51" s="47">
        <f t="shared" si="20"/>
        <v>0</v>
      </c>
      <c r="S51" s="171"/>
      <c r="T51" s="171"/>
      <c r="U51" s="171"/>
      <c r="V51" s="5"/>
      <c r="W51" s="5"/>
      <c r="X51" s="5"/>
      <c r="Y51" s="5"/>
      <c r="Z51" s="5"/>
      <c r="AA51" s="5"/>
      <c r="AB51" s="349">
        <v>4</v>
      </c>
      <c r="AC51" s="338">
        <f t="shared" ref="AC51:AN51" si="24">IF(OR(ScriptSourceCode=1,ScriptSourceCode=3),AC114-AC86,0)</f>
        <v>0</v>
      </c>
      <c r="AD51" s="338">
        <f t="shared" si="24"/>
        <v>0</v>
      </c>
      <c r="AE51" s="338">
        <f t="shared" si="24"/>
        <v>0</v>
      </c>
      <c r="AF51" s="338">
        <f t="shared" si="24"/>
        <v>0</v>
      </c>
      <c r="AG51" s="338">
        <f t="shared" si="24"/>
        <v>0</v>
      </c>
      <c r="AH51" s="338">
        <f t="shared" si="24"/>
        <v>0</v>
      </c>
      <c r="AI51" s="338">
        <f t="shared" si="24"/>
        <v>0</v>
      </c>
      <c r="AJ51" s="338">
        <f t="shared" si="24"/>
        <v>0</v>
      </c>
      <c r="AK51" s="338">
        <f t="shared" si="24"/>
        <v>0</v>
      </c>
      <c r="AL51" s="338">
        <f t="shared" si="24"/>
        <v>0</v>
      </c>
      <c r="AM51" s="338">
        <f t="shared" si="24"/>
        <v>0</v>
      </c>
      <c r="AN51" s="338">
        <f t="shared" si="24"/>
        <v>0</v>
      </c>
    </row>
    <row r="52" spans="1:40" outlineLevel="1" x14ac:dyDescent="0.2">
      <c r="A52" s="171"/>
      <c r="B52" s="592"/>
      <c r="C52" s="592"/>
      <c r="D52" s="79">
        <v>5</v>
      </c>
      <c r="E52" s="116" t="str">
        <f t="shared" si="8"/>
        <v>** NOT USED **</v>
      </c>
      <c r="F52" s="47">
        <f t="shared" si="9"/>
        <v>0</v>
      </c>
      <c r="G52" s="47">
        <f t="shared" si="10"/>
        <v>0</v>
      </c>
      <c r="H52" s="47">
        <f t="shared" si="11"/>
        <v>0</v>
      </c>
      <c r="I52" s="47">
        <f t="shared" si="12"/>
        <v>0</v>
      </c>
      <c r="J52" s="47">
        <f t="shared" si="13"/>
        <v>0</v>
      </c>
      <c r="K52" s="47">
        <f t="shared" si="14"/>
        <v>0</v>
      </c>
      <c r="L52" s="171"/>
      <c r="M52" s="47">
        <f t="shared" si="15"/>
        <v>0</v>
      </c>
      <c r="N52" s="47">
        <f t="shared" si="16"/>
        <v>0</v>
      </c>
      <c r="O52" s="47">
        <f t="shared" si="17"/>
        <v>0</v>
      </c>
      <c r="P52" s="47">
        <f t="shared" si="18"/>
        <v>0</v>
      </c>
      <c r="Q52" s="47">
        <f t="shared" si="19"/>
        <v>0</v>
      </c>
      <c r="R52" s="47">
        <f t="shared" si="20"/>
        <v>0</v>
      </c>
      <c r="S52" s="171"/>
      <c r="T52" s="171"/>
      <c r="U52" s="171"/>
      <c r="V52" s="5"/>
      <c r="W52" s="5"/>
      <c r="X52" s="5"/>
      <c r="Y52" s="5"/>
      <c r="Z52" s="5"/>
      <c r="AA52" s="5"/>
      <c r="AB52" s="349">
        <v>5</v>
      </c>
      <c r="AC52" s="338">
        <f t="shared" ref="AC52:AN52" si="25">IF(OR(ScriptSourceCode=1,ScriptSourceCode=3),AC115-AC87,0)</f>
        <v>0</v>
      </c>
      <c r="AD52" s="338">
        <f t="shared" si="25"/>
        <v>0</v>
      </c>
      <c r="AE52" s="338">
        <f t="shared" si="25"/>
        <v>0</v>
      </c>
      <c r="AF52" s="338">
        <f t="shared" si="25"/>
        <v>0</v>
      </c>
      <c r="AG52" s="338">
        <f t="shared" si="25"/>
        <v>0</v>
      </c>
      <c r="AH52" s="338">
        <f t="shared" si="25"/>
        <v>0</v>
      </c>
      <c r="AI52" s="338">
        <f t="shared" si="25"/>
        <v>0</v>
      </c>
      <c r="AJ52" s="338">
        <f t="shared" si="25"/>
        <v>0</v>
      </c>
      <c r="AK52" s="338">
        <f t="shared" si="25"/>
        <v>0</v>
      </c>
      <c r="AL52" s="338">
        <f t="shared" si="25"/>
        <v>0</v>
      </c>
      <c r="AM52" s="338">
        <f t="shared" si="25"/>
        <v>0</v>
      </c>
      <c r="AN52" s="338">
        <f t="shared" si="25"/>
        <v>0</v>
      </c>
    </row>
    <row r="53" spans="1:40" outlineLevel="1" x14ac:dyDescent="0.2">
      <c r="A53" s="171"/>
      <c r="B53" s="592"/>
      <c r="C53" s="592"/>
      <c r="D53" s="79">
        <v>6</v>
      </c>
      <c r="E53" s="116" t="str">
        <f t="shared" si="8"/>
        <v>** NOT USED **</v>
      </c>
      <c r="F53" s="47">
        <f t="shared" si="9"/>
        <v>0</v>
      </c>
      <c r="G53" s="47">
        <f t="shared" si="10"/>
        <v>0</v>
      </c>
      <c r="H53" s="47">
        <f t="shared" si="11"/>
        <v>0</v>
      </c>
      <c r="I53" s="47">
        <f t="shared" si="12"/>
        <v>0</v>
      </c>
      <c r="J53" s="47">
        <f t="shared" si="13"/>
        <v>0</v>
      </c>
      <c r="K53" s="47">
        <f t="shared" si="14"/>
        <v>0</v>
      </c>
      <c r="L53" s="171"/>
      <c r="M53" s="47">
        <f t="shared" si="15"/>
        <v>0</v>
      </c>
      <c r="N53" s="47">
        <f t="shared" si="16"/>
        <v>0</v>
      </c>
      <c r="O53" s="47">
        <f t="shared" si="17"/>
        <v>0</v>
      </c>
      <c r="P53" s="47">
        <f t="shared" si="18"/>
        <v>0</v>
      </c>
      <c r="Q53" s="47">
        <f t="shared" si="19"/>
        <v>0</v>
      </c>
      <c r="R53" s="47">
        <f t="shared" si="20"/>
        <v>0</v>
      </c>
      <c r="S53" s="171"/>
      <c r="T53" s="171"/>
      <c r="U53" s="171"/>
      <c r="V53" s="5"/>
      <c r="W53" s="5"/>
      <c r="X53" s="5"/>
      <c r="Y53" s="5"/>
      <c r="Z53" s="5"/>
      <c r="AA53" s="5"/>
      <c r="AB53" s="349">
        <v>6</v>
      </c>
      <c r="AC53" s="338">
        <f t="shared" ref="AC53:AN53" si="26">IF(OR(ScriptSourceCode=1,ScriptSourceCode=3),AC116-AC88,0)</f>
        <v>0</v>
      </c>
      <c r="AD53" s="338">
        <f t="shared" si="26"/>
        <v>0</v>
      </c>
      <c r="AE53" s="338">
        <f t="shared" si="26"/>
        <v>0</v>
      </c>
      <c r="AF53" s="338">
        <f t="shared" si="26"/>
        <v>0</v>
      </c>
      <c r="AG53" s="338">
        <f t="shared" si="26"/>
        <v>0</v>
      </c>
      <c r="AH53" s="338">
        <f t="shared" si="26"/>
        <v>0</v>
      </c>
      <c r="AI53" s="338">
        <f t="shared" si="26"/>
        <v>0</v>
      </c>
      <c r="AJ53" s="338">
        <f t="shared" si="26"/>
        <v>0</v>
      </c>
      <c r="AK53" s="338">
        <f t="shared" si="26"/>
        <v>0</v>
      </c>
      <c r="AL53" s="338">
        <f t="shared" si="26"/>
        <v>0</v>
      </c>
      <c r="AM53" s="338">
        <f t="shared" si="26"/>
        <v>0</v>
      </c>
      <c r="AN53" s="338">
        <f t="shared" si="26"/>
        <v>0</v>
      </c>
    </row>
    <row r="54" spans="1:40" outlineLevel="1" x14ac:dyDescent="0.2">
      <c r="A54" s="171"/>
      <c r="B54" s="592"/>
      <c r="C54" s="592"/>
      <c r="D54" s="79">
        <v>7</v>
      </c>
      <c r="E54" s="116" t="str">
        <f t="shared" si="8"/>
        <v>** NOT USED **</v>
      </c>
      <c r="F54" s="47">
        <f t="shared" si="9"/>
        <v>0</v>
      </c>
      <c r="G54" s="47">
        <f t="shared" si="10"/>
        <v>0</v>
      </c>
      <c r="H54" s="47">
        <f t="shared" si="11"/>
        <v>0</v>
      </c>
      <c r="I54" s="47">
        <f t="shared" si="12"/>
        <v>0</v>
      </c>
      <c r="J54" s="47">
        <f t="shared" si="13"/>
        <v>0</v>
      </c>
      <c r="K54" s="47">
        <f t="shared" si="14"/>
        <v>0</v>
      </c>
      <c r="L54" s="171"/>
      <c r="M54" s="47">
        <f t="shared" si="15"/>
        <v>0</v>
      </c>
      <c r="N54" s="47">
        <f t="shared" si="16"/>
        <v>0</v>
      </c>
      <c r="O54" s="47">
        <f t="shared" si="17"/>
        <v>0</v>
      </c>
      <c r="P54" s="47">
        <f t="shared" si="18"/>
        <v>0</v>
      </c>
      <c r="Q54" s="47">
        <f t="shared" si="19"/>
        <v>0</v>
      </c>
      <c r="R54" s="47">
        <f t="shared" si="20"/>
        <v>0</v>
      </c>
      <c r="S54" s="171"/>
      <c r="T54" s="171"/>
      <c r="U54" s="171"/>
      <c r="V54" s="5"/>
      <c r="W54" s="5"/>
      <c r="X54" s="5"/>
      <c r="Y54" s="5"/>
      <c r="Z54" s="5"/>
      <c r="AA54" s="5"/>
      <c r="AB54" s="349">
        <v>7</v>
      </c>
      <c r="AC54" s="338">
        <f t="shared" ref="AC54:AN54" si="27">IF(OR(ScriptSourceCode=1,ScriptSourceCode=3),AC117-AC89,0)</f>
        <v>0</v>
      </c>
      <c r="AD54" s="338">
        <f t="shared" si="27"/>
        <v>0</v>
      </c>
      <c r="AE54" s="338">
        <f t="shared" si="27"/>
        <v>0</v>
      </c>
      <c r="AF54" s="338">
        <f t="shared" si="27"/>
        <v>0</v>
      </c>
      <c r="AG54" s="338">
        <f t="shared" si="27"/>
        <v>0</v>
      </c>
      <c r="AH54" s="338">
        <f t="shared" si="27"/>
        <v>0</v>
      </c>
      <c r="AI54" s="338">
        <f t="shared" si="27"/>
        <v>0</v>
      </c>
      <c r="AJ54" s="338">
        <f t="shared" si="27"/>
        <v>0</v>
      </c>
      <c r="AK54" s="338">
        <f t="shared" si="27"/>
        <v>0</v>
      </c>
      <c r="AL54" s="338">
        <f t="shared" si="27"/>
        <v>0</v>
      </c>
      <c r="AM54" s="338">
        <f t="shared" si="27"/>
        <v>0</v>
      </c>
      <c r="AN54" s="338">
        <f t="shared" si="27"/>
        <v>0</v>
      </c>
    </row>
    <row r="55" spans="1:40" outlineLevel="1" x14ac:dyDescent="0.2">
      <c r="A55" s="171"/>
      <c r="B55" s="592"/>
      <c r="C55" s="592"/>
      <c r="D55" s="79">
        <v>8</v>
      </c>
      <c r="E55" s="116" t="str">
        <f t="shared" si="8"/>
        <v>** NOT USED **</v>
      </c>
      <c r="F55" s="47">
        <f t="shared" si="9"/>
        <v>0</v>
      </c>
      <c r="G55" s="47">
        <f t="shared" si="10"/>
        <v>0</v>
      </c>
      <c r="H55" s="47">
        <f t="shared" si="11"/>
        <v>0</v>
      </c>
      <c r="I55" s="47">
        <f t="shared" si="12"/>
        <v>0</v>
      </c>
      <c r="J55" s="47">
        <f t="shared" si="13"/>
        <v>0</v>
      </c>
      <c r="K55" s="47">
        <f t="shared" si="14"/>
        <v>0</v>
      </c>
      <c r="L55" s="171"/>
      <c r="M55" s="47">
        <f t="shared" si="15"/>
        <v>0</v>
      </c>
      <c r="N55" s="47">
        <f t="shared" si="16"/>
        <v>0</v>
      </c>
      <c r="O55" s="47">
        <f t="shared" si="17"/>
        <v>0</v>
      </c>
      <c r="P55" s="47">
        <f t="shared" si="18"/>
        <v>0</v>
      </c>
      <c r="Q55" s="47">
        <f t="shared" si="19"/>
        <v>0</v>
      </c>
      <c r="R55" s="47">
        <f t="shared" si="20"/>
        <v>0</v>
      </c>
      <c r="S55" s="171"/>
      <c r="T55" s="171"/>
      <c r="U55" s="171"/>
      <c r="V55" s="5"/>
      <c r="W55" s="5"/>
      <c r="X55" s="5"/>
      <c r="Y55" s="5"/>
      <c r="Z55" s="5"/>
      <c r="AA55" s="5"/>
      <c r="AB55" s="349">
        <v>8</v>
      </c>
      <c r="AC55" s="338">
        <f t="shared" ref="AC55:AN55" si="28">IF(OR(ScriptSourceCode=1,ScriptSourceCode=3),AC118-AC90,0)</f>
        <v>0</v>
      </c>
      <c r="AD55" s="338">
        <f t="shared" si="28"/>
        <v>0</v>
      </c>
      <c r="AE55" s="338">
        <f t="shared" si="28"/>
        <v>0</v>
      </c>
      <c r="AF55" s="338">
        <f t="shared" si="28"/>
        <v>0</v>
      </c>
      <c r="AG55" s="338">
        <f t="shared" si="28"/>
        <v>0</v>
      </c>
      <c r="AH55" s="338">
        <f t="shared" si="28"/>
        <v>0</v>
      </c>
      <c r="AI55" s="338">
        <f t="shared" si="28"/>
        <v>0</v>
      </c>
      <c r="AJ55" s="338">
        <f t="shared" si="28"/>
        <v>0</v>
      </c>
      <c r="AK55" s="338">
        <f t="shared" si="28"/>
        <v>0</v>
      </c>
      <c r="AL55" s="338">
        <f t="shared" si="28"/>
        <v>0</v>
      </c>
      <c r="AM55" s="338">
        <f t="shared" si="28"/>
        <v>0</v>
      </c>
      <c r="AN55" s="338">
        <f t="shared" si="28"/>
        <v>0</v>
      </c>
    </row>
    <row r="56" spans="1:40" outlineLevel="1" x14ac:dyDescent="0.2">
      <c r="A56" s="171"/>
      <c r="B56" s="592"/>
      <c r="C56" s="592"/>
      <c r="D56" s="79">
        <v>9</v>
      </c>
      <c r="E56" s="116" t="str">
        <f t="shared" si="8"/>
        <v>** NOT USED **</v>
      </c>
      <c r="F56" s="47">
        <f t="shared" si="9"/>
        <v>0</v>
      </c>
      <c r="G56" s="47">
        <f t="shared" si="10"/>
        <v>0</v>
      </c>
      <c r="H56" s="47">
        <f t="shared" si="11"/>
        <v>0</v>
      </c>
      <c r="I56" s="47">
        <f t="shared" si="12"/>
        <v>0</v>
      </c>
      <c r="J56" s="47">
        <f t="shared" si="13"/>
        <v>0</v>
      </c>
      <c r="K56" s="47">
        <f t="shared" si="14"/>
        <v>0</v>
      </c>
      <c r="L56" s="171"/>
      <c r="M56" s="47">
        <f t="shared" si="15"/>
        <v>0</v>
      </c>
      <c r="N56" s="47">
        <f t="shared" si="16"/>
        <v>0</v>
      </c>
      <c r="O56" s="47">
        <f t="shared" si="17"/>
        <v>0</v>
      </c>
      <c r="P56" s="47">
        <f t="shared" si="18"/>
        <v>0</v>
      </c>
      <c r="Q56" s="47">
        <f t="shared" si="19"/>
        <v>0</v>
      </c>
      <c r="R56" s="47">
        <f t="shared" si="20"/>
        <v>0</v>
      </c>
      <c r="S56" s="171"/>
      <c r="T56" s="171"/>
      <c r="U56" s="171"/>
      <c r="V56" s="5"/>
      <c r="W56" s="5"/>
      <c r="X56" s="5"/>
      <c r="Y56" s="5"/>
      <c r="Z56" s="5"/>
      <c r="AA56" s="5"/>
      <c r="AB56" s="349">
        <v>9</v>
      </c>
      <c r="AC56" s="338">
        <f t="shared" ref="AC56:AN56" si="29">IF(OR(ScriptSourceCode=1,ScriptSourceCode=3),AC119-AC91,0)</f>
        <v>0</v>
      </c>
      <c r="AD56" s="338">
        <f t="shared" si="29"/>
        <v>0</v>
      </c>
      <c r="AE56" s="338">
        <f t="shared" si="29"/>
        <v>0</v>
      </c>
      <c r="AF56" s="338">
        <f t="shared" si="29"/>
        <v>0</v>
      </c>
      <c r="AG56" s="338">
        <f t="shared" si="29"/>
        <v>0</v>
      </c>
      <c r="AH56" s="338">
        <f t="shared" si="29"/>
        <v>0</v>
      </c>
      <c r="AI56" s="338">
        <f t="shared" si="29"/>
        <v>0</v>
      </c>
      <c r="AJ56" s="338">
        <f t="shared" si="29"/>
        <v>0</v>
      </c>
      <c r="AK56" s="338">
        <f t="shared" si="29"/>
        <v>0</v>
      </c>
      <c r="AL56" s="338">
        <f t="shared" si="29"/>
        <v>0</v>
      </c>
      <c r="AM56" s="338">
        <f t="shared" si="29"/>
        <v>0</v>
      </c>
      <c r="AN56" s="338">
        <f t="shared" si="29"/>
        <v>0</v>
      </c>
    </row>
    <row r="57" spans="1:40" outlineLevel="1" x14ac:dyDescent="0.2">
      <c r="A57" s="171"/>
      <c r="B57" s="592"/>
      <c r="C57" s="592"/>
      <c r="D57" s="79">
        <v>10</v>
      </c>
      <c r="E57" s="116" t="str">
        <f t="shared" si="8"/>
        <v>** NOT USED **</v>
      </c>
      <c r="F57" s="47">
        <f t="shared" si="9"/>
        <v>0</v>
      </c>
      <c r="G57" s="47">
        <f t="shared" si="10"/>
        <v>0</v>
      </c>
      <c r="H57" s="47">
        <f t="shared" si="11"/>
        <v>0</v>
      </c>
      <c r="I57" s="47">
        <f t="shared" si="12"/>
        <v>0</v>
      </c>
      <c r="J57" s="47">
        <f t="shared" si="13"/>
        <v>0</v>
      </c>
      <c r="K57" s="47">
        <f t="shared" si="14"/>
        <v>0</v>
      </c>
      <c r="L57" s="171"/>
      <c r="M57" s="47">
        <f t="shared" si="15"/>
        <v>0</v>
      </c>
      <c r="N57" s="47">
        <f t="shared" si="16"/>
        <v>0</v>
      </c>
      <c r="O57" s="47">
        <f t="shared" si="17"/>
        <v>0</v>
      </c>
      <c r="P57" s="47">
        <f t="shared" si="18"/>
        <v>0</v>
      </c>
      <c r="Q57" s="47">
        <f t="shared" si="19"/>
        <v>0</v>
      </c>
      <c r="R57" s="47">
        <f t="shared" si="20"/>
        <v>0</v>
      </c>
      <c r="S57" s="171"/>
      <c r="T57" s="171"/>
      <c r="U57" s="171"/>
      <c r="V57" s="5"/>
      <c r="W57" s="5"/>
      <c r="X57" s="5"/>
      <c r="Y57" s="5"/>
      <c r="Z57" s="5"/>
      <c r="AA57" s="5"/>
      <c r="AB57" s="349">
        <v>10</v>
      </c>
      <c r="AC57" s="338">
        <f t="shared" ref="AC57:AN57" si="30">IF(OR(ScriptSourceCode=1,ScriptSourceCode=3),AC120-AC92,0)</f>
        <v>0</v>
      </c>
      <c r="AD57" s="338">
        <f t="shared" si="30"/>
        <v>0</v>
      </c>
      <c r="AE57" s="338">
        <f t="shared" si="30"/>
        <v>0</v>
      </c>
      <c r="AF57" s="338">
        <f t="shared" si="30"/>
        <v>0</v>
      </c>
      <c r="AG57" s="338">
        <f t="shared" si="30"/>
        <v>0</v>
      </c>
      <c r="AH57" s="338">
        <f t="shared" si="30"/>
        <v>0</v>
      </c>
      <c r="AI57" s="338">
        <f t="shared" si="30"/>
        <v>0</v>
      </c>
      <c r="AJ57" s="338">
        <f t="shared" si="30"/>
        <v>0</v>
      </c>
      <c r="AK57" s="338">
        <f t="shared" si="30"/>
        <v>0</v>
      </c>
      <c r="AL57" s="338">
        <f t="shared" si="30"/>
        <v>0</v>
      </c>
      <c r="AM57" s="338">
        <f t="shared" si="30"/>
        <v>0</v>
      </c>
      <c r="AN57" s="338">
        <f t="shared" si="30"/>
        <v>0</v>
      </c>
    </row>
    <row r="58" spans="1:40" outlineLevel="1" x14ac:dyDescent="0.2">
      <c r="A58" s="171"/>
      <c r="B58" s="592"/>
      <c r="C58" s="592"/>
      <c r="D58" s="79">
        <v>11</v>
      </c>
      <c r="E58" s="412" t="str">
        <f t="shared" si="8"/>
        <v>** NOT USED **</v>
      </c>
      <c r="F58" s="47">
        <f t="shared" si="9"/>
        <v>0</v>
      </c>
      <c r="G58" s="47">
        <f t="shared" si="10"/>
        <v>0</v>
      </c>
      <c r="H58" s="47">
        <f t="shared" si="11"/>
        <v>0</v>
      </c>
      <c r="I58" s="47">
        <f t="shared" si="12"/>
        <v>0</v>
      </c>
      <c r="J58" s="47">
        <f t="shared" si="13"/>
        <v>0</v>
      </c>
      <c r="K58" s="47">
        <f t="shared" si="14"/>
        <v>0</v>
      </c>
      <c r="L58" s="171"/>
      <c r="M58" s="47">
        <f t="shared" si="15"/>
        <v>0</v>
      </c>
      <c r="N58" s="47">
        <f t="shared" si="16"/>
        <v>0</v>
      </c>
      <c r="O58" s="47">
        <f t="shared" si="17"/>
        <v>0</v>
      </c>
      <c r="P58" s="47">
        <f t="shared" si="18"/>
        <v>0</v>
      </c>
      <c r="Q58" s="47">
        <f t="shared" si="19"/>
        <v>0</v>
      </c>
      <c r="R58" s="47">
        <f t="shared" si="20"/>
        <v>0</v>
      </c>
      <c r="S58" s="171"/>
      <c r="T58" s="171"/>
      <c r="U58" s="171"/>
      <c r="V58" s="5"/>
      <c r="W58" s="5"/>
      <c r="X58" s="5"/>
      <c r="Y58" s="5"/>
      <c r="Z58" s="5"/>
      <c r="AA58" s="5"/>
      <c r="AB58" s="349">
        <v>11</v>
      </c>
      <c r="AC58" s="338">
        <f t="shared" ref="AC58:AN58" si="31">IF(OR(ScriptSourceCode=1,ScriptSourceCode=3),AC121-AC93,0)</f>
        <v>0</v>
      </c>
      <c r="AD58" s="338">
        <f t="shared" si="31"/>
        <v>0</v>
      </c>
      <c r="AE58" s="338">
        <f t="shared" si="31"/>
        <v>0</v>
      </c>
      <c r="AF58" s="338">
        <f t="shared" si="31"/>
        <v>0</v>
      </c>
      <c r="AG58" s="338">
        <f t="shared" si="31"/>
        <v>0</v>
      </c>
      <c r="AH58" s="338">
        <f t="shared" si="31"/>
        <v>0</v>
      </c>
      <c r="AI58" s="338">
        <f t="shared" si="31"/>
        <v>0</v>
      </c>
      <c r="AJ58" s="338">
        <f t="shared" si="31"/>
        <v>0</v>
      </c>
      <c r="AK58" s="338">
        <f t="shared" si="31"/>
        <v>0</v>
      </c>
      <c r="AL58" s="338">
        <f t="shared" si="31"/>
        <v>0</v>
      </c>
      <c r="AM58" s="338">
        <f t="shared" si="31"/>
        <v>0</v>
      </c>
      <c r="AN58" s="338">
        <f t="shared" si="31"/>
        <v>0</v>
      </c>
    </row>
    <row r="59" spans="1:40" outlineLevel="1" x14ac:dyDescent="0.2">
      <c r="A59" s="171"/>
      <c r="B59" s="592"/>
      <c r="C59" s="592"/>
      <c r="D59" s="79">
        <v>12</v>
      </c>
      <c r="E59" s="412" t="str">
        <f t="shared" si="8"/>
        <v>** NOT USED **</v>
      </c>
      <c r="F59" s="47">
        <f t="shared" si="9"/>
        <v>0</v>
      </c>
      <c r="G59" s="47">
        <f t="shared" si="10"/>
        <v>0</v>
      </c>
      <c r="H59" s="47">
        <f t="shared" si="11"/>
        <v>0</v>
      </c>
      <c r="I59" s="47">
        <f t="shared" si="12"/>
        <v>0</v>
      </c>
      <c r="J59" s="47">
        <f t="shared" si="13"/>
        <v>0</v>
      </c>
      <c r="K59" s="47">
        <f t="shared" si="14"/>
        <v>0</v>
      </c>
      <c r="L59" s="171"/>
      <c r="M59" s="47">
        <f t="shared" si="15"/>
        <v>0</v>
      </c>
      <c r="N59" s="47">
        <f t="shared" si="16"/>
        <v>0</v>
      </c>
      <c r="O59" s="47">
        <f t="shared" si="17"/>
        <v>0</v>
      </c>
      <c r="P59" s="47">
        <f t="shared" si="18"/>
        <v>0</v>
      </c>
      <c r="Q59" s="47">
        <f t="shared" si="19"/>
        <v>0</v>
      </c>
      <c r="R59" s="47">
        <f t="shared" si="20"/>
        <v>0</v>
      </c>
      <c r="S59" s="171"/>
      <c r="T59" s="171"/>
      <c r="U59" s="171"/>
      <c r="V59" s="5"/>
      <c r="W59" s="5"/>
      <c r="X59" s="5"/>
      <c r="Y59" s="5"/>
      <c r="Z59" s="5"/>
      <c r="AA59" s="5"/>
      <c r="AB59" s="349">
        <v>12</v>
      </c>
      <c r="AC59" s="338">
        <f t="shared" ref="AC59:AN59" si="32">IF(OR(ScriptSourceCode=1,ScriptSourceCode=3),AC122-AC94,0)</f>
        <v>0</v>
      </c>
      <c r="AD59" s="338">
        <f t="shared" si="32"/>
        <v>0</v>
      </c>
      <c r="AE59" s="338">
        <f t="shared" si="32"/>
        <v>0</v>
      </c>
      <c r="AF59" s="338">
        <f t="shared" si="32"/>
        <v>0</v>
      </c>
      <c r="AG59" s="338">
        <f t="shared" si="32"/>
        <v>0</v>
      </c>
      <c r="AH59" s="338">
        <f t="shared" si="32"/>
        <v>0</v>
      </c>
      <c r="AI59" s="338">
        <f t="shared" si="32"/>
        <v>0</v>
      </c>
      <c r="AJ59" s="338">
        <f t="shared" si="32"/>
        <v>0</v>
      </c>
      <c r="AK59" s="338">
        <f t="shared" si="32"/>
        <v>0</v>
      </c>
      <c r="AL59" s="338">
        <f t="shared" si="32"/>
        <v>0</v>
      </c>
      <c r="AM59" s="338">
        <f t="shared" si="32"/>
        <v>0</v>
      </c>
      <c r="AN59" s="338">
        <f t="shared" si="32"/>
        <v>0</v>
      </c>
    </row>
    <row r="60" spans="1:40" outlineLevel="1" x14ac:dyDescent="0.2">
      <c r="A60" s="171"/>
      <c r="B60" s="592"/>
      <c r="C60" s="592"/>
      <c r="D60" s="79">
        <v>13</v>
      </c>
      <c r="E60" s="412" t="str">
        <f t="shared" si="8"/>
        <v>** NOT USED **</v>
      </c>
      <c r="F60" s="47">
        <f t="shared" si="9"/>
        <v>0</v>
      </c>
      <c r="G60" s="47">
        <f t="shared" si="10"/>
        <v>0</v>
      </c>
      <c r="H60" s="47">
        <f t="shared" si="11"/>
        <v>0</v>
      </c>
      <c r="I60" s="47">
        <f t="shared" si="12"/>
        <v>0</v>
      </c>
      <c r="J60" s="47">
        <f t="shared" si="13"/>
        <v>0</v>
      </c>
      <c r="K60" s="47">
        <f t="shared" si="14"/>
        <v>0</v>
      </c>
      <c r="L60" s="171"/>
      <c r="M60" s="47">
        <f t="shared" si="15"/>
        <v>0</v>
      </c>
      <c r="N60" s="47">
        <f t="shared" si="16"/>
        <v>0</v>
      </c>
      <c r="O60" s="47">
        <f t="shared" si="17"/>
        <v>0</v>
      </c>
      <c r="P60" s="47">
        <f t="shared" si="18"/>
        <v>0</v>
      </c>
      <c r="Q60" s="47">
        <f t="shared" si="19"/>
        <v>0</v>
      </c>
      <c r="R60" s="47">
        <f t="shared" si="20"/>
        <v>0</v>
      </c>
      <c r="S60" s="171"/>
      <c r="T60" s="171"/>
      <c r="U60" s="171"/>
      <c r="V60" s="5"/>
      <c r="W60" s="5"/>
      <c r="X60" s="5"/>
      <c r="Y60" s="5"/>
      <c r="Z60" s="5"/>
      <c r="AA60" s="5"/>
      <c r="AB60" s="349">
        <v>13</v>
      </c>
      <c r="AC60" s="338">
        <f t="shared" ref="AC60:AN60" si="33">IF(OR(ScriptSourceCode=1,ScriptSourceCode=3),AC123-AC95,0)</f>
        <v>0</v>
      </c>
      <c r="AD60" s="338">
        <f t="shared" si="33"/>
        <v>0</v>
      </c>
      <c r="AE60" s="338">
        <f t="shared" si="33"/>
        <v>0</v>
      </c>
      <c r="AF60" s="338">
        <f t="shared" si="33"/>
        <v>0</v>
      </c>
      <c r="AG60" s="338">
        <f t="shared" si="33"/>
        <v>0</v>
      </c>
      <c r="AH60" s="338">
        <f t="shared" si="33"/>
        <v>0</v>
      </c>
      <c r="AI60" s="338">
        <f t="shared" si="33"/>
        <v>0</v>
      </c>
      <c r="AJ60" s="338">
        <f t="shared" si="33"/>
        <v>0</v>
      </c>
      <c r="AK60" s="338">
        <f t="shared" si="33"/>
        <v>0</v>
      </c>
      <c r="AL60" s="338">
        <f t="shared" si="33"/>
        <v>0</v>
      </c>
      <c r="AM60" s="338">
        <f t="shared" si="33"/>
        <v>0</v>
      </c>
      <c r="AN60" s="338">
        <f t="shared" si="33"/>
        <v>0</v>
      </c>
    </row>
    <row r="61" spans="1:40" outlineLevel="1" x14ac:dyDescent="0.2">
      <c r="A61" s="171"/>
      <c r="B61" s="592"/>
      <c r="C61" s="592"/>
      <c r="D61" s="79">
        <v>14</v>
      </c>
      <c r="E61" s="412" t="str">
        <f t="shared" si="8"/>
        <v>** NOT USED **</v>
      </c>
      <c r="F61" s="47">
        <f t="shared" si="9"/>
        <v>0</v>
      </c>
      <c r="G61" s="47">
        <f t="shared" si="10"/>
        <v>0</v>
      </c>
      <c r="H61" s="47">
        <f t="shared" si="11"/>
        <v>0</v>
      </c>
      <c r="I61" s="47">
        <f t="shared" si="12"/>
        <v>0</v>
      </c>
      <c r="J61" s="47">
        <f t="shared" si="13"/>
        <v>0</v>
      </c>
      <c r="K61" s="47">
        <f t="shared" si="14"/>
        <v>0</v>
      </c>
      <c r="L61" s="171"/>
      <c r="M61" s="47">
        <f t="shared" si="15"/>
        <v>0</v>
      </c>
      <c r="N61" s="47">
        <f t="shared" si="16"/>
        <v>0</v>
      </c>
      <c r="O61" s="47">
        <f t="shared" si="17"/>
        <v>0</v>
      </c>
      <c r="P61" s="47">
        <f t="shared" si="18"/>
        <v>0</v>
      </c>
      <c r="Q61" s="47">
        <f t="shared" si="19"/>
        <v>0</v>
      </c>
      <c r="R61" s="47">
        <f t="shared" si="20"/>
        <v>0</v>
      </c>
      <c r="S61" s="171"/>
      <c r="T61" s="171"/>
      <c r="U61" s="171"/>
      <c r="V61" s="5"/>
      <c r="W61" s="5"/>
      <c r="X61" s="5"/>
      <c r="Y61" s="5"/>
      <c r="Z61" s="5"/>
      <c r="AA61" s="5"/>
      <c r="AB61" s="349">
        <v>14</v>
      </c>
      <c r="AC61" s="338">
        <f t="shared" ref="AC61:AN61" si="34">IF(OR(ScriptSourceCode=1,ScriptSourceCode=3),AC124-AC96,0)</f>
        <v>0</v>
      </c>
      <c r="AD61" s="338">
        <f t="shared" si="34"/>
        <v>0</v>
      </c>
      <c r="AE61" s="338">
        <f t="shared" si="34"/>
        <v>0</v>
      </c>
      <c r="AF61" s="338">
        <f t="shared" si="34"/>
        <v>0</v>
      </c>
      <c r="AG61" s="338">
        <f t="shared" si="34"/>
        <v>0</v>
      </c>
      <c r="AH61" s="338">
        <f t="shared" si="34"/>
        <v>0</v>
      </c>
      <c r="AI61" s="338">
        <f t="shared" si="34"/>
        <v>0</v>
      </c>
      <c r="AJ61" s="338">
        <f t="shared" si="34"/>
        <v>0</v>
      </c>
      <c r="AK61" s="338">
        <f t="shared" si="34"/>
        <v>0</v>
      </c>
      <c r="AL61" s="338">
        <f t="shared" si="34"/>
        <v>0</v>
      </c>
      <c r="AM61" s="338">
        <f t="shared" si="34"/>
        <v>0</v>
      </c>
      <c r="AN61" s="338">
        <f t="shared" si="34"/>
        <v>0</v>
      </c>
    </row>
    <row r="62" spans="1:40" outlineLevel="1" x14ac:dyDescent="0.2">
      <c r="A62" s="171"/>
      <c r="B62" s="592"/>
      <c r="C62" s="592"/>
      <c r="D62" s="79">
        <v>15</v>
      </c>
      <c r="E62" s="412" t="str">
        <f t="shared" si="8"/>
        <v>** NOT USED **</v>
      </c>
      <c r="F62" s="47">
        <f t="shared" si="9"/>
        <v>0</v>
      </c>
      <c r="G62" s="47">
        <f t="shared" si="10"/>
        <v>0</v>
      </c>
      <c r="H62" s="47">
        <f t="shared" si="11"/>
        <v>0</v>
      </c>
      <c r="I62" s="47">
        <f t="shared" si="12"/>
        <v>0</v>
      </c>
      <c r="J62" s="47">
        <f t="shared" si="13"/>
        <v>0</v>
      </c>
      <c r="K62" s="47">
        <f t="shared" si="14"/>
        <v>0</v>
      </c>
      <c r="L62" s="171"/>
      <c r="M62" s="47">
        <f t="shared" si="15"/>
        <v>0</v>
      </c>
      <c r="N62" s="47">
        <f t="shared" si="16"/>
        <v>0</v>
      </c>
      <c r="O62" s="47">
        <f t="shared" si="17"/>
        <v>0</v>
      </c>
      <c r="P62" s="47">
        <f t="shared" si="18"/>
        <v>0</v>
      </c>
      <c r="Q62" s="47">
        <f t="shared" si="19"/>
        <v>0</v>
      </c>
      <c r="R62" s="47">
        <f t="shared" si="20"/>
        <v>0</v>
      </c>
      <c r="S62" s="171"/>
      <c r="T62" s="171"/>
      <c r="U62" s="171"/>
      <c r="V62" s="5"/>
      <c r="W62" s="5"/>
      <c r="X62" s="5"/>
      <c r="Y62" s="5"/>
      <c r="Z62" s="5"/>
      <c r="AA62" s="5"/>
      <c r="AB62" s="349">
        <v>15</v>
      </c>
      <c r="AC62" s="338">
        <f t="shared" ref="AC62:AN62" si="35">IF(OR(ScriptSourceCode=1,ScriptSourceCode=3),AC125-AC97,0)</f>
        <v>0</v>
      </c>
      <c r="AD62" s="338">
        <f t="shared" si="35"/>
        <v>0</v>
      </c>
      <c r="AE62" s="338">
        <f t="shared" si="35"/>
        <v>0</v>
      </c>
      <c r="AF62" s="338">
        <f t="shared" si="35"/>
        <v>0</v>
      </c>
      <c r="AG62" s="338">
        <f t="shared" si="35"/>
        <v>0</v>
      </c>
      <c r="AH62" s="338">
        <f t="shared" si="35"/>
        <v>0</v>
      </c>
      <c r="AI62" s="338">
        <f t="shared" si="35"/>
        <v>0</v>
      </c>
      <c r="AJ62" s="338">
        <f t="shared" si="35"/>
        <v>0</v>
      </c>
      <c r="AK62" s="338">
        <f t="shared" si="35"/>
        <v>0</v>
      </c>
      <c r="AL62" s="338">
        <f t="shared" si="35"/>
        <v>0</v>
      </c>
      <c r="AM62" s="338">
        <f t="shared" si="35"/>
        <v>0</v>
      </c>
      <c r="AN62" s="338">
        <f t="shared" si="35"/>
        <v>0</v>
      </c>
    </row>
    <row r="63" spans="1:40" outlineLevel="1" x14ac:dyDescent="0.2">
      <c r="A63" s="171"/>
      <c r="B63" s="592"/>
      <c r="C63" s="592"/>
      <c r="D63" s="79">
        <v>16</v>
      </c>
      <c r="E63" s="412" t="str">
        <f t="shared" si="8"/>
        <v>** NOT USED **</v>
      </c>
      <c r="F63" s="47">
        <f t="shared" si="9"/>
        <v>0</v>
      </c>
      <c r="G63" s="47">
        <f t="shared" si="10"/>
        <v>0</v>
      </c>
      <c r="H63" s="47">
        <f t="shared" si="11"/>
        <v>0</v>
      </c>
      <c r="I63" s="47">
        <f t="shared" si="12"/>
        <v>0</v>
      </c>
      <c r="J63" s="47">
        <f t="shared" si="13"/>
        <v>0</v>
      </c>
      <c r="K63" s="47">
        <f t="shared" si="14"/>
        <v>0</v>
      </c>
      <c r="L63" s="171"/>
      <c r="M63" s="47">
        <f t="shared" si="15"/>
        <v>0</v>
      </c>
      <c r="N63" s="47">
        <f t="shared" si="16"/>
        <v>0</v>
      </c>
      <c r="O63" s="47">
        <f t="shared" si="17"/>
        <v>0</v>
      </c>
      <c r="P63" s="47">
        <f t="shared" si="18"/>
        <v>0</v>
      </c>
      <c r="Q63" s="47">
        <f t="shared" si="19"/>
        <v>0</v>
      </c>
      <c r="R63" s="47">
        <f t="shared" si="20"/>
        <v>0</v>
      </c>
      <c r="S63" s="171"/>
      <c r="T63" s="171"/>
      <c r="U63" s="171"/>
      <c r="V63" s="5"/>
      <c r="W63" s="5"/>
      <c r="X63" s="5"/>
      <c r="Y63" s="5"/>
      <c r="Z63" s="5"/>
      <c r="AA63" s="5"/>
      <c r="AB63" s="349">
        <v>16</v>
      </c>
      <c r="AC63" s="338">
        <f t="shared" ref="AC63:AN63" si="36">IF(OR(ScriptSourceCode=1,ScriptSourceCode=3),AC126-AC98,0)</f>
        <v>0</v>
      </c>
      <c r="AD63" s="338">
        <f t="shared" si="36"/>
        <v>0</v>
      </c>
      <c r="AE63" s="338">
        <f t="shared" si="36"/>
        <v>0</v>
      </c>
      <c r="AF63" s="338">
        <f t="shared" si="36"/>
        <v>0</v>
      </c>
      <c r="AG63" s="338">
        <f t="shared" si="36"/>
        <v>0</v>
      </c>
      <c r="AH63" s="338">
        <f t="shared" si="36"/>
        <v>0</v>
      </c>
      <c r="AI63" s="338">
        <f t="shared" si="36"/>
        <v>0</v>
      </c>
      <c r="AJ63" s="338">
        <f t="shared" si="36"/>
        <v>0</v>
      </c>
      <c r="AK63" s="338">
        <f t="shared" si="36"/>
        <v>0</v>
      </c>
      <c r="AL63" s="338">
        <f t="shared" si="36"/>
        <v>0</v>
      </c>
      <c r="AM63" s="338">
        <f t="shared" si="36"/>
        <v>0</v>
      </c>
      <c r="AN63" s="338">
        <f t="shared" si="36"/>
        <v>0</v>
      </c>
    </row>
    <row r="64" spans="1:40" outlineLevel="1" x14ac:dyDescent="0.2">
      <c r="A64" s="171"/>
      <c r="B64" s="592"/>
      <c r="C64" s="592"/>
      <c r="D64" s="79">
        <v>17</v>
      </c>
      <c r="E64" s="412" t="str">
        <f t="shared" si="8"/>
        <v>** NOT USED **</v>
      </c>
      <c r="F64" s="47">
        <f t="shared" si="9"/>
        <v>0</v>
      </c>
      <c r="G64" s="47">
        <f t="shared" si="10"/>
        <v>0</v>
      </c>
      <c r="H64" s="47">
        <f t="shared" si="11"/>
        <v>0</v>
      </c>
      <c r="I64" s="47">
        <f t="shared" si="12"/>
        <v>0</v>
      </c>
      <c r="J64" s="47">
        <f t="shared" si="13"/>
        <v>0</v>
      </c>
      <c r="K64" s="47">
        <f t="shared" si="14"/>
        <v>0</v>
      </c>
      <c r="L64" s="171"/>
      <c r="M64" s="47">
        <f t="shared" si="15"/>
        <v>0</v>
      </c>
      <c r="N64" s="47">
        <f t="shared" si="16"/>
        <v>0</v>
      </c>
      <c r="O64" s="47">
        <f t="shared" si="17"/>
        <v>0</v>
      </c>
      <c r="P64" s="47">
        <f t="shared" si="18"/>
        <v>0</v>
      </c>
      <c r="Q64" s="47">
        <f t="shared" si="19"/>
        <v>0</v>
      </c>
      <c r="R64" s="47">
        <f t="shared" si="20"/>
        <v>0</v>
      </c>
      <c r="S64" s="171"/>
      <c r="T64" s="171"/>
      <c r="U64" s="171"/>
      <c r="V64" s="5"/>
      <c r="W64" s="5"/>
      <c r="X64" s="5"/>
      <c r="Y64" s="5"/>
      <c r="Z64" s="5"/>
      <c r="AA64" s="5"/>
      <c r="AB64" s="349">
        <v>17</v>
      </c>
      <c r="AC64" s="338">
        <f t="shared" ref="AC64:AN64" si="37">IF(OR(ScriptSourceCode=1,ScriptSourceCode=3),AC127-AC99,0)</f>
        <v>0</v>
      </c>
      <c r="AD64" s="338">
        <f t="shared" si="37"/>
        <v>0</v>
      </c>
      <c r="AE64" s="338">
        <f t="shared" si="37"/>
        <v>0</v>
      </c>
      <c r="AF64" s="338">
        <f t="shared" si="37"/>
        <v>0</v>
      </c>
      <c r="AG64" s="338">
        <f t="shared" si="37"/>
        <v>0</v>
      </c>
      <c r="AH64" s="338">
        <f t="shared" si="37"/>
        <v>0</v>
      </c>
      <c r="AI64" s="338">
        <f t="shared" si="37"/>
        <v>0</v>
      </c>
      <c r="AJ64" s="338">
        <f t="shared" si="37"/>
        <v>0</v>
      </c>
      <c r="AK64" s="338">
        <f t="shared" si="37"/>
        <v>0</v>
      </c>
      <c r="AL64" s="338">
        <f t="shared" si="37"/>
        <v>0</v>
      </c>
      <c r="AM64" s="338">
        <f t="shared" si="37"/>
        <v>0</v>
      </c>
      <c r="AN64" s="338">
        <f t="shared" si="37"/>
        <v>0</v>
      </c>
    </row>
    <row r="65" spans="1:40" outlineLevel="1" x14ac:dyDescent="0.2">
      <c r="A65" s="171"/>
      <c r="B65" s="592"/>
      <c r="C65" s="592"/>
      <c r="D65" s="79">
        <v>18</v>
      </c>
      <c r="E65" s="412" t="str">
        <f t="shared" si="8"/>
        <v>** NOT USED **</v>
      </c>
      <c r="F65" s="47">
        <f t="shared" si="9"/>
        <v>0</v>
      </c>
      <c r="G65" s="47">
        <f t="shared" si="10"/>
        <v>0</v>
      </c>
      <c r="H65" s="47">
        <f t="shared" si="11"/>
        <v>0</v>
      </c>
      <c r="I65" s="47">
        <f t="shared" si="12"/>
        <v>0</v>
      </c>
      <c r="J65" s="47">
        <f t="shared" si="13"/>
        <v>0</v>
      </c>
      <c r="K65" s="47">
        <f t="shared" si="14"/>
        <v>0</v>
      </c>
      <c r="L65" s="171"/>
      <c r="M65" s="47">
        <f t="shared" si="15"/>
        <v>0</v>
      </c>
      <c r="N65" s="47">
        <f t="shared" si="16"/>
        <v>0</v>
      </c>
      <c r="O65" s="47">
        <f t="shared" si="17"/>
        <v>0</v>
      </c>
      <c r="P65" s="47">
        <f t="shared" si="18"/>
        <v>0</v>
      </c>
      <c r="Q65" s="47">
        <f t="shared" si="19"/>
        <v>0</v>
      </c>
      <c r="R65" s="47">
        <f t="shared" si="20"/>
        <v>0</v>
      </c>
      <c r="S65" s="171"/>
      <c r="T65" s="171"/>
      <c r="U65" s="171"/>
      <c r="V65" s="5"/>
      <c r="W65" s="5"/>
      <c r="X65" s="5"/>
      <c r="Y65" s="5"/>
      <c r="Z65" s="5"/>
      <c r="AA65" s="5"/>
      <c r="AB65" s="349">
        <v>18</v>
      </c>
      <c r="AC65" s="338">
        <f t="shared" ref="AC65:AN65" si="38">IF(OR(ScriptSourceCode=1,ScriptSourceCode=3),AC128-AC100,0)</f>
        <v>0</v>
      </c>
      <c r="AD65" s="338">
        <f t="shared" si="38"/>
        <v>0</v>
      </c>
      <c r="AE65" s="338">
        <f t="shared" si="38"/>
        <v>0</v>
      </c>
      <c r="AF65" s="338">
        <f t="shared" si="38"/>
        <v>0</v>
      </c>
      <c r="AG65" s="338">
        <f t="shared" si="38"/>
        <v>0</v>
      </c>
      <c r="AH65" s="338">
        <f t="shared" si="38"/>
        <v>0</v>
      </c>
      <c r="AI65" s="338">
        <f t="shared" si="38"/>
        <v>0</v>
      </c>
      <c r="AJ65" s="338">
        <f t="shared" si="38"/>
        <v>0</v>
      </c>
      <c r="AK65" s="338">
        <f t="shared" si="38"/>
        <v>0</v>
      </c>
      <c r="AL65" s="338">
        <f t="shared" si="38"/>
        <v>0</v>
      </c>
      <c r="AM65" s="338">
        <f t="shared" si="38"/>
        <v>0</v>
      </c>
      <c r="AN65" s="338">
        <f t="shared" si="38"/>
        <v>0</v>
      </c>
    </row>
    <row r="66" spans="1:40" outlineLevel="1" x14ac:dyDescent="0.2">
      <c r="A66" s="171"/>
      <c r="B66" s="592"/>
      <c r="C66" s="592"/>
      <c r="D66" s="79">
        <v>19</v>
      </c>
      <c r="E66" s="412" t="str">
        <f t="shared" si="8"/>
        <v>** NOT USED **</v>
      </c>
      <c r="F66" s="47">
        <f t="shared" si="9"/>
        <v>0</v>
      </c>
      <c r="G66" s="47">
        <f t="shared" si="10"/>
        <v>0</v>
      </c>
      <c r="H66" s="47">
        <f t="shared" si="11"/>
        <v>0</v>
      </c>
      <c r="I66" s="47">
        <f t="shared" si="12"/>
        <v>0</v>
      </c>
      <c r="J66" s="47">
        <f t="shared" si="13"/>
        <v>0</v>
      </c>
      <c r="K66" s="47">
        <f t="shared" si="14"/>
        <v>0</v>
      </c>
      <c r="L66" s="171"/>
      <c r="M66" s="47">
        <f t="shared" si="15"/>
        <v>0</v>
      </c>
      <c r="N66" s="47">
        <f t="shared" si="16"/>
        <v>0</v>
      </c>
      <c r="O66" s="47">
        <f t="shared" si="17"/>
        <v>0</v>
      </c>
      <c r="P66" s="47">
        <f t="shared" si="18"/>
        <v>0</v>
      </c>
      <c r="Q66" s="47">
        <f t="shared" si="19"/>
        <v>0</v>
      </c>
      <c r="R66" s="47">
        <f t="shared" si="20"/>
        <v>0</v>
      </c>
      <c r="S66" s="171"/>
      <c r="T66" s="171"/>
      <c r="U66" s="171"/>
      <c r="V66" s="5"/>
      <c r="W66" s="5"/>
      <c r="X66" s="5"/>
      <c r="Y66" s="5"/>
      <c r="Z66" s="5"/>
      <c r="AA66" s="5"/>
      <c r="AB66" s="349">
        <v>19</v>
      </c>
      <c r="AC66" s="338">
        <f t="shared" ref="AC66:AN66" si="39">IF(OR(ScriptSourceCode=1,ScriptSourceCode=3),AC129-AC101,0)</f>
        <v>0</v>
      </c>
      <c r="AD66" s="338">
        <f t="shared" si="39"/>
        <v>0</v>
      </c>
      <c r="AE66" s="338">
        <f t="shared" si="39"/>
        <v>0</v>
      </c>
      <c r="AF66" s="338">
        <f t="shared" si="39"/>
        <v>0</v>
      </c>
      <c r="AG66" s="338">
        <f t="shared" si="39"/>
        <v>0</v>
      </c>
      <c r="AH66" s="338">
        <f t="shared" si="39"/>
        <v>0</v>
      </c>
      <c r="AI66" s="338">
        <f t="shared" si="39"/>
        <v>0</v>
      </c>
      <c r="AJ66" s="338">
        <f t="shared" si="39"/>
        <v>0</v>
      </c>
      <c r="AK66" s="338">
        <f t="shared" si="39"/>
        <v>0</v>
      </c>
      <c r="AL66" s="338">
        <f t="shared" si="39"/>
        <v>0</v>
      </c>
      <c r="AM66" s="338">
        <f t="shared" si="39"/>
        <v>0</v>
      </c>
      <c r="AN66" s="338">
        <f t="shared" si="39"/>
        <v>0</v>
      </c>
    </row>
    <row r="67" spans="1:40" outlineLevel="1" x14ac:dyDescent="0.2">
      <c r="A67" s="171"/>
      <c r="B67" s="592"/>
      <c r="C67" s="592"/>
      <c r="D67" s="79">
        <v>20</v>
      </c>
      <c r="E67" s="412" t="str">
        <f t="shared" si="8"/>
        <v>** NOT USED **</v>
      </c>
      <c r="F67" s="47">
        <f t="shared" si="9"/>
        <v>0</v>
      </c>
      <c r="G67" s="47">
        <f t="shared" si="10"/>
        <v>0</v>
      </c>
      <c r="H67" s="47">
        <f t="shared" si="11"/>
        <v>0</v>
      </c>
      <c r="I67" s="47">
        <f t="shared" si="12"/>
        <v>0</v>
      </c>
      <c r="J67" s="47">
        <f t="shared" si="13"/>
        <v>0</v>
      </c>
      <c r="K67" s="47">
        <f t="shared" si="14"/>
        <v>0</v>
      </c>
      <c r="L67" s="171"/>
      <c r="M67" s="47">
        <f t="shared" si="15"/>
        <v>0</v>
      </c>
      <c r="N67" s="47">
        <f t="shared" si="16"/>
        <v>0</v>
      </c>
      <c r="O67" s="47">
        <f t="shared" si="17"/>
        <v>0</v>
      </c>
      <c r="P67" s="47">
        <f t="shared" si="18"/>
        <v>0</v>
      </c>
      <c r="Q67" s="47">
        <f t="shared" si="19"/>
        <v>0</v>
      </c>
      <c r="R67" s="47">
        <f t="shared" si="20"/>
        <v>0</v>
      </c>
      <c r="S67" s="171"/>
      <c r="T67" s="171"/>
      <c r="U67" s="171"/>
      <c r="V67" s="5"/>
      <c r="W67" s="5"/>
      <c r="X67" s="5"/>
      <c r="Y67" s="5"/>
      <c r="Z67" s="5"/>
      <c r="AA67" s="5"/>
      <c r="AB67" s="349">
        <v>20</v>
      </c>
      <c r="AC67" s="338">
        <f t="shared" ref="AC67:AN67" si="40">IF(OR(ScriptSourceCode=1,ScriptSourceCode=3),AC130-AC102,0)</f>
        <v>0</v>
      </c>
      <c r="AD67" s="338">
        <f t="shared" si="40"/>
        <v>0</v>
      </c>
      <c r="AE67" s="338">
        <f t="shared" si="40"/>
        <v>0</v>
      </c>
      <c r="AF67" s="338">
        <f t="shared" si="40"/>
        <v>0</v>
      </c>
      <c r="AG67" s="338">
        <f t="shared" si="40"/>
        <v>0</v>
      </c>
      <c r="AH67" s="338">
        <f t="shared" si="40"/>
        <v>0</v>
      </c>
      <c r="AI67" s="338">
        <f t="shared" si="40"/>
        <v>0</v>
      </c>
      <c r="AJ67" s="338">
        <f t="shared" si="40"/>
        <v>0</v>
      </c>
      <c r="AK67" s="338">
        <f t="shared" si="40"/>
        <v>0</v>
      </c>
      <c r="AL67" s="338">
        <f t="shared" si="40"/>
        <v>0</v>
      </c>
      <c r="AM67" s="338">
        <f t="shared" si="40"/>
        <v>0</v>
      </c>
      <c r="AN67" s="338">
        <f t="shared" si="40"/>
        <v>0</v>
      </c>
    </row>
    <row r="68" spans="1:40" outlineLevel="1" x14ac:dyDescent="0.2">
      <c r="A68" s="171"/>
      <c r="B68" s="592"/>
      <c r="C68" s="592"/>
      <c r="D68" s="171"/>
      <c r="E68" s="85" t="s">
        <v>255</v>
      </c>
      <c r="F68" s="50">
        <f>SUM(F48:F67)</f>
        <v>0</v>
      </c>
      <c r="G68" s="50">
        <f t="shared" ref="G68:K68" si="41">SUM(G48:G67)</f>
        <v>0</v>
      </c>
      <c r="H68" s="50">
        <f t="shared" si="41"/>
        <v>0</v>
      </c>
      <c r="I68" s="50">
        <f t="shared" si="41"/>
        <v>0</v>
      </c>
      <c r="J68" s="50">
        <f t="shared" si="41"/>
        <v>0</v>
      </c>
      <c r="K68" s="50">
        <f t="shared" si="41"/>
        <v>0</v>
      </c>
      <c r="L68" s="171"/>
      <c r="M68" s="50">
        <f>SUM(M48:M67)</f>
        <v>0</v>
      </c>
      <c r="N68" s="50">
        <f t="shared" ref="N68:R68" si="42">SUM(N48:N67)</f>
        <v>0</v>
      </c>
      <c r="O68" s="50">
        <f t="shared" si="42"/>
        <v>0</v>
      </c>
      <c r="P68" s="50">
        <f t="shared" si="42"/>
        <v>0</v>
      </c>
      <c r="Q68" s="50">
        <f t="shared" si="42"/>
        <v>0</v>
      </c>
      <c r="R68" s="50">
        <f t="shared" si="42"/>
        <v>0</v>
      </c>
      <c r="S68" s="171"/>
      <c r="T68" s="171"/>
      <c r="U68" s="171"/>
      <c r="V68" s="5"/>
      <c r="W68" s="5"/>
      <c r="X68" s="5"/>
      <c r="Y68" s="5"/>
      <c r="Z68" s="5"/>
      <c r="AA68" s="5"/>
    </row>
    <row r="69" spans="1:40" outlineLevel="1" x14ac:dyDescent="0.2">
      <c r="A69" s="171"/>
      <c r="B69" s="592"/>
      <c r="C69" s="592"/>
      <c r="D69" s="171"/>
      <c r="E69" s="7"/>
      <c r="F69" s="17"/>
      <c r="G69" s="17"/>
      <c r="H69" s="17"/>
      <c r="I69" s="17"/>
      <c r="J69" s="17"/>
      <c r="K69" s="17"/>
      <c r="L69" s="171"/>
      <c r="M69" s="171"/>
      <c r="N69" s="171"/>
      <c r="O69" s="171"/>
      <c r="P69" s="171"/>
      <c r="Q69" s="171"/>
      <c r="R69" s="171"/>
      <c r="S69" s="171"/>
      <c r="T69" s="171"/>
      <c r="U69" s="171"/>
      <c r="V69" s="5"/>
      <c r="W69" s="5"/>
      <c r="X69" s="5"/>
      <c r="Y69" s="5"/>
      <c r="Z69" s="5"/>
      <c r="AA69" s="5"/>
      <c r="AB69" s="5"/>
    </row>
    <row r="70" spans="1:40" x14ac:dyDescent="0.2">
      <c r="A70" s="171"/>
      <c r="B70" s="592"/>
      <c r="C70" s="592"/>
      <c r="D70" s="171"/>
      <c r="E70" s="7"/>
      <c r="F70" s="17"/>
      <c r="G70" s="17"/>
      <c r="H70" s="17"/>
      <c r="I70" s="17"/>
      <c r="J70" s="17"/>
      <c r="K70" s="17"/>
      <c r="L70" s="171"/>
      <c r="M70" s="171"/>
      <c r="N70" s="171"/>
      <c r="O70" s="171"/>
      <c r="P70" s="171"/>
      <c r="Q70" s="171"/>
      <c r="R70" s="171"/>
      <c r="S70" s="171"/>
      <c r="T70" s="171"/>
      <c r="U70" s="171"/>
      <c r="V70" s="5"/>
      <c r="W70" s="5"/>
      <c r="X70" s="5"/>
      <c r="Y70" s="5"/>
      <c r="Z70" s="5"/>
      <c r="AA70" s="5"/>
    </row>
    <row r="71" spans="1:40" ht="15.75" x14ac:dyDescent="0.2">
      <c r="A71" s="187"/>
      <c r="B71" s="187"/>
      <c r="C71" s="187"/>
      <c r="D71" s="187"/>
      <c r="E71" s="174" t="s">
        <v>1001</v>
      </c>
      <c r="F71" s="228"/>
      <c r="G71" s="175"/>
      <c r="H71" s="175"/>
      <c r="I71" s="175"/>
      <c r="J71" s="771" t="str">
        <f>IF(AND(ScriptSourceCode&lt;&gt;2,ScriptSourceCode&lt;&gt;3),MsgNotRequired,"")</f>
        <v>** NOT REQUIRED **</v>
      </c>
      <c r="K71" s="772"/>
      <c r="L71" s="175"/>
      <c r="M71" s="175"/>
      <c r="N71" s="175"/>
      <c r="O71" s="175"/>
      <c r="P71" s="175"/>
      <c r="Q71" s="771"/>
      <c r="R71" s="772"/>
      <c r="S71" s="175"/>
      <c r="T71" s="175"/>
      <c r="U71" s="175"/>
      <c r="V71" s="41"/>
      <c r="W71" s="5"/>
      <c r="X71" s="5"/>
      <c r="Y71" s="5"/>
      <c r="Z71" s="5"/>
      <c r="AA71" s="5"/>
    </row>
    <row r="72" spans="1:40" outlineLevel="1" x14ac:dyDescent="0.2">
      <c r="A72" s="171"/>
      <c r="B72" s="592"/>
      <c r="C72" s="592"/>
      <c r="D72" s="171"/>
      <c r="E72" s="7"/>
      <c r="F72" s="17"/>
      <c r="G72" s="17"/>
      <c r="H72" s="17"/>
      <c r="I72" s="17"/>
      <c r="J72" s="17"/>
      <c r="K72" s="17"/>
      <c r="L72" s="171"/>
      <c r="M72" s="171"/>
      <c r="N72" s="171"/>
      <c r="O72" s="171"/>
      <c r="P72" s="171"/>
      <c r="Q72" s="171"/>
      <c r="R72" s="171"/>
      <c r="S72" s="171"/>
      <c r="T72" s="171"/>
      <c r="U72" s="171"/>
      <c r="V72" s="5"/>
      <c r="W72" s="5"/>
      <c r="X72" s="5"/>
      <c r="Y72" s="5"/>
      <c r="Z72" s="5"/>
      <c r="AA72" s="5"/>
    </row>
    <row r="73" spans="1:40" outlineLevel="1" x14ac:dyDescent="0.2">
      <c r="A73" s="171"/>
      <c r="B73" s="592"/>
      <c r="C73" s="592"/>
      <c r="D73" s="171"/>
      <c r="E73" s="211" t="s">
        <v>1011</v>
      </c>
      <c r="F73" s="17"/>
      <c r="G73" s="17"/>
      <c r="H73" s="17"/>
      <c r="I73" s="17"/>
      <c r="J73" s="17"/>
      <c r="K73" s="17"/>
      <c r="L73" s="171"/>
      <c r="M73" s="171"/>
      <c r="N73" s="171"/>
      <c r="O73" s="171"/>
      <c r="P73" s="171"/>
      <c r="Q73" s="171"/>
      <c r="R73" s="171"/>
      <c r="S73" s="171"/>
      <c r="T73" s="171"/>
      <c r="U73" s="171"/>
      <c r="V73" s="5"/>
      <c r="W73" s="5"/>
      <c r="X73" s="5"/>
      <c r="Y73" s="5"/>
      <c r="Z73" s="5"/>
      <c r="AA73" s="5"/>
    </row>
    <row r="74" spans="1:40" outlineLevel="1" x14ac:dyDescent="0.2">
      <c r="A74" s="171"/>
      <c r="B74" s="592"/>
      <c r="C74" s="592"/>
      <c r="D74" s="171"/>
      <c r="E74" s="7"/>
      <c r="F74" s="17"/>
      <c r="G74" s="17"/>
      <c r="H74" s="17"/>
      <c r="I74" s="17"/>
      <c r="J74" s="17"/>
      <c r="K74" s="17"/>
      <c r="L74" s="171"/>
      <c r="M74" s="171"/>
      <c r="N74" s="171"/>
      <c r="O74" s="171"/>
      <c r="P74" s="171"/>
      <c r="Q74" s="171"/>
      <c r="R74" s="171"/>
      <c r="S74" s="171"/>
      <c r="T74" s="171"/>
      <c r="U74" s="171"/>
      <c r="V74" s="5"/>
      <c r="W74" s="5"/>
      <c r="X74" s="5"/>
      <c r="Y74" s="5"/>
      <c r="Z74" s="5"/>
      <c r="AA74" s="5"/>
    </row>
    <row r="75" spans="1:40" ht="15" outlineLevel="1" x14ac:dyDescent="0.2">
      <c r="A75" s="171"/>
      <c r="B75" s="592"/>
      <c r="C75" s="592"/>
      <c r="D75" s="171"/>
      <c r="E75" s="7"/>
      <c r="F75" s="825" t="s">
        <v>260</v>
      </c>
      <c r="G75" s="826"/>
      <c r="H75" s="826"/>
      <c r="I75" s="826"/>
      <c r="J75" s="826"/>
      <c r="K75" s="827"/>
      <c r="L75" s="171"/>
      <c r="M75" s="825" t="s">
        <v>261</v>
      </c>
      <c r="N75" s="826"/>
      <c r="O75" s="826"/>
      <c r="P75" s="826"/>
      <c r="Q75" s="826"/>
      <c r="R75" s="827"/>
      <c r="S75" s="171"/>
      <c r="T75" s="171"/>
      <c r="U75" s="171"/>
      <c r="V75" s="5"/>
      <c r="W75" s="5"/>
      <c r="X75" s="5"/>
      <c r="Y75" s="5"/>
      <c r="Z75" s="5"/>
      <c r="AA75" s="5"/>
    </row>
    <row r="76" spans="1:40" s="575" customFormat="1" outlineLevel="1" x14ac:dyDescent="0.2">
      <c r="A76" s="572"/>
      <c r="B76" s="572"/>
      <c r="C76" s="572"/>
      <c r="D76" s="572"/>
      <c r="E76" s="639"/>
      <c r="F76" s="629">
        <f>FirstYear</f>
        <v>0</v>
      </c>
      <c r="G76" s="629">
        <f>F76+1</f>
        <v>1</v>
      </c>
      <c r="H76" s="629">
        <f>G76+1</f>
        <v>2</v>
      </c>
      <c r="I76" s="629">
        <f>H76+1</f>
        <v>3</v>
      </c>
      <c r="J76" s="629">
        <f>I76+1</f>
        <v>4</v>
      </c>
      <c r="K76" s="629">
        <f>J76+1</f>
        <v>5</v>
      </c>
      <c r="L76" s="572"/>
      <c r="M76" s="629">
        <f>FirstYear</f>
        <v>0</v>
      </c>
      <c r="N76" s="629">
        <f>M76+1</f>
        <v>1</v>
      </c>
      <c r="O76" s="629">
        <f>N76+1</f>
        <v>2</v>
      </c>
      <c r="P76" s="629">
        <f>O76+1</f>
        <v>3</v>
      </c>
      <c r="Q76" s="629">
        <f>P76+1</f>
        <v>4</v>
      </c>
      <c r="R76" s="629">
        <f>Q76+1</f>
        <v>5</v>
      </c>
      <c r="S76" s="572"/>
      <c r="T76" s="572"/>
      <c r="U76" s="572"/>
      <c r="V76" s="630" t="s">
        <v>326</v>
      </c>
      <c r="W76" s="571"/>
      <c r="X76" s="571"/>
      <c r="Y76" s="571"/>
      <c r="Z76" s="571"/>
      <c r="AA76" s="571"/>
    </row>
    <row r="77" spans="1:40" s="575" customFormat="1" outlineLevel="1" x14ac:dyDescent="0.2">
      <c r="A77" s="572"/>
      <c r="B77" s="572"/>
      <c r="C77" s="572"/>
      <c r="D77" s="572"/>
      <c r="E77" s="80" t="str">
        <f>TxPhase1RxTotal</f>
        <v/>
      </c>
      <c r="F77" s="607">
        <f>IF(OR(ScriptSourceCode=2,ScriptSourceCode=3),-'2d. Scripts - market'!D36,0)</f>
        <v>0</v>
      </c>
      <c r="G77" s="607">
        <f>IF(OR(ScriptSourceCode=2,ScriptSourceCode=3),-'2d. Scripts - market'!E36,0)</f>
        <v>0</v>
      </c>
      <c r="H77" s="607">
        <f>IF(OR(ScriptSourceCode=2,ScriptSourceCode=3),-'2d. Scripts - market'!F36,0)</f>
        <v>0</v>
      </c>
      <c r="I77" s="607">
        <f>IF(OR(ScriptSourceCode=2,ScriptSourceCode=3),-'2d. Scripts - market'!G36,0)</f>
        <v>0</v>
      </c>
      <c r="J77" s="607">
        <f>IF(OR(ScriptSourceCode=2,ScriptSourceCode=3),-'2d. Scripts - market'!H36,0)</f>
        <v>0</v>
      </c>
      <c r="K77" s="607">
        <f>IF(OR(ScriptSourceCode=2,ScriptSourceCode=3),-'2d. Scripts - market'!I36,0)</f>
        <v>0</v>
      </c>
      <c r="L77" s="572"/>
      <c r="M77" s="607">
        <f>IF(OR(ScriptSourceCode=2,ScriptSourceCode=3),-'2d. Scripts - market'!K36,0)</f>
        <v>0</v>
      </c>
      <c r="N77" s="607">
        <f>IF(OR(ScriptSourceCode=2,ScriptSourceCode=3),-'2d. Scripts - market'!L36,0)</f>
        <v>0</v>
      </c>
      <c r="O77" s="607">
        <f>IF(OR(ScriptSourceCode=2,ScriptSourceCode=3),-'2d. Scripts - market'!M36,0)</f>
        <v>0</v>
      </c>
      <c r="P77" s="607">
        <f>IF(OR(ScriptSourceCode=2,ScriptSourceCode=3),-'2d. Scripts - market'!N36,0)</f>
        <v>0</v>
      </c>
      <c r="Q77" s="607">
        <f>IF(OR(ScriptSourceCode=2,ScriptSourceCode=3),-'2d. Scripts - market'!O36,0)</f>
        <v>0</v>
      </c>
      <c r="R77" s="607">
        <f>IF(OR(ScriptSourceCode=2,ScriptSourceCode=3),-'2d. Scripts - market'!P36,0)</f>
        <v>0</v>
      </c>
      <c r="S77" s="572"/>
      <c r="T77" s="572"/>
      <c r="U77" s="572"/>
      <c r="V77" s="101" t="str">
        <f>TxPhase1Code</f>
        <v/>
      </c>
      <c r="W77" s="640"/>
      <c r="X77" s="640"/>
      <c r="Y77" s="640"/>
      <c r="Z77" s="640"/>
      <c r="AA77" s="640"/>
    </row>
    <row r="78" spans="1:40" s="575" customFormat="1" ht="14.25" customHeight="1" outlineLevel="1" x14ac:dyDescent="0.2">
      <c r="A78" s="593"/>
      <c r="B78" s="593"/>
      <c r="C78" s="593"/>
      <c r="D78" s="593"/>
      <c r="E78" s="80" t="str">
        <f>TxPhase2RxTotal</f>
        <v/>
      </c>
      <c r="F78" s="607">
        <f>IF(OR(ScriptSourceCode=2,ScriptSourceCode=3),-'2d. Scripts - market'!D37,0)</f>
        <v>0</v>
      </c>
      <c r="G78" s="607">
        <f>IF(OR(ScriptSourceCode=2,ScriptSourceCode=3),-'2d. Scripts - market'!E37,0)</f>
        <v>0</v>
      </c>
      <c r="H78" s="607">
        <f>IF(OR(ScriptSourceCode=2,ScriptSourceCode=3),-'2d. Scripts - market'!F37,0)</f>
        <v>0</v>
      </c>
      <c r="I78" s="607">
        <f>IF(OR(ScriptSourceCode=2,ScriptSourceCode=3),-'2d. Scripts - market'!G37,0)</f>
        <v>0</v>
      </c>
      <c r="J78" s="607">
        <f>IF(OR(ScriptSourceCode=2,ScriptSourceCode=3),-'2d. Scripts - market'!H37,0)</f>
        <v>0</v>
      </c>
      <c r="K78" s="607">
        <f>IF(OR(ScriptSourceCode=2,ScriptSourceCode=3),-'2d. Scripts - market'!I37,0)</f>
        <v>0</v>
      </c>
      <c r="L78" s="572"/>
      <c r="M78" s="607">
        <f>IF(OR(ScriptSourceCode=2,ScriptSourceCode=3),-'2d. Scripts - market'!K37,0)</f>
        <v>0</v>
      </c>
      <c r="N78" s="607">
        <f>IF(OR(ScriptSourceCode=2,ScriptSourceCode=3),-'2d. Scripts - market'!L37,0)</f>
        <v>0</v>
      </c>
      <c r="O78" s="607">
        <f>IF(OR(ScriptSourceCode=2,ScriptSourceCode=3),-'2d. Scripts - market'!M37,0)</f>
        <v>0</v>
      </c>
      <c r="P78" s="607">
        <f>IF(OR(ScriptSourceCode=2,ScriptSourceCode=3),-'2d. Scripts - market'!N37,0)</f>
        <v>0</v>
      </c>
      <c r="Q78" s="607">
        <f>IF(OR(ScriptSourceCode=2,ScriptSourceCode=3),-'2d. Scripts - market'!O37,0)</f>
        <v>0</v>
      </c>
      <c r="R78" s="607">
        <f>IF(OR(ScriptSourceCode=2,ScriptSourceCode=3),-'2d. Scripts - market'!P37,0)</f>
        <v>0</v>
      </c>
      <c r="S78" s="572"/>
      <c r="T78" s="572"/>
      <c r="U78" s="572"/>
      <c r="V78" s="101" t="str">
        <f>TxPhase2Code</f>
        <v/>
      </c>
      <c r="W78" s="571"/>
      <c r="X78" s="571"/>
      <c r="Y78" s="571"/>
      <c r="Z78" s="571"/>
      <c r="AA78" s="571"/>
    </row>
    <row r="79" spans="1:40" s="575" customFormat="1" ht="14.25" customHeight="1" outlineLevel="1" x14ac:dyDescent="0.2">
      <c r="A79" s="593"/>
      <c r="B79" s="593"/>
      <c r="C79" s="593"/>
      <c r="D79" s="593"/>
      <c r="E79" s="593"/>
      <c r="F79" s="593"/>
      <c r="G79" s="593"/>
      <c r="H79" s="593"/>
      <c r="I79" s="593"/>
      <c r="J79" s="593"/>
      <c r="K79" s="593"/>
      <c r="L79" s="593"/>
      <c r="M79" s="593"/>
      <c r="N79" s="572"/>
      <c r="O79" s="572"/>
      <c r="P79" s="572"/>
      <c r="Q79" s="572"/>
      <c r="R79" s="572"/>
      <c r="S79" s="572"/>
      <c r="T79" s="572"/>
      <c r="U79" s="572"/>
      <c r="W79" s="571"/>
      <c r="X79" s="571"/>
      <c r="Y79" s="571"/>
      <c r="Z79" s="571"/>
      <c r="AA79" s="571"/>
    </row>
    <row r="80" spans="1:40" outlineLevel="1" x14ac:dyDescent="0.2">
      <c r="A80" s="172"/>
      <c r="B80" s="498"/>
      <c r="C80" s="498"/>
      <c r="D80" s="172"/>
      <c r="E80" s="172"/>
      <c r="F80" s="172"/>
      <c r="G80" s="172"/>
      <c r="H80" s="172"/>
      <c r="I80" s="172"/>
      <c r="J80" s="172"/>
      <c r="K80" s="172"/>
      <c r="L80" s="172"/>
      <c r="M80" s="172"/>
      <c r="N80" s="171"/>
      <c r="O80" s="171"/>
      <c r="P80" s="171"/>
      <c r="Q80" s="171"/>
      <c r="R80" s="171"/>
      <c r="S80" s="171"/>
      <c r="T80" s="171"/>
      <c r="U80" s="171"/>
      <c r="W80" s="5"/>
      <c r="X80" s="5"/>
      <c r="Y80" s="5"/>
      <c r="Z80" s="5"/>
      <c r="AA80" s="5"/>
      <c r="AB80" s="5"/>
      <c r="AC80" s="828" t="s">
        <v>259</v>
      </c>
      <c r="AD80" s="828"/>
      <c r="AE80" s="828"/>
      <c r="AF80" s="828"/>
      <c r="AG80" s="828"/>
      <c r="AH80" s="828"/>
      <c r="AI80" s="828"/>
      <c r="AJ80" s="828"/>
      <c r="AK80" s="828"/>
      <c r="AL80" s="828"/>
      <c r="AM80" s="828"/>
      <c r="AN80" s="828"/>
    </row>
    <row r="81" spans="1:40" outlineLevel="1" x14ac:dyDescent="0.2">
      <c r="A81" s="171"/>
      <c r="B81" s="592"/>
      <c r="C81" s="592"/>
      <c r="D81" s="171"/>
      <c r="E81" s="211"/>
      <c r="F81" s="792" t="s">
        <v>262</v>
      </c>
      <c r="G81" s="802"/>
      <c r="H81" s="802"/>
      <c r="I81" s="802"/>
      <c r="J81" s="802"/>
      <c r="K81" s="803"/>
      <c r="L81" s="6"/>
      <c r="M81" s="792" t="s">
        <v>263</v>
      </c>
      <c r="N81" s="802"/>
      <c r="O81" s="802"/>
      <c r="P81" s="802"/>
      <c r="Q81" s="802"/>
      <c r="R81" s="803"/>
      <c r="S81" s="171"/>
      <c r="T81" s="171"/>
      <c r="U81" s="171"/>
      <c r="V81" s="5"/>
      <c r="W81" s="5"/>
      <c r="X81" s="5"/>
      <c r="Y81" s="5"/>
      <c r="Z81" s="5"/>
      <c r="AA81" s="5"/>
      <c r="AB81" s="5"/>
      <c r="AC81" s="820" t="str">
        <f>AC46</f>
        <v/>
      </c>
      <c r="AD81" s="820"/>
      <c r="AE81" s="820"/>
      <c r="AF81" s="820"/>
      <c r="AG81" s="820"/>
      <c r="AH81" s="820"/>
      <c r="AI81" s="820" t="str">
        <f>AI46</f>
        <v/>
      </c>
      <c r="AJ81" s="820"/>
      <c r="AK81" s="820"/>
      <c r="AL81" s="820"/>
      <c r="AM81" s="820"/>
      <c r="AN81" s="820"/>
    </row>
    <row r="82" spans="1:40" outlineLevel="1" x14ac:dyDescent="0.2">
      <c r="A82" s="171"/>
      <c r="B82" s="592"/>
      <c r="C82" s="592"/>
      <c r="D82" s="171"/>
      <c r="E82" s="89" t="s">
        <v>883</v>
      </c>
      <c r="F82" s="112">
        <f>FirstYear</f>
        <v>0</v>
      </c>
      <c r="G82" s="112">
        <f>F82+1</f>
        <v>1</v>
      </c>
      <c r="H82" s="112">
        <f>G82+1</f>
        <v>2</v>
      </c>
      <c r="I82" s="112">
        <f>H82+1</f>
        <v>3</v>
      </c>
      <c r="J82" s="112">
        <f>I82+1</f>
        <v>4</v>
      </c>
      <c r="K82" s="112">
        <f>J82+1</f>
        <v>5</v>
      </c>
      <c r="L82" s="171"/>
      <c r="M82" s="112">
        <f>FirstYear</f>
        <v>0</v>
      </c>
      <c r="N82" s="112">
        <f>M82+1</f>
        <v>1</v>
      </c>
      <c r="O82" s="112">
        <f>N82+1</f>
        <v>2</v>
      </c>
      <c r="P82" s="112">
        <f>O82+1</f>
        <v>3</v>
      </c>
      <c r="Q82" s="112">
        <f>P82+1</f>
        <v>4</v>
      </c>
      <c r="R82" s="112">
        <f>Q82+1</f>
        <v>5</v>
      </c>
      <c r="S82" s="171"/>
      <c r="T82" s="171"/>
      <c r="U82" s="171"/>
      <c r="V82" s="5"/>
      <c r="W82" s="5"/>
      <c r="X82" s="5"/>
      <c r="Y82" s="5"/>
      <c r="Z82" s="5"/>
      <c r="AA82" s="5"/>
      <c r="AB82" s="5"/>
      <c r="AC82" s="335">
        <f>FirstYear</f>
        <v>0</v>
      </c>
      <c r="AD82" s="335">
        <f>AC82+1</f>
        <v>1</v>
      </c>
      <c r="AE82" s="335">
        <f>AD82+1</f>
        <v>2</v>
      </c>
      <c r="AF82" s="335">
        <f>AE82+1</f>
        <v>3</v>
      </c>
      <c r="AG82" s="335">
        <f>AF82+1</f>
        <v>4</v>
      </c>
      <c r="AH82" s="335">
        <f>AG82+1</f>
        <v>5</v>
      </c>
      <c r="AI82" s="335">
        <f>FirstYear</f>
        <v>0</v>
      </c>
      <c r="AJ82" s="335">
        <f>AI82+1</f>
        <v>1</v>
      </c>
      <c r="AK82" s="335">
        <f>AJ82+1</f>
        <v>2</v>
      </c>
      <c r="AL82" s="335">
        <f>AK82+1</f>
        <v>3</v>
      </c>
      <c r="AM82" s="335">
        <f>AL82+1</f>
        <v>4</v>
      </c>
      <c r="AN82" s="335">
        <f>AM82+1</f>
        <v>5</v>
      </c>
    </row>
    <row r="83" spans="1:40" outlineLevel="1" x14ac:dyDescent="0.2">
      <c r="A83" s="171"/>
      <c r="B83" s="592"/>
      <c r="C83" s="592"/>
      <c r="D83" s="79">
        <v>1</v>
      </c>
      <c r="E83" s="116" t="str">
        <f t="shared" ref="E83:E102" si="43">INDEX(NamesLinkNew,D83)</f>
        <v>** NOT USED **</v>
      </c>
      <c r="F83" s="47">
        <f t="shared" ref="F83:F102" si="44">IF($E83&lt;&gt;MsgNotUsed,IF($V$77=INDEX(TxPhaseLinkNew,$D83,2),F$77,F$78)*N186*$X164,0)</f>
        <v>0</v>
      </c>
      <c r="G83" s="47">
        <f t="shared" ref="G83:G102" si="45">IF($E83&lt;&gt;MsgNotUsed,IF($V$77=INDEX(TxPhaseLinkNew,$D83,2),G$77,G$78)*O186*$X164,0)</f>
        <v>0</v>
      </c>
      <c r="H83" s="47">
        <f t="shared" ref="H83:H102" si="46">IF($E83&lt;&gt;MsgNotUsed,IF($V$77=INDEX(TxPhaseLinkNew,$D83,2),H$77,H$78)*P186*$X164,0)</f>
        <v>0</v>
      </c>
      <c r="I83" s="47">
        <f t="shared" ref="I83:I102" si="47">IF($E83&lt;&gt;MsgNotUsed,IF($V$77=INDEX(TxPhaseLinkNew,$D83,2),I$77,I$78)*Q186*$X164,0)</f>
        <v>0</v>
      </c>
      <c r="J83" s="47">
        <f t="shared" ref="J83:J102" si="48">IF($E83&lt;&gt;MsgNotUsed,IF($V$77=INDEX(TxPhaseLinkNew,$D83,2),J$77,J$78)*R186*$X164,0)</f>
        <v>0</v>
      </c>
      <c r="K83" s="47">
        <f t="shared" ref="K83:K102" si="49">IF($E83&lt;&gt;MsgNotUsed,IF($V$77=INDEX(TxPhaseLinkNew,$D83,2),K$77,K$78)*S186*$X164,0)</f>
        <v>0</v>
      </c>
      <c r="L83" s="171"/>
      <c r="M83" s="47">
        <f t="shared" ref="M83:R92" si="50">IF($E83&lt;&gt;MsgNotUsed,IF($V$77=INDEX(TxPhaseLinkNew,$D83,2),M$77,M$78)*N186*$X164,0)</f>
        <v>0</v>
      </c>
      <c r="N83" s="47">
        <f t="shared" si="50"/>
        <v>0</v>
      </c>
      <c r="O83" s="47">
        <f t="shared" si="50"/>
        <v>0</v>
      </c>
      <c r="P83" s="47">
        <f t="shared" si="50"/>
        <v>0</v>
      </c>
      <c r="Q83" s="47">
        <f t="shared" si="50"/>
        <v>0</v>
      </c>
      <c r="R83" s="47">
        <f t="shared" si="50"/>
        <v>0</v>
      </c>
      <c r="S83" s="171"/>
      <c r="T83" s="171"/>
      <c r="U83" s="171"/>
      <c r="V83" s="349">
        <v>1</v>
      </c>
      <c r="W83" s="349" t="str">
        <f t="shared" ref="W83:W102" si="51">IF(E83&lt;&gt;MsgNotUsed,F139,"")</f>
        <v/>
      </c>
      <c r="X83" s="5"/>
      <c r="Y83" s="5"/>
      <c r="Z83" s="5"/>
      <c r="AA83" s="5"/>
      <c r="AB83" s="349">
        <v>1</v>
      </c>
      <c r="AC83" s="338">
        <f t="shared" ref="AC83:AN83" si="52">IF(OR(ScriptSourceCode=1,ScriptSourceCode=3),IF($AA111&lt;&gt;0,ROUND(AC111*INDEX(PxTxPhase1,$AA111,8),0),0),0)</f>
        <v>0</v>
      </c>
      <c r="AD83" s="338">
        <f t="shared" si="52"/>
        <v>0</v>
      </c>
      <c r="AE83" s="338">
        <f t="shared" si="52"/>
        <v>0</v>
      </c>
      <c r="AF83" s="338">
        <f t="shared" si="52"/>
        <v>0</v>
      </c>
      <c r="AG83" s="338">
        <f t="shared" si="52"/>
        <v>0</v>
      </c>
      <c r="AH83" s="338">
        <f t="shared" si="52"/>
        <v>0</v>
      </c>
      <c r="AI83" s="338">
        <f t="shared" si="52"/>
        <v>0</v>
      </c>
      <c r="AJ83" s="338">
        <f t="shared" si="52"/>
        <v>0</v>
      </c>
      <c r="AK83" s="338">
        <f t="shared" si="52"/>
        <v>0</v>
      </c>
      <c r="AL83" s="338">
        <f t="shared" si="52"/>
        <v>0</v>
      </c>
      <c r="AM83" s="338">
        <f t="shared" si="52"/>
        <v>0</v>
      </c>
      <c r="AN83" s="338">
        <f t="shared" si="52"/>
        <v>0</v>
      </c>
    </row>
    <row r="84" spans="1:40" outlineLevel="1" x14ac:dyDescent="0.2">
      <c r="A84" s="171"/>
      <c r="B84" s="592"/>
      <c r="C84" s="592"/>
      <c r="D84" s="79">
        <v>2</v>
      </c>
      <c r="E84" s="116" t="str">
        <f t="shared" si="43"/>
        <v>** NOT USED **</v>
      </c>
      <c r="F84" s="47">
        <f t="shared" si="44"/>
        <v>0</v>
      </c>
      <c r="G84" s="47">
        <f t="shared" si="45"/>
        <v>0</v>
      </c>
      <c r="H84" s="47">
        <f t="shared" si="46"/>
        <v>0</v>
      </c>
      <c r="I84" s="47">
        <f t="shared" si="47"/>
        <v>0</v>
      </c>
      <c r="J84" s="47">
        <f t="shared" si="48"/>
        <v>0</v>
      </c>
      <c r="K84" s="47">
        <f t="shared" si="49"/>
        <v>0</v>
      </c>
      <c r="L84" s="171"/>
      <c r="M84" s="47">
        <f t="shared" si="50"/>
        <v>0</v>
      </c>
      <c r="N84" s="47">
        <f t="shared" si="50"/>
        <v>0</v>
      </c>
      <c r="O84" s="47">
        <f t="shared" si="50"/>
        <v>0</v>
      </c>
      <c r="P84" s="47">
        <f t="shared" si="50"/>
        <v>0</v>
      </c>
      <c r="Q84" s="47">
        <f t="shared" si="50"/>
        <v>0</v>
      </c>
      <c r="R84" s="47">
        <f t="shared" si="50"/>
        <v>0</v>
      </c>
      <c r="S84" s="171"/>
      <c r="T84" s="171"/>
      <c r="U84" s="171"/>
      <c r="V84" s="349">
        <v>2</v>
      </c>
      <c r="W84" s="349" t="str">
        <f t="shared" si="51"/>
        <v/>
      </c>
      <c r="X84" s="5"/>
      <c r="Y84" s="5"/>
      <c r="Z84" s="5"/>
      <c r="AA84" s="5"/>
      <c r="AB84" s="349">
        <v>2</v>
      </c>
      <c r="AC84" s="338">
        <f t="shared" ref="AC84:AN84" si="53">IF(OR(ScriptSourceCode=1,ScriptSourceCode=3),IF($AA112&lt;&gt;0,ROUND(AC112*INDEX(PxTxPhase1,$AA112,8),0),0),0)</f>
        <v>0</v>
      </c>
      <c r="AD84" s="338">
        <f t="shared" si="53"/>
        <v>0</v>
      </c>
      <c r="AE84" s="338">
        <f t="shared" si="53"/>
        <v>0</v>
      </c>
      <c r="AF84" s="338">
        <f t="shared" si="53"/>
        <v>0</v>
      </c>
      <c r="AG84" s="338">
        <f t="shared" si="53"/>
        <v>0</v>
      </c>
      <c r="AH84" s="338">
        <f t="shared" si="53"/>
        <v>0</v>
      </c>
      <c r="AI84" s="338">
        <f t="shared" si="53"/>
        <v>0</v>
      </c>
      <c r="AJ84" s="338">
        <f t="shared" si="53"/>
        <v>0</v>
      </c>
      <c r="AK84" s="338">
        <f t="shared" si="53"/>
        <v>0</v>
      </c>
      <c r="AL84" s="338">
        <f t="shared" si="53"/>
        <v>0</v>
      </c>
      <c r="AM84" s="338">
        <f t="shared" si="53"/>
        <v>0</v>
      </c>
      <c r="AN84" s="338">
        <f t="shared" si="53"/>
        <v>0</v>
      </c>
    </row>
    <row r="85" spans="1:40" outlineLevel="1" x14ac:dyDescent="0.2">
      <c r="A85" s="171"/>
      <c r="B85" s="592"/>
      <c r="C85" s="592"/>
      <c r="D85" s="79">
        <v>3</v>
      </c>
      <c r="E85" s="116" t="str">
        <f t="shared" si="43"/>
        <v>** NOT USED **</v>
      </c>
      <c r="F85" s="47">
        <f t="shared" si="44"/>
        <v>0</v>
      </c>
      <c r="G85" s="47">
        <f t="shared" si="45"/>
        <v>0</v>
      </c>
      <c r="H85" s="47">
        <f t="shared" si="46"/>
        <v>0</v>
      </c>
      <c r="I85" s="47">
        <f t="shared" si="47"/>
        <v>0</v>
      </c>
      <c r="J85" s="47">
        <f t="shared" si="48"/>
        <v>0</v>
      </c>
      <c r="K85" s="47">
        <f t="shared" si="49"/>
        <v>0</v>
      </c>
      <c r="L85" s="171"/>
      <c r="M85" s="47">
        <f t="shared" si="50"/>
        <v>0</v>
      </c>
      <c r="N85" s="47">
        <f t="shared" si="50"/>
        <v>0</v>
      </c>
      <c r="O85" s="47">
        <f t="shared" si="50"/>
        <v>0</v>
      </c>
      <c r="P85" s="47">
        <f t="shared" si="50"/>
        <v>0</v>
      </c>
      <c r="Q85" s="47">
        <f t="shared" si="50"/>
        <v>0</v>
      </c>
      <c r="R85" s="47">
        <f t="shared" si="50"/>
        <v>0</v>
      </c>
      <c r="S85" s="171"/>
      <c r="T85" s="171"/>
      <c r="U85" s="171"/>
      <c r="V85" s="349">
        <v>3</v>
      </c>
      <c r="W85" s="349" t="str">
        <f t="shared" si="51"/>
        <v/>
      </c>
      <c r="X85" s="5"/>
      <c r="Y85" s="5"/>
      <c r="Z85" s="5"/>
      <c r="AA85" s="5"/>
      <c r="AB85" s="349">
        <v>3</v>
      </c>
      <c r="AC85" s="338">
        <f t="shared" ref="AC85:AN85" si="54">IF(OR(ScriptSourceCode=1,ScriptSourceCode=3),IF($AA113&lt;&gt;0,ROUND(AC113*INDEX(PxTxPhase1,$AA113,8),0),0),0)</f>
        <v>0</v>
      </c>
      <c r="AD85" s="338">
        <f t="shared" si="54"/>
        <v>0</v>
      </c>
      <c r="AE85" s="338">
        <f t="shared" si="54"/>
        <v>0</v>
      </c>
      <c r="AF85" s="338">
        <f t="shared" si="54"/>
        <v>0</v>
      </c>
      <c r="AG85" s="338">
        <f t="shared" si="54"/>
        <v>0</v>
      </c>
      <c r="AH85" s="338">
        <f t="shared" si="54"/>
        <v>0</v>
      </c>
      <c r="AI85" s="338">
        <f t="shared" si="54"/>
        <v>0</v>
      </c>
      <c r="AJ85" s="338">
        <f t="shared" si="54"/>
        <v>0</v>
      </c>
      <c r="AK85" s="338">
        <f t="shared" si="54"/>
        <v>0</v>
      </c>
      <c r="AL85" s="338">
        <f t="shared" si="54"/>
        <v>0</v>
      </c>
      <c r="AM85" s="338">
        <f t="shared" si="54"/>
        <v>0</v>
      </c>
      <c r="AN85" s="338">
        <f t="shared" si="54"/>
        <v>0</v>
      </c>
    </row>
    <row r="86" spans="1:40" outlineLevel="1" x14ac:dyDescent="0.2">
      <c r="A86" s="171"/>
      <c r="B86" s="592"/>
      <c r="C86" s="592"/>
      <c r="D86" s="79">
        <v>4</v>
      </c>
      <c r="E86" s="116" t="str">
        <f t="shared" si="43"/>
        <v>** NOT USED **</v>
      </c>
      <c r="F86" s="47">
        <f t="shared" si="44"/>
        <v>0</v>
      </c>
      <c r="G86" s="47">
        <f t="shared" si="45"/>
        <v>0</v>
      </c>
      <c r="H86" s="47">
        <f t="shared" si="46"/>
        <v>0</v>
      </c>
      <c r="I86" s="47">
        <f t="shared" si="47"/>
        <v>0</v>
      </c>
      <c r="J86" s="47">
        <f t="shared" si="48"/>
        <v>0</v>
      </c>
      <c r="K86" s="47">
        <f t="shared" si="49"/>
        <v>0</v>
      </c>
      <c r="L86" s="171"/>
      <c r="M86" s="47">
        <f t="shared" si="50"/>
        <v>0</v>
      </c>
      <c r="N86" s="47">
        <f t="shared" si="50"/>
        <v>0</v>
      </c>
      <c r="O86" s="47">
        <f t="shared" si="50"/>
        <v>0</v>
      </c>
      <c r="P86" s="47">
        <f t="shared" si="50"/>
        <v>0</v>
      </c>
      <c r="Q86" s="47">
        <f t="shared" si="50"/>
        <v>0</v>
      </c>
      <c r="R86" s="47">
        <f t="shared" si="50"/>
        <v>0</v>
      </c>
      <c r="S86" s="171"/>
      <c r="T86" s="171"/>
      <c r="U86" s="171"/>
      <c r="V86" s="349">
        <v>4</v>
      </c>
      <c r="W86" s="349" t="str">
        <f t="shared" si="51"/>
        <v/>
      </c>
      <c r="X86" s="5"/>
      <c r="Y86" s="5"/>
      <c r="Z86" s="5"/>
      <c r="AA86" s="5"/>
      <c r="AB86" s="349">
        <v>4</v>
      </c>
      <c r="AC86" s="338">
        <f t="shared" ref="AC86:AN86" si="55">IF(OR(ScriptSourceCode=1,ScriptSourceCode=3),IF($AA114&lt;&gt;0,ROUND(AC114*INDEX(PxTxPhase1,$AA114,8),0),0),0)</f>
        <v>0</v>
      </c>
      <c r="AD86" s="338">
        <f t="shared" si="55"/>
        <v>0</v>
      </c>
      <c r="AE86" s="338">
        <f t="shared" si="55"/>
        <v>0</v>
      </c>
      <c r="AF86" s="338">
        <f t="shared" si="55"/>
        <v>0</v>
      </c>
      <c r="AG86" s="338">
        <f t="shared" si="55"/>
        <v>0</v>
      </c>
      <c r="AH86" s="338">
        <f t="shared" si="55"/>
        <v>0</v>
      </c>
      <c r="AI86" s="338">
        <f t="shared" si="55"/>
        <v>0</v>
      </c>
      <c r="AJ86" s="338">
        <f t="shared" si="55"/>
        <v>0</v>
      </c>
      <c r="AK86" s="338">
        <f t="shared" si="55"/>
        <v>0</v>
      </c>
      <c r="AL86" s="338">
        <f t="shared" si="55"/>
        <v>0</v>
      </c>
      <c r="AM86" s="338">
        <f t="shared" si="55"/>
        <v>0</v>
      </c>
      <c r="AN86" s="338">
        <f t="shared" si="55"/>
        <v>0</v>
      </c>
    </row>
    <row r="87" spans="1:40" outlineLevel="1" x14ac:dyDescent="0.2">
      <c r="A87" s="171"/>
      <c r="B87" s="592"/>
      <c r="C87" s="592"/>
      <c r="D87" s="79">
        <v>5</v>
      </c>
      <c r="E87" s="116" t="str">
        <f t="shared" si="43"/>
        <v>** NOT USED **</v>
      </c>
      <c r="F87" s="47">
        <f t="shared" si="44"/>
        <v>0</v>
      </c>
      <c r="G87" s="47">
        <f t="shared" si="45"/>
        <v>0</v>
      </c>
      <c r="H87" s="47">
        <f t="shared" si="46"/>
        <v>0</v>
      </c>
      <c r="I87" s="47">
        <f t="shared" si="47"/>
        <v>0</v>
      </c>
      <c r="J87" s="47">
        <f t="shared" si="48"/>
        <v>0</v>
      </c>
      <c r="K87" s="47">
        <f t="shared" si="49"/>
        <v>0</v>
      </c>
      <c r="L87" s="171"/>
      <c r="M87" s="47">
        <f t="shared" si="50"/>
        <v>0</v>
      </c>
      <c r="N87" s="47">
        <f t="shared" si="50"/>
        <v>0</v>
      </c>
      <c r="O87" s="47">
        <f t="shared" si="50"/>
        <v>0</v>
      </c>
      <c r="P87" s="47">
        <f t="shared" si="50"/>
        <v>0</v>
      </c>
      <c r="Q87" s="47">
        <f t="shared" si="50"/>
        <v>0</v>
      </c>
      <c r="R87" s="47">
        <f t="shared" si="50"/>
        <v>0</v>
      </c>
      <c r="S87" s="171"/>
      <c r="T87" s="171"/>
      <c r="U87" s="171"/>
      <c r="V87" s="349">
        <v>5</v>
      </c>
      <c r="W87" s="349" t="str">
        <f t="shared" si="51"/>
        <v/>
      </c>
      <c r="X87" s="5"/>
      <c r="Y87" s="5"/>
      <c r="Z87" s="5"/>
      <c r="AA87" s="5"/>
      <c r="AB87" s="349">
        <v>5</v>
      </c>
      <c r="AC87" s="338">
        <f t="shared" ref="AC87:AN87" si="56">IF(OR(ScriptSourceCode=1,ScriptSourceCode=3),IF($AA115&lt;&gt;0,ROUND(AC115*INDEX(PxTxPhase1,$AA115,8),0),0),0)</f>
        <v>0</v>
      </c>
      <c r="AD87" s="338">
        <f t="shared" si="56"/>
        <v>0</v>
      </c>
      <c r="AE87" s="338">
        <f t="shared" si="56"/>
        <v>0</v>
      </c>
      <c r="AF87" s="338">
        <f t="shared" si="56"/>
        <v>0</v>
      </c>
      <c r="AG87" s="338">
        <f t="shared" si="56"/>
        <v>0</v>
      </c>
      <c r="AH87" s="338">
        <f t="shared" si="56"/>
        <v>0</v>
      </c>
      <c r="AI87" s="338">
        <f t="shared" si="56"/>
        <v>0</v>
      </c>
      <c r="AJ87" s="338">
        <f t="shared" si="56"/>
        <v>0</v>
      </c>
      <c r="AK87" s="338">
        <f t="shared" si="56"/>
        <v>0</v>
      </c>
      <c r="AL87" s="338">
        <f t="shared" si="56"/>
        <v>0</v>
      </c>
      <c r="AM87" s="338">
        <f t="shared" si="56"/>
        <v>0</v>
      </c>
      <c r="AN87" s="338">
        <f t="shared" si="56"/>
        <v>0</v>
      </c>
    </row>
    <row r="88" spans="1:40" outlineLevel="1" x14ac:dyDescent="0.2">
      <c r="A88" s="171"/>
      <c r="B88" s="592"/>
      <c r="C88" s="592"/>
      <c r="D88" s="79">
        <v>6</v>
      </c>
      <c r="E88" s="116" t="str">
        <f t="shared" si="43"/>
        <v>** NOT USED **</v>
      </c>
      <c r="F88" s="47">
        <f t="shared" si="44"/>
        <v>0</v>
      </c>
      <c r="G88" s="47">
        <f t="shared" si="45"/>
        <v>0</v>
      </c>
      <c r="H88" s="47">
        <f t="shared" si="46"/>
        <v>0</v>
      </c>
      <c r="I88" s="47">
        <f t="shared" si="47"/>
        <v>0</v>
      </c>
      <c r="J88" s="47">
        <f t="shared" si="48"/>
        <v>0</v>
      </c>
      <c r="K88" s="47">
        <f t="shared" si="49"/>
        <v>0</v>
      </c>
      <c r="L88" s="171"/>
      <c r="M88" s="47">
        <f t="shared" si="50"/>
        <v>0</v>
      </c>
      <c r="N88" s="47">
        <f t="shared" si="50"/>
        <v>0</v>
      </c>
      <c r="O88" s="47">
        <f t="shared" si="50"/>
        <v>0</v>
      </c>
      <c r="P88" s="47">
        <f t="shared" si="50"/>
        <v>0</v>
      </c>
      <c r="Q88" s="47">
        <f t="shared" si="50"/>
        <v>0</v>
      </c>
      <c r="R88" s="47">
        <f t="shared" si="50"/>
        <v>0</v>
      </c>
      <c r="S88" s="171"/>
      <c r="T88" s="171"/>
      <c r="U88" s="171"/>
      <c r="V88" s="349">
        <v>6</v>
      </c>
      <c r="W88" s="349" t="str">
        <f t="shared" si="51"/>
        <v/>
      </c>
      <c r="X88" s="5"/>
      <c r="Y88" s="5"/>
      <c r="Z88" s="5"/>
      <c r="AA88" s="5"/>
      <c r="AB88" s="349">
        <v>6</v>
      </c>
      <c r="AC88" s="338">
        <f t="shared" ref="AC88:AN88" si="57">IF(OR(ScriptSourceCode=1,ScriptSourceCode=3),IF($AA116&lt;&gt;0,ROUND(AC116*INDEX(PxTxPhase1,$AA116,8),0),0),0)</f>
        <v>0</v>
      </c>
      <c r="AD88" s="338">
        <f t="shared" si="57"/>
        <v>0</v>
      </c>
      <c r="AE88" s="338">
        <f t="shared" si="57"/>
        <v>0</v>
      </c>
      <c r="AF88" s="338">
        <f t="shared" si="57"/>
        <v>0</v>
      </c>
      <c r="AG88" s="338">
        <f t="shared" si="57"/>
        <v>0</v>
      </c>
      <c r="AH88" s="338">
        <f t="shared" si="57"/>
        <v>0</v>
      </c>
      <c r="AI88" s="338">
        <f t="shared" si="57"/>
        <v>0</v>
      </c>
      <c r="AJ88" s="338">
        <f t="shared" si="57"/>
        <v>0</v>
      </c>
      <c r="AK88" s="338">
        <f t="shared" si="57"/>
        <v>0</v>
      </c>
      <c r="AL88" s="338">
        <f t="shared" si="57"/>
        <v>0</v>
      </c>
      <c r="AM88" s="338">
        <f t="shared" si="57"/>
        <v>0</v>
      </c>
      <c r="AN88" s="338">
        <f t="shared" si="57"/>
        <v>0</v>
      </c>
    </row>
    <row r="89" spans="1:40" outlineLevel="1" x14ac:dyDescent="0.2">
      <c r="A89" s="171"/>
      <c r="B89" s="592"/>
      <c r="C89" s="592"/>
      <c r="D89" s="79">
        <v>7</v>
      </c>
      <c r="E89" s="116" t="str">
        <f t="shared" si="43"/>
        <v>** NOT USED **</v>
      </c>
      <c r="F89" s="47">
        <f t="shared" si="44"/>
        <v>0</v>
      </c>
      <c r="G89" s="47">
        <f t="shared" si="45"/>
        <v>0</v>
      </c>
      <c r="H89" s="47">
        <f t="shared" si="46"/>
        <v>0</v>
      </c>
      <c r="I89" s="47">
        <f t="shared" si="47"/>
        <v>0</v>
      </c>
      <c r="J89" s="47">
        <f t="shared" si="48"/>
        <v>0</v>
      </c>
      <c r="K89" s="47">
        <f t="shared" si="49"/>
        <v>0</v>
      </c>
      <c r="L89" s="171"/>
      <c r="M89" s="47">
        <f t="shared" si="50"/>
        <v>0</v>
      </c>
      <c r="N89" s="47">
        <f t="shared" si="50"/>
        <v>0</v>
      </c>
      <c r="O89" s="47">
        <f t="shared" si="50"/>
        <v>0</v>
      </c>
      <c r="P89" s="47">
        <f t="shared" si="50"/>
        <v>0</v>
      </c>
      <c r="Q89" s="47">
        <f t="shared" si="50"/>
        <v>0</v>
      </c>
      <c r="R89" s="47">
        <f t="shared" si="50"/>
        <v>0</v>
      </c>
      <c r="S89" s="171"/>
      <c r="T89" s="171"/>
      <c r="U89" s="171"/>
      <c r="V89" s="349">
        <v>7</v>
      </c>
      <c r="W89" s="349" t="str">
        <f t="shared" si="51"/>
        <v/>
      </c>
      <c r="X89" s="5"/>
      <c r="Y89" s="5"/>
      <c r="Z89" s="5"/>
      <c r="AA89" s="5"/>
      <c r="AB89" s="349">
        <v>7</v>
      </c>
      <c r="AC89" s="338">
        <f t="shared" ref="AC89:AN89" si="58">IF(OR(ScriptSourceCode=1,ScriptSourceCode=3),IF($AA117&lt;&gt;0,ROUND(AC117*INDEX(PxTxPhase1,$AA117,8),0),0),0)</f>
        <v>0</v>
      </c>
      <c r="AD89" s="338">
        <f t="shared" si="58"/>
        <v>0</v>
      </c>
      <c r="AE89" s="338">
        <f t="shared" si="58"/>
        <v>0</v>
      </c>
      <c r="AF89" s="338">
        <f t="shared" si="58"/>
        <v>0</v>
      </c>
      <c r="AG89" s="338">
        <f t="shared" si="58"/>
        <v>0</v>
      </c>
      <c r="AH89" s="338">
        <f t="shared" si="58"/>
        <v>0</v>
      </c>
      <c r="AI89" s="338">
        <f t="shared" si="58"/>
        <v>0</v>
      </c>
      <c r="AJ89" s="338">
        <f t="shared" si="58"/>
        <v>0</v>
      </c>
      <c r="AK89" s="338">
        <f t="shared" si="58"/>
        <v>0</v>
      </c>
      <c r="AL89" s="338">
        <f t="shared" si="58"/>
        <v>0</v>
      </c>
      <c r="AM89" s="338">
        <f t="shared" si="58"/>
        <v>0</v>
      </c>
      <c r="AN89" s="338">
        <f t="shared" si="58"/>
        <v>0</v>
      </c>
    </row>
    <row r="90" spans="1:40" outlineLevel="1" x14ac:dyDescent="0.2">
      <c r="A90" s="171"/>
      <c r="B90" s="592"/>
      <c r="C90" s="592"/>
      <c r="D90" s="79">
        <v>8</v>
      </c>
      <c r="E90" s="116" t="str">
        <f t="shared" si="43"/>
        <v>** NOT USED **</v>
      </c>
      <c r="F90" s="47">
        <f t="shared" si="44"/>
        <v>0</v>
      </c>
      <c r="G90" s="47">
        <f t="shared" si="45"/>
        <v>0</v>
      </c>
      <c r="H90" s="47">
        <f t="shared" si="46"/>
        <v>0</v>
      </c>
      <c r="I90" s="47">
        <f t="shared" si="47"/>
        <v>0</v>
      </c>
      <c r="J90" s="47">
        <f t="shared" si="48"/>
        <v>0</v>
      </c>
      <c r="K90" s="47">
        <f t="shared" si="49"/>
        <v>0</v>
      </c>
      <c r="L90" s="171"/>
      <c r="M90" s="47">
        <f t="shared" si="50"/>
        <v>0</v>
      </c>
      <c r="N90" s="47">
        <f t="shared" si="50"/>
        <v>0</v>
      </c>
      <c r="O90" s="47">
        <f t="shared" si="50"/>
        <v>0</v>
      </c>
      <c r="P90" s="47">
        <f t="shared" si="50"/>
        <v>0</v>
      </c>
      <c r="Q90" s="47">
        <f t="shared" si="50"/>
        <v>0</v>
      </c>
      <c r="R90" s="47">
        <f t="shared" si="50"/>
        <v>0</v>
      </c>
      <c r="S90" s="171"/>
      <c r="T90" s="171"/>
      <c r="U90" s="171"/>
      <c r="V90" s="349">
        <v>8</v>
      </c>
      <c r="W90" s="349" t="str">
        <f t="shared" si="51"/>
        <v/>
      </c>
      <c r="X90" s="5"/>
      <c r="Y90" s="5"/>
      <c r="Z90" s="5"/>
      <c r="AA90" s="5"/>
      <c r="AB90" s="349">
        <v>8</v>
      </c>
      <c r="AC90" s="338">
        <f t="shared" ref="AC90:AN90" si="59">IF(OR(ScriptSourceCode=1,ScriptSourceCode=3),IF($AA118&lt;&gt;0,ROUND(AC118*INDEX(PxTxPhase1,$AA118,8),0),0),0)</f>
        <v>0</v>
      </c>
      <c r="AD90" s="338">
        <f t="shared" si="59"/>
        <v>0</v>
      </c>
      <c r="AE90" s="338">
        <f t="shared" si="59"/>
        <v>0</v>
      </c>
      <c r="AF90" s="338">
        <f t="shared" si="59"/>
        <v>0</v>
      </c>
      <c r="AG90" s="338">
        <f t="shared" si="59"/>
        <v>0</v>
      </c>
      <c r="AH90" s="338">
        <f t="shared" si="59"/>
        <v>0</v>
      </c>
      <c r="AI90" s="338">
        <f t="shared" si="59"/>
        <v>0</v>
      </c>
      <c r="AJ90" s="338">
        <f t="shared" si="59"/>
        <v>0</v>
      </c>
      <c r="AK90" s="338">
        <f t="shared" si="59"/>
        <v>0</v>
      </c>
      <c r="AL90" s="338">
        <f t="shared" si="59"/>
        <v>0</v>
      </c>
      <c r="AM90" s="338">
        <f t="shared" si="59"/>
        <v>0</v>
      </c>
      <c r="AN90" s="338">
        <f t="shared" si="59"/>
        <v>0</v>
      </c>
    </row>
    <row r="91" spans="1:40" outlineLevel="1" x14ac:dyDescent="0.2">
      <c r="A91" s="171"/>
      <c r="B91" s="592"/>
      <c r="C91" s="592"/>
      <c r="D91" s="79">
        <v>9</v>
      </c>
      <c r="E91" s="116" t="str">
        <f t="shared" si="43"/>
        <v>** NOT USED **</v>
      </c>
      <c r="F91" s="47">
        <f t="shared" si="44"/>
        <v>0</v>
      </c>
      <c r="G91" s="47">
        <f t="shared" si="45"/>
        <v>0</v>
      </c>
      <c r="H91" s="47">
        <f t="shared" si="46"/>
        <v>0</v>
      </c>
      <c r="I91" s="47">
        <f t="shared" si="47"/>
        <v>0</v>
      </c>
      <c r="J91" s="47">
        <f t="shared" si="48"/>
        <v>0</v>
      </c>
      <c r="K91" s="47">
        <f t="shared" si="49"/>
        <v>0</v>
      </c>
      <c r="L91" s="171"/>
      <c r="M91" s="47">
        <f t="shared" si="50"/>
        <v>0</v>
      </c>
      <c r="N91" s="47">
        <f t="shared" si="50"/>
        <v>0</v>
      </c>
      <c r="O91" s="47">
        <f t="shared" si="50"/>
        <v>0</v>
      </c>
      <c r="P91" s="47">
        <f t="shared" si="50"/>
        <v>0</v>
      </c>
      <c r="Q91" s="47">
        <f t="shared" si="50"/>
        <v>0</v>
      </c>
      <c r="R91" s="47">
        <f t="shared" si="50"/>
        <v>0</v>
      </c>
      <c r="S91" s="171"/>
      <c r="T91" s="171"/>
      <c r="U91" s="171"/>
      <c r="V91" s="349">
        <v>9</v>
      </c>
      <c r="W91" s="349" t="str">
        <f t="shared" si="51"/>
        <v/>
      </c>
      <c r="X91" s="5"/>
      <c r="Y91" s="5"/>
      <c r="Z91" s="5"/>
      <c r="AA91" s="5"/>
      <c r="AB91" s="349">
        <v>9</v>
      </c>
      <c r="AC91" s="338">
        <f t="shared" ref="AC91:AN91" si="60">IF(OR(ScriptSourceCode=1,ScriptSourceCode=3),IF($AA119&lt;&gt;0,ROUND(AC119*INDEX(PxTxPhase1,$AA119,8),0),0),0)</f>
        <v>0</v>
      </c>
      <c r="AD91" s="338">
        <f t="shared" si="60"/>
        <v>0</v>
      </c>
      <c r="AE91" s="338">
        <f t="shared" si="60"/>
        <v>0</v>
      </c>
      <c r="AF91" s="338">
        <f t="shared" si="60"/>
        <v>0</v>
      </c>
      <c r="AG91" s="338">
        <f t="shared" si="60"/>
        <v>0</v>
      </c>
      <c r="AH91" s="338">
        <f t="shared" si="60"/>
        <v>0</v>
      </c>
      <c r="AI91" s="338">
        <f t="shared" si="60"/>
        <v>0</v>
      </c>
      <c r="AJ91" s="338">
        <f t="shared" si="60"/>
        <v>0</v>
      </c>
      <c r="AK91" s="338">
        <f t="shared" si="60"/>
        <v>0</v>
      </c>
      <c r="AL91" s="338">
        <f t="shared" si="60"/>
        <v>0</v>
      </c>
      <c r="AM91" s="338">
        <f t="shared" si="60"/>
        <v>0</v>
      </c>
      <c r="AN91" s="338">
        <f t="shared" si="60"/>
        <v>0</v>
      </c>
    </row>
    <row r="92" spans="1:40" outlineLevel="1" x14ac:dyDescent="0.2">
      <c r="A92" s="171"/>
      <c r="B92" s="592"/>
      <c r="C92" s="592"/>
      <c r="D92" s="79">
        <v>10</v>
      </c>
      <c r="E92" s="116" t="str">
        <f t="shared" si="43"/>
        <v>** NOT USED **</v>
      </c>
      <c r="F92" s="47">
        <f t="shared" si="44"/>
        <v>0</v>
      </c>
      <c r="G92" s="47">
        <f t="shared" si="45"/>
        <v>0</v>
      </c>
      <c r="H92" s="47">
        <f t="shared" si="46"/>
        <v>0</v>
      </c>
      <c r="I92" s="47">
        <f t="shared" si="47"/>
        <v>0</v>
      </c>
      <c r="J92" s="47">
        <f t="shared" si="48"/>
        <v>0</v>
      </c>
      <c r="K92" s="47">
        <f t="shared" si="49"/>
        <v>0</v>
      </c>
      <c r="L92" s="171"/>
      <c r="M92" s="47">
        <f t="shared" si="50"/>
        <v>0</v>
      </c>
      <c r="N92" s="47">
        <f t="shared" si="50"/>
        <v>0</v>
      </c>
      <c r="O92" s="47">
        <f t="shared" si="50"/>
        <v>0</v>
      </c>
      <c r="P92" s="47">
        <f t="shared" si="50"/>
        <v>0</v>
      </c>
      <c r="Q92" s="47">
        <f t="shared" si="50"/>
        <v>0</v>
      </c>
      <c r="R92" s="47">
        <f t="shared" si="50"/>
        <v>0</v>
      </c>
      <c r="S92" s="171"/>
      <c r="T92" s="171"/>
      <c r="U92" s="171"/>
      <c r="V92" s="349">
        <v>10</v>
      </c>
      <c r="W92" s="349" t="str">
        <f t="shared" si="51"/>
        <v/>
      </c>
      <c r="X92" s="5"/>
      <c r="Y92" s="5"/>
      <c r="Z92" s="5"/>
      <c r="AA92" s="5"/>
      <c r="AB92" s="349">
        <v>10</v>
      </c>
      <c r="AC92" s="338">
        <f t="shared" ref="AC92:AN92" si="61">IF(OR(ScriptSourceCode=1,ScriptSourceCode=3),IF($AA120&lt;&gt;0,ROUND(AC120*INDEX(PxTxPhase1,$AA120,8),0),0),0)</f>
        <v>0</v>
      </c>
      <c r="AD92" s="338">
        <f t="shared" si="61"/>
        <v>0</v>
      </c>
      <c r="AE92" s="338">
        <f t="shared" si="61"/>
        <v>0</v>
      </c>
      <c r="AF92" s="338">
        <f t="shared" si="61"/>
        <v>0</v>
      </c>
      <c r="AG92" s="338">
        <f t="shared" si="61"/>
        <v>0</v>
      </c>
      <c r="AH92" s="338">
        <f t="shared" si="61"/>
        <v>0</v>
      </c>
      <c r="AI92" s="338">
        <f t="shared" si="61"/>
        <v>0</v>
      </c>
      <c r="AJ92" s="338">
        <f t="shared" si="61"/>
        <v>0</v>
      </c>
      <c r="AK92" s="338">
        <f t="shared" si="61"/>
        <v>0</v>
      </c>
      <c r="AL92" s="338">
        <f t="shared" si="61"/>
        <v>0</v>
      </c>
      <c r="AM92" s="338">
        <f t="shared" si="61"/>
        <v>0</v>
      </c>
      <c r="AN92" s="338">
        <f t="shared" si="61"/>
        <v>0</v>
      </c>
    </row>
    <row r="93" spans="1:40" outlineLevel="1" x14ac:dyDescent="0.2">
      <c r="A93" s="171"/>
      <c r="B93" s="592"/>
      <c r="C93" s="592"/>
      <c r="D93" s="79">
        <v>11</v>
      </c>
      <c r="E93" s="412" t="str">
        <f t="shared" si="43"/>
        <v>** NOT USED **</v>
      </c>
      <c r="F93" s="47">
        <f t="shared" si="44"/>
        <v>0</v>
      </c>
      <c r="G93" s="47">
        <f t="shared" si="45"/>
        <v>0</v>
      </c>
      <c r="H93" s="47">
        <f t="shared" si="46"/>
        <v>0</v>
      </c>
      <c r="I93" s="47">
        <f t="shared" si="47"/>
        <v>0</v>
      </c>
      <c r="J93" s="47">
        <f t="shared" si="48"/>
        <v>0</v>
      </c>
      <c r="K93" s="47">
        <f t="shared" si="49"/>
        <v>0</v>
      </c>
      <c r="L93" s="171"/>
      <c r="M93" s="47">
        <f t="shared" ref="M93:R102" si="62">IF($E93&lt;&gt;MsgNotUsed,IF($V$77=INDEX(TxPhaseLinkNew,$D93,2),M$77,M$78)*N196*$X174,0)</f>
        <v>0</v>
      </c>
      <c r="N93" s="47">
        <f t="shared" si="62"/>
        <v>0</v>
      </c>
      <c r="O93" s="47">
        <f t="shared" si="62"/>
        <v>0</v>
      </c>
      <c r="P93" s="47">
        <f t="shared" si="62"/>
        <v>0</v>
      </c>
      <c r="Q93" s="47">
        <f t="shared" si="62"/>
        <v>0</v>
      </c>
      <c r="R93" s="47">
        <f t="shared" si="62"/>
        <v>0</v>
      </c>
      <c r="S93" s="171"/>
      <c r="T93" s="171"/>
      <c r="U93" s="171"/>
      <c r="V93" s="349">
        <v>11</v>
      </c>
      <c r="W93" s="349" t="str">
        <f t="shared" si="51"/>
        <v/>
      </c>
      <c r="X93" s="5"/>
      <c r="Y93" s="5"/>
      <c r="Z93" s="5"/>
      <c r="AA93" s="5"/>
      <c r="AB93" s="349">
        <v>11</v>
      </c>
      <c r="AC93" s="338">
        <f t="shared" ref="AC93:AN93" si="63">IF(OR(ScriptSourceCode=1,ScriptSourceCode=3),IF($AA121&lt;&gt;0,ROUND(AC121*INDEX(PxTxPhase1,$AA121,8),0),0),0)</f>
        <v>0</v>
      </c>
      <c r="AD93" s="338">
        <f t="shared" si="63"/>
        <v>0</v>
      </c>
      <c r="AE93" s="338">
        <f t="shared" si="63"/>
        <v>0</v>
      </c>
      <c r="AF93" s="338">
        <f t="shared" si="63"/>
        <v>0</v>
      </c>
      <c r="AG93" s="338">
        <f t="shared" si="63"/>
        <v>0</v>
      </c>
      <c r="AH93" s="338">
        <f t="shared" si="63"/>
        <v>0</v>
      </c>
      <c r="AI93" s="338">
        <f t="shared" si="63"/>
        <v>0</v>
      </c>
      <c r="AJ93" s="338">
        <f t="shared" si="63"/>
        <v>0</v>
      </c>
      <c r="AK93" s="338">
        <f t="shared" si="63"/>
        <v>0</v>
      </c>
      <c r="AL93" s="338">
        <f t="shared" si="63"/>
        <v>0</v>
      </c>
      <c r="AM93" s="338">
        <f t="shared" si="63"/>
        <v>0</v>
      </c>
      <c r="AN93" s="338">
        <f t="shared" si="63"/>
        <v>0</v>
      </c>
    </row>
    <row r="94" spans="1:40" outlineLevel="1" x14ac:dyDescent="0.2">
      <c r="A94" s="171"/>
      <c r="B94" s="592"/>
      <c r="C94" s="592"/>
      <c r="D94" s="79">
        <v>12</v>
      </c>
      <c r="E94" s="412" t="str">
        <f t="shared" si="43"/>
        <v>** NOT USED **</v>
      </c>
      <c r="F94" s="47">
        <f t="shared" si="44"/>
        <v>0</v>
      </c>
      <c r="G94" s="47">
        <f t="shared" si="45"/>
        <v>0</v>
      </c>
      <c r="H94" s="47">
        <f t="shared" si="46"/>
        <v>0</v>
      </c>
      <c r="I94" s="47">
        <f t="shared" si="47"/>
        <v>0</v>
      </c>
      <c r="J94" s="47">
        <f t="shared" si="48"/>
        <v>0</v>
      </c>
      <c r="K94" s="47">
        <f t="shared" si="49"/>
        <v>0</v>
      </c>
      <c r="L94" s="171"/>
      <c r="M94" s="47">
        <f t="shared" si="62"/>
        <v>0</v>
      </c>
      <c r="N94" s="47">
        <f t="shared" si="62"/>
        <v>0</v>
      </c>
      <c r="O94" s="47">
        <f t="shared" si="62"/>
        <v>0</v>
      </c>
      <c r="P94" s="47">
        <f t="shared" si="62"/>
        <v>0</v>
      </c>
      <c r="Q94" s="47">
        <f t="shared" si="62"/>
        <v>0</v>
      </c>
      <c r="R94" s="47">
        <f t="shared" si="62"/>
        <v>0</v>
      </c>
      <c r="S94" s="171"/>
      <c r="T94" s="171"/>
      <c r="U94" s="171"/>
      <c r="V94" s="349">
        <v>12</v>
      </c>
      <c r="W94" s="349" t="str">
        <f t="shared" si="51"/>
        <v/>
      </c>
      <c r="X94" s="5"/>
      <c r="Y94" s="5"/>
      <c r="Z94" s="5"/>
      <c r="AA94" s="5"/>
      <c r="AB94" s="349">
        <v>12</v>
      </c>
      <c r="AC94" s="338">
        <f t="shared" ref="AC94:AN94" si="64">IF(OR(ScriptSourceCode=1,ScriptSourceCode=3),IF($AA122&lt;&gt;0,ROUND(AC122*INDEX(PxTxPhase1,$AA122,8),0),0),0)</f>
        <v>0</v>
      </c>
      <c r="AD94" s="338">
        <f t="shared" si="64"/>
        <v>0</v>
      </c>
      <c r="AE94" s="338">
        <f t="shared" si="64"/>
        <v>0</v>
      </c>
      <c r="AF94" s="338">
        <f t="shared" si="64"/>
        <v>0</v>
      </c>
      <c r="AG94" s="338">
        <f t="shared" si="64"/>
        <v>0</v>
      </c>
      <c r="AH94" s="338">
        <f t="shared" si="64"/>
        <v>0</v>
      </c>
      <c r="AI94" s="338">
        <f t="shared" si="64"/>
        <v>0</v>
      </c>
      <c r="AJ94" s="338">
        <f t="shared" si="64"/>
        <v>0</v>
      </c>
      <c r="AK94" s="338">
        <f t="shared" si="64"/>
        <v>0</v>
      </c>
      <c r="AL94" s="338">
        <f t="shared" si="64"/>
        <v>0</v>
      </c>
      <c r="AM94" s="338">
        <f t="shared" si="64"/>
        <v>0</v>
      </c>
      <c r="AN94" s="338">
        <f t="shared" si="64"/>
        <v>0</v>
      </c>
    </row>
    <row r="95" spans="1:40" outlineLevel="1" x14ac:dyDescent="0.2">
      <c r="A95" s="171"/>
      <c r="B95" s="592"/>
      <c r="C95" s="592"/>
      <c r="D95" s="79">
        <v>13</v>
      </c>
      <c r="E95" s="412" t="str">
        <f t="shared" si="43"/>
        <v>** NOT USED **</v>
      </c>
      <c r="F95" s="47">
        <f t="shared" si="44"/>
        <v>0</v>
      </c>
      <c r="G95" s="47">
        <f t="shared" si="45"/>
        <v>0</v>
      </c>
      <c r="H95" s="47">
        <f t="shared" si="46"/>
        <v>0</v>
      </c>
      <c r="I95" s="47">
        <f t="shared" si="47"/>
        <v>0</v>
      </c>
      <c r="J95" s="47">
        <f t="shared" si="48"/>
        <v>0</v>
      </c>
      <c r="K95" s="47">
        <f t="shared" si="49"/>
        <v>0</v>
      </c>
      <c r="L95" s="171"/>
      <c r="M95" s="47">
        <f t="shared" si="62"/>
        <v>0</v>
      </c>
      <c r="N95" s="47">
        <f t="shared" si="62"/>
        <v>0</v>
      </c>
      <c r="O95" s="47">
        <f t="shared" si="62"/>
        <v>0</v>
      </c>
      <c r="P95" s="47">
        <f t="shared" si="62"/>
        <v>0</v>
      </c>
      <c r="Q95" s="47">
        <f t="shared" si="62"/>
        <v>0</v>
      </c>
      <c r="R95" s="47">
        <f t="shared" si="62"/>
        <v>0</v>
      </c>
      <c r="S95" s="171"/>
      <c r="T95" s="171"/>
      <c r="U95" s="171"/>
      <c r="V95" s="349">
        <v>13</v>
      </c>
      <c r="W95" s="349" t="str">
        <f t="shared" si="51"/>
        <v/>
      </c>
      <c r="X95" s="5"/>
      <c r="Y95" s="5"/>
      <c r="Z95" s="5"/>
      <c r="AA95" s="5"/>
      <c r="AB95" s="349">
        <v>13</v>
      </c>
      <c r="AC95" s="338">
        <f t="shared" ref="AC95:AN95" si="65">IF(OR(ScriptSourceCode=1,ScriptSourceCode=3),IF($AA123&lt;&gt;0,ROUND(AC123*INDEX(PxTxPhase1,$AA123,8),0),0),0)</f>
        <v>0</v>
      </c>
      <c r="AD95" s="338">
        <f t="shared" si="65"/>
        <v>0</v>
      </c>
      <c r="AE95" s="338">
        <f t="shared" si="65"/>
        <v>0</v>
      </c>
      <c r="AF95" s="338">
        <f t="shared" si="65"/>
        <v>0</v>
      </c>
      <c r="AG95" s="338">
        <f t="shared" si="65"/>
        <v>0</v>
      </c>
      <c r="AH95" s="338">
        <f t="shared" si="65"/>
        <v>0</v>
      </c>
      <c r="AI95" s="338">
        <f t="shared" si="65"/>
        <v>0</v>
      </c>
      <c r="AJ95" s="338">
        <f t="shared" si="65"/>
        <v>0</v>
      </c>
      <c r="AK95" s="338">
        <f t="shared" si="65"/>
        <v>0</v>
      </c>
      <c r="AL95" s="338">
        <f t="shared" si="65"/>
        <v>0</v>
      </c>
      <c r="AM95" s="338">
        <f t="shared" si="65"/>
        <v>0</v>
      </c>
      <c r="AN95" s="338">
        <f t="shared" si="65"/>
        <v>0</v>
      </c>
    </row>
    <row r="96" spans="1:40" outlineLevel="1" x14ac:dyDescent="0.2">
      <c r="A96" s="171"/>
      <c r="B96" s="592"/>
      <c r="C96" s="592"/>
      <c r="D96" s="79">
        <v>14</v>
      </c>
      <c r="E96" s="412" t="str">
        <f t="shared" si="43"/>
        <v>** NOT USED **</v>
      </c>
      <c r="F96" s="47">
        <f t="shared" si="44"/>
        <v>0</v>
      </c>
      <c r="G96" s="47">
        <f t="shared" si="45"/>
        <v>0</v>
      </c>
      <c r="H96" s="47">
        <f t="shared" si="46"/>
        <v>0</v>
      </c>
      <c r="I96" s="47">
        <f t="shared" si="47"/>
        <v>0</v>
      </c>
      <c r="J96" s="47">
        <f t="shared" si="48"/>
        <v>0</v>
      </c>
      <c r="K96" s="47">
        <f t="shared" si="49"/>
        <v>0</v>
      </c>
      <c r="L96" s="171"/>
      <c r="M96" s="47">
        <f t="shared" si="62"/>
        <v>0</v>
      </c>
      <c r="N96" s="47">
        <f t="shared" si="62"/>
        <v>0</v>
      </c>
      <c r="O96" s="47">
        <f t="shared" si="62"/>
        <v>0</v>
      </c>
      <c r="P96" s="47">
        <f t="shared" si="62"/>
        <v>0</v>
      </c>
      <c r="Q96" s="47">
        <f t="shared" si="62"/>
        <v>0</v>
      </c>
      <c r="R96" s="47">
        <f t="shared" si="62"/>
        <v>0</v>
      </c>
      <c r="S96" s="171"/>
      <c r="T96" s="171"/>
      <c r="U96" s="171"/>
      <c r="V96" s="349">
        <v>14</v>
      </c>
      <c r="W96" s="349" t="str">
        <f t="shared" si="51"/>
        <v/>
      </c>
      <c r="X96" s="5"/>
      <c r="Y96" s="5"/>
      <c r="Z96" s="5"/>
      <c r="AA96" s="5"/>
      <c r="AB96" s="349">
        <v>14</v>
      </c>
      <c r="AC96" s="338">
        <f t="shared" ref="AC96:AN96" si="66">IF(OR(ScriptSourceCode=1,ScriptSourceCode=3),IF($AA124&lt;&gt;0,ROUND(AC124*INDEX(PxTxPhase1,$AA124,8),0),0),0)</f>
        <v>0</v>
      </c>
      <c r="AD96" s="338">
        <f t="shared" si="66"/>
        <v>0</v>
      </c>
      <c r="AE96" s="338">
        <f t="shared" si="66"/>
        <v>0</v>
      </c>
      <c r="AF96" s="338">
        <f t="shared" si="66"/>
        <v>0</v>
      </c>
      <c r="AG96" s="338">
        <f t="shared" si="66"/>
        <v>0</v>
      </c>
      <c r="AH96" s="338">
        <f t="shared" si="66"/>
        <v>0</v>
      </c>
      <c r="AI96" s="338">
        <f t="shared" si="66"/>
        <v>0</v>
      </c>
      <c r="AJ96" s="338">
        <f t="shared" si="66"/>
        <v>0</v>
      </c>
      <c r="AK96" s="338">
        <f t="shared" si="66"/>
        <v>0</v>
      </c>
      <c r="AL96" s="338">
        <f t="shared" si="66"/>
        <v>0</v>
      </c>
      <c r="AM96" s="338">
        <f t="shared" si="66"/>
        <v>0</v>
      </c>
      <c r="AN96" s="338">
        <f t="shared" si="66"/>
        <v>0</v>
      </c>
    </row>
    <row r="97" spans="1:40" outlineLevel="1" x14ac:dyDescent="0.2">
      <c r="A97" s="171"/>
      <c r="B97" s="592"/>
      <c r="C97" s="592"/>
      <c r="D97" s="79">
        <v>15</v>
      </c>
      <c r="E97" s="412" t="str">
        <f t="shared" si="43"/>
        <v>** NOT USED **</v>
      </c>
      <c r="F97" s="47">
        <f t="shared" si="44"/>
        <v>0</v>
      </c>
      <c r="G97" s="47">
        <f t="shared" si="45"/>
        <v>0</v>
      </c>
      <c r="H97" s="47">
        <f t="shared" si="46"/>
        <v>0</v>
      </c>
      <c r="I97" s="47">
        <f t="shared" si="47"/>
        <v>0</v>
      </c>
      <c r="J97" s="47">
        <f t="shared" si="48"/>
        <v>0</v>
      </c>
      <c r="K97" s="47">
        <f t="shared" si="49"/>
        <v>0</v>
      </c>
      <c r="L97" s="171"/>
      <c r="M97" s="47">
        <f t="shared" si="62"/>
        <v>0</v>
      </c>
      <c r="N97" s="47">
        <f t="shared" si="62"/>
        <v>0</v>
      </c>
      <c r="O97" s="47">
        <f t="shared" si="62"/>
        <v>0</v>
      </c>
      <c r="P97" s="47">
        <f t="shared" si="62"/>
        <v>0</v>
      </c>
      <c r="Q97" s="47">
        <f t="shared" si="62"/>
        <v>0</v>
      </c>
      <c r="R97" s="47">
        <f t="shared" si="62"/>
        <v>0</v>
      </c>
      <c r="S97" s="171"/>
      <c r="T97" s="171"/>
      <c r="U97" s="171"/>
      <c r="V97" s="349">
        <v>15</v>
      </c>
      <c r="W97" s="349" t="str">
        <f t="shared" si="51"/>
        <v/>
      </c>
      <c r="X97" s="5"/>
      <c r="Y97" s="5"/>
      <c r="Z97" s="5"/>
      <c r="AA97" s="5"/>
      <c r="AB97" s="349">
        <v>15</v>
      </c>
      <c r="AC97" s="338">
        <f t="shared" ref="AC97:AN97" si="67">IF(OR(ScriptSourceCode=1,ScriptSourceCode=3),IF($AA125&lt;&gt;0,ROUND(AC125*INDEX(PxTxPhase1,$AA125,8),0),0),0)</f>
        <v>0</v>
      </c>
      <c r="AD97" s="338">
        <f t="shared" si="67"/>
        <v>0</v>
      </c>
      <c r="AE97" s="338">
        <f t="shared" si="67"/>
        <v>0</v>
      </c>
      <c r="AF97" s="338">
        <f t="shared" si="67"/>
        <v>0</v>
      </c>
      <c r="AG97" s="338">
        <f t="shared" si="67"/>
        <v>0</v>
      </c>
      <c r="AH97" s="338">
        <f t="shared" si="67"/>
        <v>0</v>
      </c>
      <c r="AI97" s="338">
        <f t="shared" si="67"/>
        <v>0</v>
      </c>
      <c r="AJ97" s="338">
        <f t="shared" si="67"/>
        <v>0</v>
      </c>
      <c r="AK97" s="338">
        <f t="shared" si="67"/>
        <v>0</v>
      </c>
      <c r="AL97" s="338">
        <f t="shared" si="67"/>
        <v>0</v>
      </c>
      <c r="AM97" s="338">
        <f t="shared" si="67"/>
        <v>0</v>
      </c>
      <c r="AN97" s="338">
        <f t="shared" si="67"/>
        <v>0</v>
      </c>
    </row>
    <row r="98" spans="1:40" outlineLevel="1" x14ac:dyDescent="0.2">
      <c r="A98" s="171"/>
      <c r="B98" s="592"/>
      <c r="C98" s="592"/>
      <c r="D98" s="79">
        <v>16</v>
      </c>
      <c r="E98" s="412" t="str">
        <f t="shared" si="43"/>
        <v>** NOT USED **</v>
      </c>
      <c r="F98" s="47">
        <f t="shared" si="44"/>
        <v>0</v>
      </c>
      <c r="G98" s="47">
        <f t="shared" si="45"/>
        <v>0</v>
      </c>
      <c r="H98" s="47">
        <f t="shared" si="46"/>
        <v>0</v>
      </c>
      <c r="I98" s="47">
        <f t="shared" si="47"/>
        <v>0</v>
      </c>
      <c r="J98" s="47">
        <f t="shared" si="48"/>
        <v>0</v>
      </c>
      <c r="K98" s="47">
        <f t="shared" si="49"/>
        <v>0</v>
      </c>
      <c r="L98" s="171"/>
      <c r="M98" s="47">
        <f t="shared" si="62"/>
        <v>0</v>
      </c>
      <c r="N98" s="47">
        <f t="shared" si="62"/>
        <v>0</v>
      </c>
      <c r="O98" s="47">
        <f t="shared" si="62"/>
        <v>0</v>
      </c>
      <c r="P98" s="47">
        <f t="shared" si="62"/>
        <v>0</v>
      </c>
      <c r="Q98" s="47">
        <f t="shared" si="62"/>
        <v>0</v>
      </c>
      <c r="R98" s="47">
        <f t="shared" si="62"/>
        <v>0</v>
      </c>
      <c r="S98" s="171"/>
      <c r="T98" s="171"/>
      <c r="U98" s="171"/>
      <c r="V98" s="349">
        <v>16</v>
      </c>
      <c r="W98" s="349" t="str">
        <f t="shared" si="51"/>
        <v/>
      </c>
      <c r="X98" s="5"/>
      <c r="Y98" s="5"/>
      <c r="Z98" s="5"/>
      <c r="AA98" s="5"/>
      <c r="AB98" s="349">
        <v>16</v>
      </c>
      <c r="AC98" s="338">
        <f t="shared" ref="AC98:AN98" si="68">IF(OR(ScriptSourceCode=1,ScriptSourceCode=3),IF($AA126&lt;&gt;0,ROUND(AC126*INDEX(PxTxPhase1,$AA126,8),0),0),0)</f>
        <v>0</v>
      </c>
      <c r="AD98" s="338">
        <f t="shared" si="68"/>
        <v>0</v>
      </c>
      <c r="AE98" s="338">
        <f t="shared" si="68"/>
        <v>0</v>
      </c>
      <c r="AF98" s="338">
        <f t="shared" si="68"/>
        <v>0</v>
      </c>
      <c r="AG98" s="338">
        <f t="shared" si="68"/>
        <v>0</v>
      </c>
      <c r="AH98" s="338">
        <f t="shared" si="68"/>
        <v>0</v>
      </c>
      <c r="AI98" s="338">
        <f t="shared" si="68"/>
        <v>0</v>
      </c>
      <c r="AJ98" s="338">
        <f t="shared" si="68"/>
        <v>0</v>
      </c>
      <c r="AK98" s="338">
        <f t="shared" si="68"/>
        <v>0</v>
      </c>
      <c r="AL98" s="338">
        <f t="shared" si="68"/>
        <v>0</v>
      </c>
      <c r="AM98" s="338">
        <f t="shared" si="68"/>
        <v>0</v>
      </c>
      <c r="AN98" s="338">
        <f t="shared" si="68"/>
        <v>0</v>
      </c>
    </row>
    <row r="99" spans="1:40" outlineLevel="1" x14ac:dyDescent="0.2">
      <c r="A99" s="171"/>
      <c r="B99" s="592"/>
      <c r="C99" s="592"/>
      <c r="D99" s="79">
        <v>17</v>
      </c>
      <c r="E99" s="412" t="str">
        <f t="shared" si="43"/>
        <v>** NOT USED **</v>
      </c>
      <c r="F99" s="47">
        <f t="shared" si="44"/>
        <v>0</v>
      </c>
      <c r="G99" s="47">
        <f t="shared" si="45"/>
        <v>0</v>
      </c>
      <c r="H99" s="47">
        <f t="shared" si="46"/>
        <v>0</v>
      </c>
      <c r="I99" s="47">
        <f t="shared" si="47"/>
        <v>0</v>
      </c>
      <c r="J99" s="47">
        <f t="shared" si="48"/>
        <v>0</v>
      </c>
      <c r="K99" s="47">
        <f t="shared" si="49"/>
        <v>0</v>
      </c>
      <c r="L99" s="171"/>
      <c r="M99" s="47">
        <f t="shared" si="62"/>
        <v>0</v>
      </c>
      <c r="N99" s="47">
        <f t="shared" si="62"/>
        <v>0</v>
      </c>
      <c r="O99" s="47">
        <f t="shared" si="62"/>
        <v>0</v>
      </c>
      <c r="P99" s="47">
        <f t="shared" si="62"/>
        <v>0</v>
      </c>
      <c r="Q99" s="47">
        <f t="shared" si="62"/>
        <v>0</v>
      </c>
      <c r="R99" s="47">
        <f t="shared" si="62"/>
        <v>0</v>
      </c>
      <c r="S99" s="171"/>
      <c r="T99" s="171"/>
      <c r="U99" s="171"/>
      <c r="V99" s="349">
        <v>17</v>
      </c>
      <c r="W99" s="349" t="str">
        <f t="shared" si="51"/>
        <v/>
      </c>
      <c r="X99" s="5"/>
      <c r="Y99" s="5"/>
      <c r="Z99" s="5"/>
      <c r="AA99" s="5"/>
      <c r="AB99" s="349">
        <v>17</v>
      </c>
      <c r="AC99" s="338">
        <f t="shared" ref="AC99:AN99" si="69">IF(OR(ScriptSourceCode=1,ScriptSourceCode=3),IF($AA127&lt;&gt;0,ROUND(AC127*INDEX(PxTxPhase1,$AA127,8),0),0),0)</f>
        <v>0</v>
      </c>
      <c r="AD99" s="338">
        <f t="shared" si="69"/>
        <v>0</v>
      </c>
      <c r="AE99" s="338">
        <f t="shared" si="69"/>
        <v>0</v>
      </c>
      <c r="AF99" s="338">
        <f t="shared" si="69"/>
        <v>0</v>
      </c>
      <c r="AG99" s="338">
        <f t="shared" si="69"/>
        <v>0</v>
      </c>
      <c r="AH99" s="338">
        <f t="shared" si="69"/>
        <v>0</v>
      </c>
      <c r="AI99" s="338">
        <f t="shared" si="69"/>
        <v>0</v>
      </c>
      <c r="AJ99" s="338">
        <f t="shared" si="69"/>
        <v>0</v>
      </c>
      <c r="AK99" s="338">
        <f t="shared" si="69"/>
        <v>0</v>
      </c>
      <c r="AL99" s="338">
        <f t="shared" si="69"/>
        <v>0</v>
      </c>
      <c r="AM99" s="338">
        <f t="shared" si="69"/>
        <v>0</v>
      </c>
      <c r="AN99" s="338">
        <f t="shared" si="69"/>
        <v>0</v>
      </c>
    </row>
    <row r="100" spans="1:40" outlineLevel="1" x14ac:dyDescent="0.2">
      <c r="A100" s="171"/>
      <c r="B100" s="592"/>
      <c r="C100" s="592"/>
      <c r="D100" s="79">
        <v>18</v>
      </c>
      <c r="E100" s="412" t="str">
        <f t="shared" si="43"/>
        <v>** NOT USED **</v>
      </c>
      <c r="F100" s="47">
        <f t="shared" si="44"/>
        <v>0</v>
      </c>
      <c r="G100" s="47">
        <f t="shared" si="45"/>
        <v>0</v>
      </c>
      <c r="H100" s="47">
        <f t="shared" si="46"/>
        <v>0</v>
      </c>
      <c r="I100" s="47">
        <f t="shared" si="47"/>
        <v>0</v>
      </c>
      <c r="J100" s="47">
        <f t="shared" si="48"/>
        <v>0</v>
      </c>
      <c r="K100" s="47">
        <f t="shared" si="49"/>
        <v>0</v>
      </c>
      <c r="L100" s="171"/>
      <c r="M100" s="47">
        <f t="shared" si="62"/>
        <v>0</v>
      </c>
      <c r="N100" s="47">
        <f t="shared" si="62"/>
        <v>0</v>
      </c>
      <c r="O100" s="47">
        <f t="shared" si="62"/>
        <v>0</v>
      </c>
      <c r="P100" s="47">
        <f t="shared" si="62"/>
        <v>0</v>
      </c>
      <c r="Q100" s="47">
        <f t="shared" si="62"/>
        <v>0</v>
      </c>
      <c r="R100" s="47">
        <f t="shared" si="62"/>
        <v>0</v>
      </c>
      <c r="S100" s="171"/>
      <c r="T100" s="171"/>
      <c r="U100" s="171"/>
      <c r="V100" s="349">
        <v>18</v>
      </c>
      <c r="W100" s="349" t="str">
        <f t="shared" si="51"/>
        <v/>
      </c>
      <c r="X100" s="5"/>
      <c r="Y100" s="5"/>
      <c r="Z100" s="5"/>
      <c r="AA100" s="5"/>
      <c r="AB100" s="349">
        <v>18</v>
      </c>
      <c r="AC100" s="338">
        <f t="shared" ref="AC100:AN100" si="70">IF(OR(ScriptSourceCode=1,ScriptSourceCode=3),IF($AA128&lt;&gt;0,ROUND(AC128*INDEX(PxTxPhase1,$AA128,8),0),0),0)</f>
        <v>0</v>
      </c>
      <c r="AD100" s="338">
        <f t="shared" si="70"/>
        <v>0</v>
      </c>
      <c r="AE100" s="338">
        <f t="shared" si="70"/>
        <v>0</v>
      </c>
      <c r="AF100" s="338">
        <f t="shared" si="70"/>
        <v>0</v>
      </c>
      <c r="AG100" s="338">
        <f t="shared" si="70"/>
        <v>0</v>
      </c>
      <c r="AH100" s="338">
        <f t="shared" si="70"/>
        <v>0</v>
      </c>
      <c r="AI100" s="338">
        <f t="shared" si="70"/>
        <v>0</v>
      </c>
      <c r="AJ100" s="338">
        <f t="shared" si="70"/>
        <v>0</v>
      </c>
      <c r="AK100" s="338">
        <f t="shared" si="70"/>
        <v>0</v>
      </c>
      <c r="AL100" s="338">
        <f t="shared" si="70"/>
        <v>0</v>
      </c>
      <c r="AM100" s="338">
        <f t="shared" si="70"/>
        <v>0</v>
      </c>
      <c r="AN100" s="338">
        <f t="shared" si="70"/>
        <v>0</v>
      </c>
    </row>
    <row r="101" spans="1:40" outlineLevel="1" x14ac:dyDescent="0.2">
      <c r="A101" s="171"/>
      <c r="B101" s="592"/>
      <c r="C101" s="592"/>
      <c r="D101" s="79">
        <v>19</v>
      </c>
      <c r="E101" s="412" t="str">
        <f t="shared" si="43"/>
        <v>** NOT USED **</v>
      </c>
      <c r="F101" s="47">
        <f t="shared" si="44"/>
        <v>0</v>
      </c>
      <c r="G101" s="47">
        <f t="shared" si="45"/>
        <v>0</v>
      </c>
      <c r="H101" s="47">
        <f t="shared" si="46"/>
        <v>0</v>
      </c>
      <c r="I101" s="47">
        <f t="shared" si="47"/>
        <v>0</v>
      </c>
      <c r="J101" s="47">
        <f t="shared" si="48"/>
        <v>0</v>
      </c>
      <c r="K101" s="47">
        <f t="shared" si="49"/>
        <v>0</v>
      </c>
      <c r="L101" s="171"/>
      <c r="M101" s="47">
        <f t="shared" si="62"/>
        <v>0</v>
      </c>
      <c r="N101" s="47">
        <f t="shared" si="62"/>
        <v>0</v>
      </c>
      <c r="O101" s="47">
        <f t="shared" si="62"/>
        <v>0</v>
      </c>
      <c r="P101" s="47">
        <f t="shared" si="62"/>
        <v>0</v>
      </c>
      <c r="Q101" s="47">
        <f t="shared" si="62"/>
        <v>0</v>
      </c>
      <c r="R101" s="47">
        <f t="shared" si="62"/>
        <v>0</v>
      </c>
      <c r="S101" s="171"/>
      <c r="T101" s="171"/>
      <c r="U101" s="171"/>
      <c r="V101" s="349">
        <v>19</v>
      </c>
      <c r="W101" s="349" t="str">
        <f t="shared" si="51"/>
        <v/>
      </c>
      <c r="X101" s="5"/>
      <c r="Y101" s="5"/>
      <c r="Z101" s="5"/>
      <c r="AA101" s="5"/>
      <c r="AB101" s="349">
        <v>19</v>
      </c>
      <c r="AC101" s="338">
        <f t="shared" ref="AC101:AN101" si="71">IF(OR(ScriptSourceCode=1,ScriptSourceCode=3),IF($AA129&lt;&gt;0,ROUND(AC129*INDEX(PxTxPhase1,$AA129,8),0),0),0)</f>
        <v>0</v>
      </c>
      <c r="AD101" s="338">
        <f t="shared" si="71"/>
        <v>0</v>
      </c>
      <c r="AE101" s="338">
        <f t="shared" si="71"/>
        <v>0</v>
      </c>
      <c r="AF101" s="338">
        <f t="shared" si="71"/>
        <v>0</v>
      </c>
      <c r="AG101" s="338">
        <f t="shared" si="71"/>
        <v>0</v>
      </c>
      <c r="AH101" s="338">
        <f t="shared" si="71"/>
        <v>0</v>
      </c>
      <c r="AI101" s="338">
        <f t="shared" si="71"/>
        <v>0</v>
      </c>
      <c r="AJ101" s="338">
        <f t="shared" si="71"/>
        <v>0</v>
      </c>
      <c r="AK101" s="338">
        <f t="shared" si="71"/>
        <v>0</v>
      </c>
      <c r="AL101" s="338">
        <f t="shared" si="71"/>
        <v>0</v>
      </c>
      <c r="AM101" s="338">
        <f t="shared" si="71"/>
        <v>0</v>
      </c>
      <c r="AN101" s="338">
        <f t="shared" si="71"/>
        <v>0</v>
      </c>
    </row>
    <row r="102" spans="1:40" outlineLevel="1" x14ac:dyDescent="0.2">
      <c r="A102" s="171"/>
      <c r="B102" s="592"/>
      <c r="C102" s="592"/>
      <c r="D102" s="79">
        <v>20</v>
      </c>
      <c r="E102" s="412" t="str">
        <f t="shared" si="43"/>
        <v>** NOT USED **</v>
      </c>
      <c r="F102" s="47">
        <f t="shared" si="44"/>
        <v>0</v>
      </c>
      <c r="G102" s="47">
        <f t="shared" si="45"/>
        <v>0</v>
      </c>
      <c r="H102" s="47">
        <f t="shared" si="46"/>
        <v>0</v>
      </c>
      <c r="I102" s="47">
        <f t="shared" si="47"/>
        <v>0</v>
      </c>
      <c r="J102" s="47">
        <f t="shared" si="48"/>
        <v>0</v>
      </c>
      <c r="K102" s="47">
        <f t="shared" si="49"/>
        <v>0</v>
      </c>
      <c r="L102" s="171"/>
      <c r="M102" s="47">
        <f t="shared" si="62"/>
        <v>0</v>
      </c>
      <c r="N102" s="47">
        <f t="shared" si="62"/>
        <v>0</v>
      </c>
      <c r="O102" s="47">
        <f t="shared" si="62"/>
        <v>0</v>
      </c>
      <c r="P102" s="47">
        <f t="shared" si="62"/>
        <v>0</v>
      </c>
      <c r="Q102" s="47">
        <f t="shared" si="62"/>
        <v>0</v>
      </c>
      <c r="R102" s="47">
        <f t="shared" si="62"/>
        <v>0</v>
      </c>
      <c r="S102" s="171"/>
      <c r="T102" s="171"/>
      <c r="U102" s="171"/>
      <c r="V102" s="349">
        <v>20</v>
      </c>
      <c r="W102" s="349" t="str">
        <f t="shared" si="51"/>
        <v/>
      </c>
      <c r="X102" s="5"/>
      <c r="Y102" s="5"/>
      <c r="Z102" s="5"/>
      <c r="AA102" s="5"/>
      <c r="AB102" s="349">
        <v>20</v>
      </c>
      <c r="AC102" s="338">
        <f t="shared" ref="AC102:AN102" si="72">IF(OR(ScriptSourceCode=1,ScriptSourceCode=3),IF($AA130&lt;&gt;0,ROUND(AC130*INDEX(PxTxPhase1,$AA130,8),0),0),0)</f>
        <v>0</v>
      </c>
      <c r="AD102" s="338">
        <f t="shared" si="72"/>
        <v>0</v>
      </c>
      <c r="AE102" s="338">
        <f t="shared" si="72"/>
        <v>0</v>
      </c>
      <c r="AF102" s="338">
        <f t="shared" si="72"/>
        <v>0</v>
      </c>
      <c r="AG102" s="338">
        <f t="shared" si="72"/>
        <v>0</v>
      </c>
      <c r="AH102" s="338">
        <f t="shared" si="72"/>
        <v>0</v>
      </c>
      <c r="AI102" s="338">
        <f t="shared" si="72"/>
        <v>0</v>
      </c>
      <c r="AJ102" s="338">
        <f t="shared" si="72"/>
        <v>0</v>
      </c>
      <c r="AK102" s="338">
        <f t="shared" si="72"/>
        <v>0</v>
      </c>
      <c r="AL102" s="338">
        <f t="shared" si="72"/>
        <v>0</v>
      </c>
      <c r="AM102" s="338">
        <f t="shared" si="72"/>
        <v>0</v>
      </c>
      <c r="AN102" s="338">
        <f t="shared" si="72"/>
        <v>0</v>
      </c>
    </row>
    <row r="103" spans="1:40" outlineLevel="1" x14ac:dyDescent="0.2">
      <c r="A103" s="171"/>
      <c r="B103" s="592"/>
      <c r="C103" s="592"/>
      <c r="D103" s="171"/>
      <c r="E103" s="85" t="s">
        <v>255</v>
      </c>
      <c r="F103" s="50">
        <f>SUM(F83:F102)</f>
        <v>0</v>
      </c>
      <c r="G103" s="50">
        <f t="shared" ref="G103:K103" si="73">SUM(G83:G102)</f>
        <v>0</v>
      </c>
      <c r="H103" s="50">
        <f t="shared" si="73"/>
        <v>0</v>
      </c>
      <c r="I103" s="50">
        <f t="shared" si="73"/>
        <v>0</v>
      </c>
      <c r="J103" s="50">
        <f t="shared" si="73"/>
        <v>0</v>
      </c>
      <c r="K103" s="50">
        <f t="shared" si="73"/>
        <v>0</v>
      </c>
      <c r="L103" s="171"/>
      <c r="M103" s="50">
        <f>SUM(M83:M102)</f>
        <v>0</v>
      </c>
      <c r="N103" s="50">
        <f t="shared" ref="N103:R103" si="74">SUM(N83:N102)</f>
        <v>0</v>
      </c>
      <c r="O103" s="50">
        <f t="shared" si="74"/>
        <v>0</v>
      </c>
      <c r="P103" s="50">
        <f t="shared" si="74"/>
        <v>0</v>
      </c>
      <c r="Q103" s="50">
        <f t="shared" si="74"/>
        <v>0</v>
      </c>
      <c r="R103" s="50">
        <f t="shared" si="74"/>
        <v>0</v>
      </c>
      <c r="S103" s="171"/>
      <c r="T103" s="171"/>
      <c r="U103" s="171"/>
      <c r="V103" s="5"/>
      <c r="W103" s="5"/>
      <c r="X103" s="5"/>
      <c r="Y103" s="5"/>
      <c r="Z103" s="5"/>
      <c r="AA103" s="5"/>
    </row>
    <row r="104" spans="1:40" outlineLevel="1" x14ac:dyDescent="0.2">
      <c r="A104" s="6"/>
      <c r="B104" s="572"/>
      <c r="C104" s="572"/>
      <c r="D104" s="6"/>
      <c r="E104" s="7"/>
      <c r="F104" s="17"/>
      <c r="G104" s="17"/>
      <c r="H104" s="17"/>
      <c r="I104" s="17"/>
      <c r="J104" s="17"/>
      <c r="K104" s="17"/>
      <c r="L104" s="6"/>
      <c r="M104" s="6"/>
      <c r="N104" s="6"/>
      <c r="O104" s="6"/>
      <c r="P104" s="6"/>
      <c r="Q104" s="6"/>
      <c r="R104" s="6"/>
      <c r="S104" s="231"/>
      <c r="T104" s="231"/>
      <c r="U104" s="231"/>
      <c r="V104" s="1"/>
      <c r="W104" s="1"/>
      <c r="X104" s="1"/>
      <c r="Y104" s="1"/>
      <c r="Z104" s="1"/>
      <c r="AA104" s="1"/>
    </row>
    <row r="105" spans="1:40" x14ac:dyDescent="0.2">
      <c r="A105" s="6"/>
      <c r="B105" s="572"/>
      <c r="C105" s="572"/>
      <c r="D105" s="6"/>
      <c r="E105" s="7"/>
      <c r="F105" s="17"/>
      <c r="G105" s="17"/>
      <c r="H105" s="17"/>
      <c r="I105" s="17"/>
      <c r="J105" s="17"/>
      <c r="K105" s="17"/>
      <c r="L105" s="6"/>
      <c r="M105" s="6"/>
      <c r="N105" s="6"/>
      <c r="O105" s="6"/>
      <c r="P105" s="6"/>
      <c r="Q105" s="6"/>
      <c r="R105" s="6"/>
      <c r="S105" s="231"/>
      <c r="T105" s="231"/>
      <c r="U105" s="231"/>
      <c r="V105" s="1"/>
      <c r="W105" s="1"/>
      <c r="X105" s="1"/>
      <c r="Y105" s="1"/>
      <c r="Z105" s="1"/>
      <c r="AA105" s="1"/>
    </row>
    <row r="106" spans="1:40" ht="15.75" x14ac:dyDescent="0.2">
      <c r="A106" s="176"/>
      <c r="B106" s="176"/>
      <c r="C106" s="176"/>
      <c r="D106" s="176"/>
      <c r="E106" s="174" t="s">
        <v>943</v>
      </c>
      <c r="F106" s="214"/>
      <c r="G106" s="178"/>
      <c r="H106" s="178"/>
      <c r="I106" s="178"/>
      <c r="J106" s="771"/>
      <c r="K106" s="772"/>
      <c r="L106" s="178"/>
      <c r="M106" s="178"/>
      <c r="N106" s="178"/>
      <c r="O106" s="178"/>
      <c r="P106" s="178"/>
      <c r="Q106" s="178"/>
      <c r="R106" s="178"/>
      <c r="S106" s="175"/>
      <c r="T106" s="175"/>
      <c r="U106" s="175"/>
      <c r="V106" s="40"/>
      <c r="W106" s="40"/>
      <c r="X106" s="40"/>
      <c r="Y106" s="40"/>
      <c r="Z106" s="40"/>
      <c r="AA106" s="40"/>
    </row>
    <row r="107" spans="1:40" ht="15.75" outlineLevel="1" x14ac:dyDescent="0.2">
      <c r="A107" s="171"/>
      <c r="B107" s="592"/>
      <c r="C107" s="592"/>
      <c r="D107" s="171"/>
      <c r="E107" s="193"/>
      <c r="F107" s="215"/>
      <c r="G107" s="171"/>
      <c r="H107" s="171"/>
      <c r="I107" s="171"/>
      <c r="J107" s="171"/>
      <c r="K107" s="171"/>
      <c r="L107" s="171"/>
      <c r="M107" s="171"/>
      <c r="N107" s="171"/>
      <c r="O107" s="5"/>
      <c r="P107" s="5"/>
      <c r="Q107" s="5"/>
      <c r="R107" s="5"/>
      <c r="S107" s="171"/>
      <c r="T107" s="171"/>
      <c r="U107" s="171"/>
      <c r="V107" s="5"/>
      <c r="W107" s="5"/>
      <c r="X107" s="5"/>
      <c r="Y107" s="5"/>
      <c r="Z107" s="5"/>
      <c r="AA107" s="5"/>
    </row>
    <row r="108" spans="1:40" outlineLevel="1" x14ac:dyDescent="0.2">
      <c r="A108" s="171"/>
      <c r="B108" s="592"/>
      <c r="C108" s="592"/>
      <c r="D108" s="171"/>
      <c r="E108" s="6" t="s">
        <v>893</v>
      </c>
      <c r="F108" s="215"/>
      <c r="G108" s="171"/>
      <c r="H108" s="171"/>
      <c r="I108" s="171"/>
      <c r="J108" s="171"/>
      <c r="K108" s="171"/>
      <c r="L108" s="171"/>
      <c r="M108" s="171"/>
      <c r="N108" s="171"/>
      <c r="O108" s="171"/>
      <c r="P108" s="5"/>
      <c r="Q108" s="5"/>
      <c r="R108" s="824"/>
      <c r="S108" s="824"/>
      <c r="T108" s="824"/>
      <c r="U108" s="824"/>
      <c r="V108" s="5"/>
      <c r="W108" s="5"/>
      <c r="X108" s="5"/>
      <c r="Y108" s="5"/>
      <c r="Z108" s="5"/>
      <c r="AA108" s="5"/>
      <c r="AB108" s="5"/>
      <c r="AC108" s="212">
        <v>1</v>
      </c>
      <c r="AD108" s="212">
        <v>2</v>
      </c>
      <c r="AE108" s="212">
        <v>3</v>
      </c>
      <c r="AF108" s="212">
        <v>4</v>
      </c>
      <c r="AG108" s="212">
        <v>5</v>
      </c>
      <c r="AH108" s="212">
        <v>6</v>
      </c>
      <c r="AI108" s="212">
        <v>1</v>
      </c>
      <c r="AJ108" s="212">
        <v>2</v>
      </c>
      <c r="AK108" s="212">
        <v>3</v>
      </c>
      <c r="AL108" s="212">
        <v>4</v>
      </c>
      <c r="AM108" s="212">
        <v>5</v>
      </c>
      <c r="AN108" s="212">
        <v>6</v>
      </c>
    </row>
    <row r="109" spans="1:40" outlineLevel="1" x14ac:dyDescent="0.2">
      <c r="A109" s="171"/>
      <c r="B109" s="592"/>
      <c r="C109" s="592"/>
      <c r="D109" s="171"/>
      <c r="E109" s="6"/>
      <c r="F109" s="215"/>
      <c r="G109" s="171"/>
      <c r="H109" s="171"/>
      <c r="I109" s="171"/>
      <c r="J109" s="171"/>
      <c r="K109" s="171"/>
      <c r="L109" s="171"/>
      <c r="M109" s="171"/>
      <c r="N109" s="171"/>
      <c r="O109" s="171"/>
      <c r="P109" s="171"/>
      <c r="Q109" s="171"/>
      <c r="R109" s="171"/>
      <c r="S109" s="171"/>
      <c r="T109" s="171"/>
      <c r="U109" s="171"/>
      <c r="V109" s="5"/>
      <c r="W109" s="171"/>
      <c r="X109" s="171"/>
      <c r="Y109" s="171"/>
      <c r="Z109" s="171"/>
      <c r="AA109" s="171"/>
      <c r="AB109" s="171"/>
      <c r="AC109" s="820" t="str">
        <f>AC81</f>
        <v/>
      </c>
      <c r="AD109" s="820"/>
      <c r="AE109" s="820"/>
      <c r="AF109" s="820"/>
      <c r="AG109" s="820"/>
      <c r="AH109" s="820"/>
      <c r="AI109" s="820" t="str">
        <f>AI81</f>
        <v/>
      </c>
      <c r="AJ109" s="820"/>
      <c r="AK109" s="820"/>
      <c r="AL109" s="820"/>
      <c r="AM109" s="820"/>
      <c r="AN109" s="820"/>
    </row>
    <row r="110" spans="1:40" ht="25.5" outlineLevel="1" x14ac:dyDescent="0.2">
      <c r="A110" s="171"/>
      <c r="B110" s="592"/>
      <c r="C110" s="592"/>
      <c r="D110" s="171"/>
      <c r="E110" s="113" t="s">
        <v>884</v>
      </c>
      <c r="F110" s="792" t="s">
        <v>128</v>
      </c>
      <c r="G110" s="793"/>
      <c r="H110" s="794"/>
      <c r="I110" s="113" t="s">
        <v>57</v>
      </c>
      <c r="J110" s="113" t="s">
        <v>337</v>
      </c>
      <c r="K110" s="113" t="s">
        <v>137</v>
      </c>
      <c r="L110" s="113" t="s">
        <v>416</v>
      </c>
      <c r="M110" s="113" t="s">
        <v>415</v>
      </c>
      <c r="N110" s="90" t="s">
        <v>407</v>
      </c>
      <c r="O110" s="90" t="str">
        <f>"Scripts / " &amp; IF(Episodicity=1,"year","treatment")</f>
        <v>Scripts / treatment</v>
      </c>
      <c r="P110" s="113" t="s">
        <v>404</v>
      </c>
      <c r="Q110" s="120" t="s">
        <v>463</v>
      </c>
      <c r="R110" s="789" t="s">
        <v>469</v>
      </c>
      <c r="S110" s="789"/>
      <c r="T110" s="789"/>
      <c r="U110" s="789"/>
      <c r="V110" s="1"/>
      <c r="W110" s="333" t="s">
        <v>314</v>
      </c>
      <c r="X110" s="334" t="s">
        <v>326</v>
      </c>
      <c r="Y110" s="337" t="s">
        <v>292</v>
      </c>
      <c r="Z110" s="337" t="s">
        <v>52</v>
      </c>
      <c r="AA110" s="337" t="s">
        <v>381</v>
      </c>
      <c r="AB110" s="335" t="s">
        <v>468</v>
      </c>
      <c r="AC110" s="335">
        <f>FirstYear</f>
        <v>0</v>
      </c>
      <c r="AD110" s="335">
        <f>AC110+1</f>
        <v>1</v>
      </c>
      <c r="AE110" s="335">
        <f>AD110+1</f>
        <v>2</v>
      </c>
      <c r="AF110" s="335">
        <f>AE110+1</f>
        <v>3</v>
      </c>
      <c r="AG110" s="335">
        <f>AF110+1</f>
        <v>4</v>
      </c>
      <c r="AH110" s="335">
        <f>AG110+1</f>
        <v>5</v>
      </c>
      <c r="AI110" s="335">
        <f>FirstYear</f>
        <v>0</v>
      </c>
      <c r="AJ110" s="335">
        <f>AI110+1</f>
        <v>1</v>
      </c>
      <c r="AK110" s="335">
        <f>AJ110+1</f>
        <v>2</v>
      </c>
      <c r="AL110" s="335">
        <f>AK110+1</f>
        <v>3</v>
      </c>
      <c r="AM110" s="335">
        <f>AL110+1</f>
        <v>4</v>
      </c>
      <c r="AN110" s="335">
        <f>AM110+1</f>
        <v>5</v>
      </c>
    </row>
    <row r="111" spans="1:40" outlineLevel="1" x14ac:dyDescent="0.2">
      <c r="A111" s="62"/>
      <c r="B111" s="62"/>
      <c r="C111" s="62"/>
      <c r="D111" s="79">
        <v>1</v>
      </c>
      <c r="E111" s="664"/>
      <c r="F111" s="805"/>
      <c r="G111" s="806"/>
      <c r="H111" s="807"/>
      <c r="I111" s="378"/>
      <c r="J111" s="233"/>
      <c r="K111" s="232"/>
      <c r="L111" s="234"/>
      <c r="M111" s="378"/>
      <c r="N111" s="351"/>
      <c r="O111" s="235" t="str">
        <f>IF(AND(K111&lt;&gt;0,N111&lt;&gt;0,K111&lt;&gt;0,N111&lt;&gt;0),L111/(K111/N111)*J111,"")</f>
        <v/>
      </c>
      <c r="P111" s="233"/>
      <c r="Q111" s="378"/>
      <c r="R111" s="808"/>
      <c r="S111" s="809"/>
      <c r="T111" s="809"/>
      <c r="U111" s="810"/>
      <c r="V111" s="1"/>
      <c r="W111" s="95" t="str">
        <f t="shared" ref="W111:W130" si="75">IF(E111&lt;&gt;"",CONCATENATE(E111," ",F111, " - ",I111),MsgNotUsed)</f>
        <v>** NOT USED **</v>
      </c>
      <c r="X111" s="642" t="str">
        <f t="shared" ref="X111:X130" si="76">IF(I111&lt;&gt;"",VLOOKUP(I111,TPShortCode,3,FALSE),"")</f>
        <v/>
      </c>
      <c r="Y111" s="644">
        <f t="shared" ref="Y111:Y120" si="77">IF(Q111&lt;&gt;"",MATCH(Q111,PxTxSource,0)-1,0)</f>
        <v>0</v>
      </c>
      <c r="Z111" s="644">
        <f ca="1">IF(R111&lt;&gt;"",MATCH(R111,OFFSET(References!$AB$23,0,Y111,PxTxCount),0),0)</f>
        <v>0</v>
      </c>
      <c r="AA111" s="644">
        <f t="shared" ref="AA111:AA120" ca="1" si="78">(Y111*PxTxCount)+Z111</f>
        <v>0</v>
      </c>
      <c r="AB111" s="95" t="str">
        <f ca="1">IF(Q111&lt;&gt;"",OFFSET(References!$AB$23,0,$Y111,INDEX(PxTxValid,,$Y111+1)),"")</f>
        <v/>
      </c>
      <c r="AC111" s="338">
        <f t="shared" ref="AC111:AH126" ca="1" si="79">IF($AA111&lt;&gt;0,INDEX(PxTxPhase1,$AA111,AC$108),0)</f>
        <v>0</v>
      </c>
      <c r="AD111" s="338">
        <f t="shared" ca="1" si="79"/>
        <v>0</v>
      </c>
      <c r="AE111" s="338">
        <f t="shared" ca="1" si="79"/>
        <v>0</v>
      </c>
      <c r="AF111" s="338">
        <f t="shared" ca="1" si="79"/>
        <v>0</v>
      </c>
      <c r="AG111" s="338">
        <f t="shared" ca="1" si="79"/>
        <v>0</v>
      </c>
      <c r="AH111" s="338">
        <f t="shared" ca="1" si="79"/>
        <v>0</v>
      </c>
      <c r="AI111" s="338">
        <f t="shared" ref="AI111:AN126" ca="1" si="80">IF($AA111&lt;&gt;0,INDEX(PxTxPhase2,$AA111,AI$108),0)</f>
        <v>0</v>
      </c>
      <c r="AJ111" s="338">
        <f t="shared" ca="1" si="80"/>
        <v>0</v>
      </c>
      <c r="AK111" s="338">
        <f t="shared" ca="1" si="80"/>
        <v>0</v>
      </c>
      <c r="AL111" s="338">
        <f t="shared" ca="1" si="80"/>
        <v>0</v>
      </c>
      <c r="AM111" s="338">
        <f t="shared" ca="1" si="80"/>
        <v>0</v>
      </c>
      <c r="AN111" s="338">
        <f t="shared" ca="1" si="80"/>
        <v>0</v>
      </c>
    </row>
    <row r="112" spans="1:40" outlineLevel="1" x14ac:dyDescent="0.2">
      <c r="A112" s="62"/>
      <c r="B112" s="62"/>
      <c r="C112" s="62"/>
      <c r="D112" s="79">
        <v>2</v>
      </c>
      <c r="E112" s="664"/>
      <c r="F112" s="805"/>
      <c r="G112" s="806"/>
      <c r="H112" s="807"/>
      <c r="I112" s="378"/>
      <c r="J112" s="233"/>
      <c r="K112" s="232"/>
      <c r="L112" s="234"/>
      <c r="M112" s="378"/>
      <c r="N112" s="351"/>
      <c r="O112" s="235" t="str">
        <f t="shared" ref="O112:O130" si="81">IF(AND(K112&lt;&gt;"",N112&lt;&gt;"",K112&lt;&gt;0,N112&lt;&gt;0),L112/(K112/N112)*J112,"")</f>
        <v/>
      </c>
      <c r="P112" s="233"/>
      <c r="Q112" s="378"/>
      <c r="R112" s="808"/>
      <c r="S112" s="809"/>
      <c r="T112" s="809"/>
      <c r="U112" s="810"/>
      <c r="V112" s="1"/>
      <c r="W112" s="95" t="str">
        <f t="shared" si="75"/>
        <v>** NOT USED **</v>
      </c>
      <c r="X112" s="642" t="str">
        <f t="shared" si="76"/>
        <v/>
      </c>
      <c r="Y112" s="644">
        <f t="shared" si="77"/>
        <v>0</v>
      </c>
      <c r="Z112" s="644">
        <f ca="1">IF(R112&lt;&gt;"",MATCH(R112,OFFSET(References!$AB$23,0,Y112,PxTxCount),0),0)</f>
        <v>0</v>
      </c>
      <c r="AA112" s="644">
        <f t="shared" ca="1" si="78"/>
        <v>0</v>
      </c>
      <c r="AB112" s="95" t="str">
        <f ca="1">IF(Q112&lt;&gt;"",OFFSET(References!$AB$23,0,$Y112,INDEX(PxTxValid,,$Y112+1)),"")</f>
        <v/>
      </c>
      <c r="AC112" s="338">
        <f t="shared" ca="1" si="79"/>
        <v>0</v>
      </c>
      <c r="AD112" s="338">
        <f t="shared" ca="1" si="79"/>
        <v>0</v>
      </c>
      <c r="AE112" s="338">
        <f t="shared" ca="1" si="79"/>
        <v>0</v>
      </c>
      <c r="AF112" s="338">
        <f t="shared" ca="1" si="79"/>
        <v>0</v>
      </c>
      <c r="AG112" s="338">
        <f t="shared" ca="1" si="79"/>
        <v>0</v>
      </c>
      <c r="AH112" s="338">
        <f t="shared" ca="1" si="79"/>
        <v>0</v>
      </c>
      <c r="AI112" s="338">
        <f t="shared" ca="1" si="80"/>
        <v>0</v>
      </c>
      <c r="AJ112" s="338">
        <f t="shared" ca="1" si="80"/>
        <v>0</v>
      </c>
      <c r="AK112" s="338">
        <f t="shared" ca="1" si="80"/>
        <v>0</v>
      </c>
      <c r="AL112" s="338">
        <f t="shared" ca="1" si="80"/>
        <v>0</v>
      </c>
      <c r="AM112" s="338">
        <f t="shared" ca="1" si="80"/>
        <v>0</v>
      </c>
      <c r="AN112" s="338">
        <f t="shared" ca="1" si="80"/>
        <v>0</v>
      </c>
    </row>
    <row r="113" spans="1:40" outlineLevel="1" x14ac:dyDescent="0.2">
      <c r="A113" s="62"/>
      <c r="B113" s="62"/>
      <c r="C113" s="62"/>
      <c r="D113" s="79">
        <v>3</v>
      </c>
      <c r="E113" s="664"/>
      <c r="F113" s="805"/>
      <c r="G113" s="806"/>
      <c r="H113" s="807"/>
      <c r="I113" s="378"/>
      <c r="J113" s="233"/>
      <c r="K113" s="232"/>
      <c r="L113" s="234"/>
      <c r="M113" s="378"/>
      <c r="N113" s="351"/>
      <c r="O113" s="235" t="str">
        <f t="shared" si="81"/>
        <v/>
      </c>
      <c r="P113" s="233"/>
      <c r="Q113" s="378"/>
      <c r="R113" s="808"/>
      <c r="S113" s="809"/>
      <c r="T113" s="809"/>
      <c r="U113" s="810"/>
      <c r="V113" s="1"/>
      <c r="W113" s="95" t="str">
        <f t="shared" si="75"/>
        <v>** NOT USED **</v>
      </c>
      <c r="X113" s="642" t="str">
        <f t="shared" si="76"/>
        <v/>
      </c>
      <c r="Y113" s="644">
        <f t="shared" si="77"/>
        <v>0</v>
      </c>
      <c r="Z113" s="644">
        <f ca="1">IF(R113&lt;&gt;"",MATCH(R113,OFFSET(References!$AB$23,0,Y113,PxTxCount),0),0)</f>
        <v>0</v>
      </c>
      <c r="AA113" s="644">
        <f t="shared" ca="1" si="78"/>
        <v>0</v>
      </c>
      <c r="AB113" s="95" t="str">
        <f ca="1">IF(Q113&lt;&gt;"",OFFSET(References!$AB$23,0,$Y113,INDEX(PxTxValid,,$Y113+1)),"")</f>
        <v/>
      </c>
      <c r="AC113" s="338">
        <f t="shared" ca="1" si="79"/>
        <v>0</v>
      </c>
      <c r="AD113" s="338">
        <f t="shared" ca="1" si="79"/>
        <v>0</v>
      </c>
      <c r="AE113" s="338">
        <f t="shared" ca="1" si="79"/>
        <v>0</v>
      </c>
      <c r="AF113" s="338">
        <f t="shared" ca="1" si="79"/>
        <v>0</v>
      </c>
      <c r="AG113" s="338">
        <f t="shared" ca="1" si="79"/>
        <v>0</v>
      </c>
      <c r="AH113" s="338">
        <f t="shared" ca="1" si="79"/>
        <v>0</v>
      </c>
      <c r="AI113" s="338">
        <f t="shared" ca="1" si="80"/>
        <v>0</v>
      </c>
      <c r="AJ113" s="338">
        <f t="shared" ca="1" si="80"/>
        <v>0</v>
      </c>
      <c r="AK113" s="338">
        <f t="shared" ca="1" si="80"/>
        <v>0</v>
      </c>
      <c r="AL113" s="338">
        <f t="shared" ca="1" si="80"/>
        <v>0</v>
      </c>
      <c r="AM113" s="338">
        <f t="shared" ca="1" si="80"/>
        <v>0</v>
      </c>
      <c r="AN113" s="338">
        <f t="shared" ca="1" si="80"/>
        <v>0</v>
      </c>
    </row>
    <row r="114" spans="1:40" outlineLevel="1" x14ac:dyDescent="0.2">
      <c r="A114" s="62"/>
      <c r="B114" s="62"/>
      <c r="C114" s="62"/>
      <c r="D114" s="79">
        <v>4</v>
      </c>
      <c r="E114" s="664"/>
      <c r="F114" s="805"/>
      <c r="G114" s="806"/>
      <c r="H114" s="807"/>
      <c r="I114" s="378"/>
      <c r="J114" s="233"/>
      <c r="K114" s="232"/>
      <c r="L114" s="234"/>
      <c r="M114" s="378"/>
      <c r="N114" s="351"/>
      <c r="O114" s="235" t="str">
        <f t="shared" si="81"/>
        <v/>
      </c>
      <c r="P114" s="233"/>
      <c r="Q114" s="378"/>
      <c r="R114" s="808"/>
      <c r="S114" s="809"/>
      <c r="T114" s="809"/>
      <c r="U114" s="810"/>
      <c r="V114" s="1"/>
      <c r="W114" s="95" t="str">
        <f t="shared" si="75"/>
        <v>** NOT USED **</v>
      </c>
      <c r="X114" s="642" t="str">
        <f t="shared" si="76"/>
        <v/>
      </c>
      <c r="Y114" s="644">
        <f t="shared" si="77"/>
        <v>0</v>
      </c>
      <c r="Z114" s="644">
        <f ca="1">IF(R114&lt;&gt;"",MATCH(R114,OFFSET(References!$AB$23,0,Y114,PxTxCount),0),0)</f>
        <v>0</v>
      </c>
      <c r="AA114" s="644">
        <f t="shared" ca="1" si="78"/>
        <v>0</v>
      </c>
      <c r="AB114" s="95" t="str">
        <f ca="1">IF(Q114&lt;&gt;"",OFFSET(References!$AB$23,0,$Y114,INDEX(PxTxValid,,$Y114+1)),"")</f>
        <v/>
      </c>
      <c r="AC114" s="338">
        <f t="shared" ca="1" si="79"/>
        <v>0</v>
      </c>
      <c r="AD114" s="338">
        <f t="shared" ca="1" si="79"/>
        <v>0</v>
      </c>
      <c r="AE114" s="338">
        <f t="shared" ca="1" si="79"/>
        <v>0</v>
      </c>
      <c r="AF114" s="338">
        <f t="shared" ca="1" si="79"/>
        <v>0</v>
      </c>
      <c r="AG114" s="338">
        <f t="shared" ca="1" si="79"/>
        <v>0</v>
      </c>
      <c r="AH114" s="338">
        <f t="shared" ca="1" si="79"/>
        <v>0</v>
      </c>
      <c r="AI114" s="338">
        <f t="shared" ca="1" si="80"/>
        <v>0</v>
      </c>
      <c r="AJ114" s="338">
        <f t="shared" ca="1" si="80"/>
        <v>0</v>
      </c>
      <c r="AK114" s="338">
        <f t="shared" ca="1" si="80"/>
        <v>0</v>
      </c>
      <c r="AL114" s="338">
        <f t="shared" ca="1" si="80"/>
        <v>0</v>
      </c>
      <c r="AM114" s="338">
        <f t="shared" ca="1" si="80"/>
        <v>0</v>
      </c>
      <c r="AN114" s="338">
        <f t="shared" ca="1" si="80"/>
        <v>0</v>
      </c>
    </row>
    <row r="115" spans="1:40" outlineLevel="1" x14ac:dyDescent="0.2">
      <c r="A115" s="62"/>
      <c r="B115" s="62"/>
      <c r="C115" s="62"/>
      <c r="D115" s="79">
        <v>5</v>
      </c>
      <c r="E115" s="664"/>
      <c r="F115" s="805"/>
      <c r="G115" s="806"/>
      <c r="H115" s="807"/>
      <c r="I115" s="378"/>
      <c r="J115" s="233"/>
      <c r="K115" s="232"/>
      <c r="L115" s="234"/>
      <c r="M115" s="378"/>
      <c r="N115" s="351"/>
      <c r="O115" s="235" t="str">
        <f t="shared" si="81"/>
        <v/>
      </c>
      <c r="P115" s="233"/>
      <c r="Q115" s="378"/>
      <c r="R115" s="808"/>
      <c r="S115" s="809"/>
      <c r="T115" s="809"/>
      <c r="U115" s="810"/>
      <c r="V115" s="1"/>
      <c r="W115" s="95" t="str">
        <f t="shared" si="75"/>
        <v>** NOT USED **</v>
      </c>
      <c r="X115" s="642" t="str">
        <f t="shared" si="76"/>
        <v/>
      </c>
      <c r="Y115" s="644">
        <f t="shared" si="77"/>
        <v>0</v>
      </c>
      <c r="Z115" s="644">
        <f ca="1">IF(R115&lt;&gt;"",MATCH(R115,OFFSET(References!$AB$23,0,Y115,PxTxCount),0),0)</f>
        <v>0</v>
      </c>
      <c r="AA115" s="644">
        <f t="shared" ca="1" si="78"/>
        <v>0</v>
      </c>
      <c r="AB115" s="95" t="str">
        <f ca="1">IF(Q115&lt;&gt;"",OFFSET(References!$AB$23,0,$Y115,INDEX(PxTxValid,,$Y115+1)),"")</f>
        <v/>
      </c>
      <c r="AC115" s="338">
        <f t="shared" ca="1" si="79"/>
        <v>0</v>
      </c>
      <c r="AD115" s="338">
        <f t="shared" ca="1" si="79"/>
        <v>0</v>
      </c>
      <c r="AE115" s="338">
        <f t="shared" ca="1" si="79"/>
        <v>0</v>
      </c>
      <c r="AF115" s="338">
        <f t="shared" ca="1" si="79"/>
        <v>0</v>
      </c>
      <c r="AG115" s="338">
        <f t="shared" ca="1" si="79"/>
        <v>0</v>
      </c>
      <c r="AH115" s="338">
        <f t="shared" ca="1" si="79"/>
        <v>0</v>
      </c>
      <c r="AI115" s="338">
        <f t="shared" ca="1" si="80"/>
        <v>0</v>
      </c>
      <c r="AJ115" s="338">
        <f t="shared" ca="1" si="80"/>
        <v>0</v>
      </c>
      <c r="AK115" s="338">
        <f t="shared" ca="1" si="80"/>
        <v>0</v>
      </c>
      <c r="AL115" s="338">
        <f t="shared" ca="1" si="80"/>
        <v>0</v>
      </c>
      <c r="AM115" s="338">
        <f t="shared" ca="1" si="80"/>
        <v>0</v>
      </c>
      <c r="AN115" s="338">
        <f t="shared" ca="1" si="80"/>
        <v>0</v>
      </c>
    </row>
    <row r="116" spans="1:40" outlineLevel="1" x14ac:dyDescent="0.2">
      <c r="A116" s="62"/>
      <c r="B116" s="62"/>
      <c r="C116" s="62"/>
      <c r="D116" s="79">
        <v>6</v>
      </c>
      <c r="E116" s="664"/>
      <c r="F116" s="805"/>
      <c r="G116" s="806"/>
      <c r="H116" s="807"/>
      <c r="I116" s="378"/>
      <c r="J116" s="233"/>
      <c r="K116" s="232"/>
      <c r="L116" s="234"/>
      <c r="M116" s="378"/>
      <c r="N116" s="351"/>
      <c r="O116" s="235" t="str">
        <f t="shared" si="81"/>
        <v/>
      </c>
      <c r="P116" s="553"/>
      <c r="Q116" s="378"/>
      <c r="R116" s="808"/>
      <c r="S116" s="809"/>
      <c r="T116" s="809"/>
      <c r="U116" s="810"/>
      <c r="V116" s="1"/>
      <c r="W116" s="95" t="str">
        <f t="shared" si="75"/>
        <v>** NOT USED **</v>
      </c>
      <c r="X116" s="642" t="str">
        <f t="shared" si="76"/>
        <v/>
      </c>
      <c r="Y116" s="644">
        <f t="shared" si="77"/>
        <v>0</v>
      </c>
      <c r="Z116" s="644">
        <f ca="1">IF(R116&lt;&gt;"",MATCH(R116,OFFSET(References!$AB$23,0,Y116,PxTxCount),0),0)</f>
        <v>0</v>
      </c>
      <c r="AA116" s="644">
        <f t="shared" ca="1" si="78"/>
        <v>0</v>
      </c>
      <c r="AB116" s="95" t="str">
        <f ca="1">IF(Q116&lt;&gt;"",OFFSET(References!$AB$23,0,$Y116,INDEX(PxTxValid,,$Y116+1)),"")</f>
        <v/>
      </c>
      <c r="AC116" s="338">
        <f t="shared" ca="1" si="79"/>
        <v>0</v>
      </c>
      <c r="AD116" s="338">
        <f t="shared" ca="1" si="79"/>
        <v>0</v>
      </c>
      <c r="AE116" s="338">
        <f t="shared" ca="1" si="79"/>
        <v>0</v>
      </c>
      <c r="AF116" s="338">
        <f t="shared" ca="1" si="79"/>
        <v>0</v>
      </c>
      <c r="AG116" s="338">
        <f t="shared" ca="1" si="79"/>
        <v>0</v>
      </c>
      <c r="AH116" s="338">
        <f t="shared" ca="1" si="79"/>
        <v>0</v>
      </c>
      <c r="AI116" s="338">
        <f t="shared" ca="1" si="80"/>
        <v>0</v>
      </c>
      <c r="AJ116" s="338">
        <f t="shared" ca="1" si="80"/>
        <v>0</v>
      </c>
      <c r="AK116" s="338">
        <f t="shared" ca="1" si="80"/>
        <v>0</v>
      </c>
      <c r="AL116" s="338">
        <f t="shared" ca="1" si="80"/>
        <v>0</v>
      </c>
      <c r="AM116" s="338">
        <f t="shared" ca="1" si="80"/>
        <v>0</v>
      </c>
      <c r="AN116" s="338">
        <f t="shared" ca="1" si="80"/>
        <v>0</v>
      </c>
    </row>
    <row r="117" spans="1:40" outlineLevel="1" x14ac:dyDescent="0.2">
      <c r="A117" s="62"/>
      <c r="B117" s="62"/>
      <c r="C117" s="62"/>
      <c r="D117" s="79">
        <v>7</v>
      </c>
      <c r="E117" s="664"/>
      <c r="F117" s="805"/>
      <c r="G117" s="806"/>
      <c r="H117" s="807"/>
      <c r="I117" s="378"/>
      <c r="J117" s="233"/>
      <c r="K117" s="232"/>
      <c r="L117" s="234"/>
      <c r="M117" s="378"/>
      <c r="N117" s="351"/>
      <c r="O117" s="235" t="str">
        <f t="shared" si="81"/>
        <v/>
      </c>
      <c r="P117" s="233"/>
      <c r="Q117" s="378"/>
      <c r="R117" s="808"/>
      <c r="S117" s="809"/>
      <c r="T117" s="809"/>
      <c r="U117" s="810"/>
      <c r="V117" s="1"/>
      <c r="W117" s="95" t="str">
        <f t="shared" si="75"/>
        <v>** NOT USED **</v>
      </c>
      <c r="X117" s="642" t="str">
        <f t="shared" si="76"/>
        <v/>
      </c>
      <c r="Y117" s="644">
        <f t="shared" si="77"/>
        <v>0</v>
      </c>
      <c r="Z117" s="644">
        <f ca="1">IF(R117&lt;&gt;"",MATCH(R117,OFFSET(References!$AB$23,0,Y117,PxTxCount),0),0)</f>
        <v>0</v>
      </c>
      <c r="AA117" s="644">
        <f t="shared" ca="1" si="78"/>
        <v>0</v>
      </c>
      <c r="AB117" s="95" t="str">
        <f ca="1">IF(Q117&lt;&gt;"",OFFSET(References!$AB$23,0,$Y117,INDEX(PxTxValid,,$Y117+1)),"")</f>
        <v/>
      </c>
      <c r="AC117" s="338">
        <f t="shared" ca="1" si="79"/>
        <v>0</v>
      </c>
      <c r="AD117" s="338">
        <f t="shared" ca="1" si="79"/>
        <v>0</v>
      </c>
      <c r="AE117" s="338">
        <f t="shared" ca="1" si="79"/>
        <v>0</v>
      </c>
      <c r="AF117" s="338">
        <f t="shared" ca="1" si="79"/>
        <v>0</v>
      </c>
      <c r="AG117" s="338">
        <f t="shared" ca="1" si="79"/>
        <v>0</v>
      </c>
      <c r="AH117" s="338">
        <f t="shared" ca="1" si="79"/>
        <v>0</v>
      </c>
      <c r="AI117" s="338">
        <f t="shared" ca="1" si="80"/>
        <v>0</v>
      </c>
      <c r="AJ117" s="338">
        <f t="shared" ca="1" si="80"/>
        <v>0</v>
      </c>
      <c r="AK117" s="338">
        <f t="shared" ca="1" si="80"/>
        <v>0</v>
      </c>
      <c r="AL117" s="338">
        <f t="shared" ca="1" si="80"/>
        <v>0</v>
      </c>
      <c r="AM117" s="338">
        <f t="shared" ca="1" si="80"/>
        <v>0</v>
      </c>
      <c r="AN117" s="338">
        <f t="shared" ca="1" si="80"/>
        <v>0</v>
      </c>
    </row>
    <row r="118" spans="1:40" ht="14.25" customHeight="1" outlineLevel="1" x14ac:dyDescent="0.2">
      <c r="A118" s="62"/>
      <c r="B118" s="62"/>
      <c r="C118" s="62"/>
      <c r="D118" s="79">
        <v>8</v>
      </c>
      <c r="E118" s="664"/>
      <c r="F118" s="805"/>
      <c r="G118" s="806"/>
      <c r="H118" s="807"/>
      <c r="I118" s="378"/>
      <c r="J118" s="233"/>
      <c r="K118" s="232"/>
      <c r="L118" s="234"/>
      <c r="M118" s="378"/>
      <c r="N118" s="351"/>
      <c r="O118" s="235" t="str">
        <f t="shared" si="81"/>
        <v/>
      </c>
      <c r="P118" s="233"/>
      <c r="Q118" s="378"/>
      <c r="R118" s="808"/>
      <c r="S118" s="809"/>
      <c r="T118" s="809"/>
      <c r="U118" s="810"/>
      <c r="V118" s="1"/>
      <c r="W118" s="95" t="str">
        <f t="shared" si="75"/>
        <v>** NOT USED **</v>
      </c>
      <c r="X118" s="642" t="str">
        <f t="shared" si="76"/>
        <v/>
      </c>
      <c r="Y118" s="644">
        <f t="shared" si="77"/>
        <v>0</v>
      </c>
      <c r="Z118" s="644">
        <f ca="1">IF(R118&lt;&gt;"",MATCH(R118,OFFSET(References!$AB$23,0,Y118,PxTxCount),0),0)</f>
        <v>0</v>
      </c>
      <c r="AA118" s="644">
        <f t="shared" ca="1" si="78"/>
        <v>0</v>
      </c>
      <c r="AB118" s="95" t="str">
        <f ca="1">IF(Q118&lt;&gt;"",OFFSET(References!$AB$23,0,$Y118,INDEX(PxTxValid,,$Y118+1)),"")</f>
        <v/>
      </c>
      <c r="AC118" s="338">
        <f t="shared" ca="1" si="79"/>
        <v>0</v>
      </c>
      <c r="AD118" s="338">
        <f t="shared" ca="1" si="79"/>
        <v>0</v>
      </c>
      <c r="AE118" s="338">
        <f t="shared" ca="1" si="79"/>
        <v>0</v>
      </c>
      <c r="AF118" s="338">
        <f t="shared" ca="1" si="79"/>
        <v>0</v>
      </c>
      <c r="AG118" s="338">
        <f t="shared" ca="1" si="79"/>
        <v>0</v>
      </c>
      <c r="AH118" s="338">
        <f t="shared" ca="1" si="79"/>
        <v>0</v>
      </c>
      <c r="AI118" s="338">
        <f t="shared" ca="1" si="80"/>
        <v>0</v>
      </c>
      <c r="AJ118" s="338">
        <f t="shared" ca="1" si="80"/>
        <v>0</v>
      </c>
      <c r="AK118" s="338">
        <f t="shared" ca="1" si="80"/>
        <v>0</v>
      </c>
      <c r="AL118" s="338">
        <f t="shared" ca="1" si="80"/>
        <v>0</v>
      </c>
      <c r="AM118" s="338">
        <f t="shared" ca="1" si="80"/>
        <v>0</v>
      </c>
      <c r="AN118" s="338">
        <f t="shared" ca="1" si="80"/>
        <v>0</v>
      </c>
    </row>
    <row r="119" spans="1:40" outlineLevel="1" x14ac:dyDescent="0.2">
      <c r="A119" s="62"/>
      <c r="B119" s="62"/>
      <c r="C119" s="62"/>
      <c r="D119" s="79">
        <v>9</v>
      </c>
      <c r="E119" s="664"/>
      <c r="F119" s="805"/>
      <c r="G119" s="806"/>
      <c r="H119" s="807"/>
      <c r="I119" s="378"/>
      <c r="J119" s="233"/>
      <c r="K119" s="232"/>
      <c r="L119" s="234"/>
      <c r="M119" s="378"/>
      <c r="N119" s="351"/>
      <c r="O119" s="235" t="str">
        <f t="shared" si="81"/>
        <v/>
      </c>
      <c r="P119" s="233"/>
      <c r="Q119" s="378"/>
      <c r="R119" s="808"/>
      <c r="S119" s="809"/>
      <c r="T119" s="809"/>
      <c r="U119" s="810"/>
      <c r="V119" s="1"/>
      <c r="W119" s="95" t="str">
        <f t="shared" si="75"/>
        <v>** NOT USED **</v>
      </c>
      <c r="X119" s="642" t="str">
        <f t="shared" si="76"/>
        <v/>
      </c>
      <c r="Y119" s="644">
        <f t="shared" si="77"/>
        <v>0</v>
      </c>
      <c r="Z119" s="644">
        <f ca="1">IF(R119&lt;&gt;"",MATCH(R119,OFFSET(References!$AB$23,0,Y119,PxTxCount),0),0)</f>
        <v>0</v>
      </c>
      <c r="AA119" s="644">
        <f t="shared" ca="1" si="78"/>
        <v>0</v>
      </c>
      <c r="AB119" s="95" t="str">
        <f ca="1">IF(Q119&lt;&gt;"",OFFSET(References!$AB$23,0,$Y119,INDEX(PxTxValid,,$Y119+1)),"")</f>
        <v/>
      </c>
      <c r="AC119" s="338">
        <f t="shared" ca="1" si="79"/>
        <v>0</v>
      </c>
      <c r="AD119" s="338">
        <f t="shared" ca="1" si="79"/>
        <v>0</v>
      </c>
      <c r="AE119" s="338">
        <f t="shared" ca="1" si="79"/>
        <v>0</v>
      </c>
      <c r="AF119" s="338">
        <f t="shared" ca="1" si="79"/>
        <v>0</v>
      </c>
      <c r="AG119" s="338">
        <f t="shared" ca="1" si="79"/>
        <v>0</v>
      </c>
      <c r="AH119" s="338">
        <f t="shared" ca="1" si="79"/>
        <v>0</v>
      </c>
      <c r="AI119" s="338">
        <f t="shared" ca="1" si="80"/>
        <v>0</v>
      </c>
      <c r="AJ119" s="338">
        <f t="shared" ca="1" si="80"/>
        <v>0</v>
      </c>
      <c r="AK119" s="338">
        <f t="shared" ca="1" si="80"/>
        <v>0</v>
      </c>
      <c r="AL119" s="338">
        <f t="shared" ca="1" si="80"/>
        <v>0</v>
      </c>
      <c r="AM119" s="338">
        <f t="shared" ca="1" si="80"/>
        <v>0</v>
      </c>
      <c r="AN119" s="338">
        <f t="shared" ca="1" si="80"/>
        <v>0</v>
      </c>
    </row>
    <row r="120" spans="1:40" outlineLevel="1" x14ac:dyDescent="0.2">
      <c r="A120" s="62"/>
      <c r="B120" s="62"/>
      <c r="C120" s="62"/>
      <c r="D120" s="79">
        <v>10</v>
      </c>
      <c r="E120" s="664"/>
      <c r="F120" s="805"/>
      <c r="G120" s="806"/>
      <c r="H120" s="807"/>
      <c r="I120" s="378"/>
      <c r="J120" s="233"/>
      <c r="K120" s="232"/>
      <c r="L120" s="234"/>
      <c r="M120" s="378"/>
      <c r="N120" s="351"/>
      <c r="O120" s="235" t="str">
        <f t="shared" si="81"/>
        <v/>
      </c>
      <c r="P120" s="233"/>
      <c r="Q120" s="378"/>
      <c r="R120" s="808"/>
      <c r="S120" s="809"/>
      <c r="T120" s="809"/>
      <c r="U120" s="810"/>
      <c r="V120" s="1"/>
      <c r="W120" s="95" t="str">
        <f t="shared" si="75"/>
        <v>** NOT USED **</v>
      </c>
      <c r="X120" s="642" t="str">
        <f t="shared" si="76"/>
        <v/>
      </c>
      <c r="Y120" s="644">
        <f t="shared" si="77"/>
        <v>0</v>
      </c>
      <c r="Z120" s="644">
        <f ca="1">IF(R120&lt;&gt;"",MATCH(R120,OFFSET(References!$AB$23,0,Y120,PxTxCount),0),0)</f>
        <v>0</v>
      </c>
      <c r="AA120" s="644">
        <f t="shared" ca="1" si="78"/>
        <v>0</v>
      </c>
      <c r="AB120" s="95" t="str">
        <f ca="1">IF(Q120&lt;&gt;"",OFFSET(References!$AB$23,0,$Y120,INDEX(PxTxValid,,$Y120+1)),"")</f>
        <v/>
      </c>
      <c r="AC120" s="338">
        <f t="shared" ca="1" si="79"/>
        <v>0</v>
      </c>
      <c r="AD120" s="338">
        <f t="shared" ca="1" si="79"/>
        <v>0</v>
      </c>
      <c r="AE120" s="338">
        <f t="shared" ca="1" si="79"/>
        <v>0</v>
      </c>
      <c r="AF120" s="338">
        <f t="shared" ca="1" si="79"/>
        <v>0</v>
      </c>
      <c r="AG120" s="338">
        <f t="shared" ca="1" si="79"/>
        <v>0</v>
      </c>
      <c r="AH120" s="338">
        <f t="shared" ca="1" si="79"/>
        <v>0</v>
      </c>
      <c r="AI120" s="338">
        <f t="shared" ca="1" si="80"/>
        <v>0</v>
      </c>
      <c r="AJ120" s="338">
        <f t="shared" ca="1" si="80"/>
        <v>0</v>
      </c>
      <c r="AK120" s="338">
        <f t="shared" ca="1" si="80"/>
        <v>0</v>
      </c>
      <c r="AL120" s="338">
        <f t="shared" ca="1" si="80"/>
        <v>0</v>
      </c>
      <c r="AM120" s="338">
        <f t="shared" ca="1" si="80"/>
        <v>0</v>
      </c>
      <c r="AN120" s="338">
        <f t="shared" ca="1" si="80"/>
        <v>0</v>
      </c>
    </row>
    <row r="121" spans="1:40" outlineLevel="1" x14ac:dyDescent="0.2">
      <c r="A121" s="62"/>
      <c r="B121" s="62"/>
      <c r="C121" s="62"/>
      <c r="D121" s="79">
        <v>11</v>
      </c>
      <c r="E121" s="617"/>
      <c r="F121" s="805"/>
      <c r="G121" s="806"/>
      <c r="H121" s="807"/>
      <c r="I121" s="378"/>
      <c r="J121" s="233"/>
      <c r="K121" s="232"/>
      <c r="L121" s="234"/>
      <c r="M121" s="378"/>
      <c r="N121" s="351"/>
      <c r="O121" s="235" t="str">
        <f t="shared" si="81"/>
        <v/>
      </c>
      <c r="P121" s="233"/>
      <c r="Q121" s="378"/>
      <c r="R121" s="808"/>
      <c r="S121" s="809"/>
      <c r="T121" s="809"/>
      <c r="U121" s="810"/>
      <c r="V121" s="4"/>
      <c r="W121" s="95" t="str">
        <f t="shared" si="75"/>
        <v>** NOT USED **</v>
      </c>
      <c r="X121" s="642" t="str">
        <f t="shared" si="76"/>
        <v/>
      </c>
      <c r="Y121" s="644">
        <f t="shared" ref="Y121:Y130" si="82">IF(Q121&lt;&gt;"",MATCH(Q121,PxTxSource,0)-1,0)</f>
        <v>0</v>
      </c>
      <c r="Z121" s="644">
        <f ca="1">IF(R121&lt;&gt;"",MATCH(R121,OFFSET(References!$AB$23,0,Y121,PxTxCount),0),0)</f>
        <v>0</v>
      </c>
      <c r="AA121" s="644">
        <f t="shared" ref="AA121:AA130" ca="1" si="83">(Y121*PxTxCount)+Z121</f>
        <v>0</v>
      </c>
      <c r="AB121" s="95" t="str">
        <f ca="1">IF(Q121&lt;&gt;"",OFFSET(References!$AB$23,0,$Y121,INDEX(PxTxValid,,$Y121+1)),"")</f>
        <v/>
      </c>
      <c r="AC121" s="338">
        <f t="shared" ca="1" si="79"/>
        <v>0</v>
      </c>
      <c r="AD121" s="338">
        <f t="shared" ca="1" si="79"/>
        <v>0</v>
      </c>
      <c r="AE121" s="338">
        <f t="shared" ca="1" si="79"/>
        <v>0</v>
      </c>
      <c r="AF121" s="338">
        <f t="shared" ca="1" si="79"/>
        <v>0</v>
      </c>
      <c r="AG121" s="338">
        <f t="shared" ca="1" si="79"/>
        <v>0</v>
      </c>
      <c r="AH121" s="338">
        <f t="shared" ca="1" si="79"/>
        <v>0</v>
      </c>
      <c r="AI121" s="338">
        <f t="shared" ca="1" si="80"/>
        <v>0</v>
      </c>
      <c r="AJ121" s="338">
        <f t="shared" ca="1" si="80"/>
        <v>0</v>
      </c>
      <c r="AK121" s="338">
        <f t="shared" ca="1" si="80"/>
        <v>0</v>
      </c>
      <c r="AL121" s="338">
        <f t="shared" ca="1" si="80"/>
        <v>0</v>
      </c>
      <c r="AM121" s="338">
        <f t="shared" ca="1" si="80"/>
        <v>0</v>
      </c>
      <c r="AN121" s="338">
        <f t="shared" ca="1" si="80"/>
        <v>0</v>
      </c>
    </row>
    <row r="122" spans="1:40" outlineLevel="1" x14ac:dyDescent="0.2">
      <c r="A122" s="62"/>
      <c r="B122" s="62"/>
      <c r="C122" s="62"/>
      <c r="D122" s="79">
        <v>12</v>
      </c>
      <c r="E122" s="617"/>
      <c r="F122" s="805"/>
      <c r="G122" s="806"/>
      <c r="H122" s="807"/>
      <c r="I122" s="378"/>
      <c r="J122" s="233"/>
      <c r="K122" s="232"/>
      <c r="L122" s="234"/>
      <c r="M122" s="378"/>
      <c r="N122" s="351"/>
      <c r="O122" s="235" t="str">
        <f t="shared" si="81"/>
        <v/>
      </c>
      <c r="P122" s="233"/>
      <c r="Q122" s="378"/>
      <c r="R122" s="808"/>
      <c r="S122" s="809"/>
      <c r="T122" s="809"/>
      <c r="U122" s="810"/>
      <c r="V122" s="4"/>
      <c r="W122" s="95" t="str">
        <f t="shared" si="75"/>
        <v>** NOT USED **</v>
      </c>
      <c r="X122" s="642" t="str">
        <f t="shared" si="76"/>
        <v/>
      </c>
      <c r="Y122" s="644">
        <f t="shared" si="82"/>
        <v>0</v>
      </c>
      <c r="Z122" s="644">
        <f ca="1">IF(R122&lt;&gt;"",MATCH(R122,OFFSET(References!$AB$23,0,Y122,PxTxCount),0),0)</f>
        <v>0</v>
      </c>
      <c r="AA122" s="644">
        <f t="shared" ca="1" si="83"/>
        <v>0</v>
      </c>
      <c r="AB122" s="95" t="str">
        <f ca="1">IF(Q122&lt;&gt;"",OFFSET(References!$AB$23,0,$Y122,INDEX(PxTxValid,,$Y122+1)),"")</f>
        <v/>
      </c>
      <c r="AC122" s="338">
        <f t="shared" ca="1" si="79"/>
        <v>0</v>
      </c>
      <c r="AD122" s="338">
        <f t="shared" ca="1" si="79"/>
        <v>0</v>
      </c>
      <c r="AE122" s="338">
        <f t="shared" ca="1" si="79"/>
        <v>0</v>
      </c>
      <c r="AF122" s="338">
        <f t="shared" ca="1" si="79"/>
        <v>0</v>
      </c>
      <c r="AG122" s="338">
        <f t="shared" ca="1" si="79"/>
        <v>0</v>
      </c>
      <c r="AH122" s="338">
        <f t="shared" ca="1" si="79"/>
        <v>0</v>
      </c>
      <c r="AI122" s="338">
        <f t="shared" ca="1" si="80"/>
        <v>0</v>
      </c>
      <c r="AJ122" s="338">
        <f t="shared" ca="1" si="80"/>
        <v>0</v>
      </c>
      <c r="AK122" s="338">
        <f t="shared" ca="1" si="80"/>
        <v>0</v>
      </c>
      <c r="AL122" s="338">
        <f t="shared" ca="1" si="80"/>
        <v>0</v>
      </c>
      <c r="AM122" s="338">
        <f t="shared" ca="1" si="80"/>
        <v>0</v>
      </c>
      <c r="AN122" s="338">
        <f t="shared" ca="1" si="80"/>
        <v>0</v>
      </c>
    </row>
    <row r="123" spans="1:40" outlineLevel="1" x14ac:dyDescent="0.2">
      <c r="A123" s="62"/>
      <c r="B123" s="62"/>
      <c r="C123" s="62"/>
      <c r="D123" s="79">
        <v>13</v>
      </c>
      <c r="E123" s="617"/>
      <c r="F123" s="805"/>
      <c r="G123" s="806"/>
      <c r="H123" s="807"/>
      <c r="I123" s="378"/>
      <c r="J123" s="233"/>
      <c r="K123" s="232"/>
      <c r="L123" s="234"/>
      <c r="M123" s="378"/>
      <c r="N123" s="351"/>
      <c r="O123" s="235" t="str">
        <f t="shared" si="81"/>
        <v/>
      </c>
      <c r="P123" s="233"/>
      <c r="Q123" s="378"/>
      <c r="R123" s="808"/>
      <c r="S123" s="809"/>
      <c r="T123" s="809"/>
      <c r="U123" s="810"/>
      <c r="V123" s="4"/>
      <c r="W123" s="95" t="str">
        <f t="shared" si="75"/>
        <v>** NOT USED **</v>
      </c>
      <c r="X123" s="642" t="str">
        <f t="shared" si="76"/>
        <v/>
      </c>
      <c r="Y123" s="644">
        <f t="shared" si="82"/>
        <v>0</v>
      </c>
      <c r="Z123" s="644">
        <f ca="1">IF(R123&lt;&gt;"",MATCH(R123,OFFSET(References!$AB$23,0,Y123,PxTxCount),0),0)</f>
        <v>0</v>
      </c>
      <c r="AA123" s="644">
        <f t="shared" ca="1" si="83"/>
        <v>0</v>
      </c>
      <c r="AB123" s="95" t="str">
        <f ca="1">IF(Q123&lt;&gt;"",OFFSET(References!$AB$23,0,$Y123,INDEX(PxTxValid,,$Y123+1)),"")</f>
        <v/>
      </c>
      <c r="AC123" s="338">
        <f t="shared" ca="1" si="79"/>
        <v>0</v>
      </c>
      <c r="AD123" s="338">
        <f t="shared" ca="1" si="79"/>
        <v>0</v>
      </c>
      <c r="AE123" s="338">
        <f t="shared" ca="1" si="79"/>
        <v>0</v>
      </c>
      <c r="AF123" s="338">
        <f t="shared" ca="1" si="79"/>
        <v>0</v>
      </c>
      <c r="AG123" s="338">
        <f t="shared" ca="1" si="79"/>
        <v>0</v>
      </c>
      <c r="AH123" s="338">
        <f t="shared" ca="1" si="79"/>
        <v>0</v>
      </c>
      <c r="AI123" s="338">
        <f t="shared" ca="1" si="80"/>
        <v>0</v>
      </c>
      <c r="AJ123" s="338">
        <f t="shared" ca="1" si="80"/>
        <v>0</v>
      </c>
      <c r="AK123" s="338">
        <f t="shared" ca="1" si="80"/>
        <v>0</v>
      </c>
      <c r="AL123" s="338">
        <f t="shared" ca="1" si="80"/>
        <v>0</v>
      </c>
      <c r="AM123" s="338">
        <f t="shared" ca="1" si="80"/>
        <v>0</v>
      </c>
      <c r="AN123" s="338">
        <f t="shared" ca="1" si="80"/>
        <v>0</v>
      </c>
    </row>
    <row r="124" spans="1:40" outlineLevel="1" x14ac:dyDescent="0.2">
      <c r="A124" s="62"/>
      <c r="B124" s="62"/>
      <c r="C124" s="62"/>
      <c r="D124" s="79">
        <v>14</v>
      </c>
      <c r="E124" s="617"/>
      <c r="F124" s="805"/>
      <c r="G124" s="806"/>
      <c r="H124" s="807"/>
      <c r="I124" s="378"/>
      <c r="J124" s="233"/>
      <c r="K124" s="232"/>
      <c r="L124" s="234"/>
      <c r="M124" s="378"/>
      <c r="N124" s="351"/>
      <c r="O124" s="235" t="str">
        <f t="shared" si="81"/>
        <v/>
      </c>
      <c r="P124" s="233"/>
      <c r="Q124" s="378"/>
      <c r="R124" s="808"/>
      <c r="S124" s="809"/>
      <c r="T124" s="809"/>
      <c r="U124" s="810"/>
      <c r="V124" s="4"/>
      <c r="W124" s="95" t="str">
        <f t="shared" si="75"/>
        <v>** NOT USED **</v>
      </c>
      <c r="X124" s="642" t="str">
        <f t="shared" si="76"/>
        <v/>
      </c>
      <c r="Y124" s="644">
        <f t="shared" si="82"/>
        <v>0</v>
      </c>
      <c r="Z124" s="644">
        <f ca="1">IF(R124&lt;&gt;"",MATCH(R124,OFFSET(References!$AB$23,0,Y124,PxTxCount),0),0)</f>
        <v>0</v>
      </c>
      <c r="AA124" s="644">
        <f t="shared" ca="1" si="83"/>
        <v>0</v>
      </c>
      <c r="AB124" s="95" t="str">
        <f ca="1">IF(Q124&lt;&gt;"",OFFSET(References!$AB$23,0,$Y124,INDEX(PxTxValid,,$Y124+1)),"")</f>
        <v/>
      </c>
      <c r="AC124" s="338">
        <f t="shared" ca="1" si="79"/>
        <v>0</v>
      </c>
      <c r="AD124" s="338">
        <f t="shared" ca="1" si="79"/>
        <v>0</v>
      </c>
      <c r="AE124" s="338">
        <f t="shared" ca="1" si="79"/>
        <v>0</v>
      </c>
      <c r="AF124" s="338">
        <f t="shared" ca="1" si="79"/>
        <v>0</v>
      </c>
      <c r="AG124" s="338">
        <f t="shared" ca="1" si="79"/>
        <v>0</v>
      </c>
      <c r="AH124" s="338">
        <f t="shared" ca="1" si="79"/>
        <v>0</v>
      </c>
      <c r="AI124" s="338">
        <f t="shared" ca="1" si="80"/>
        <v>0</v>
      </c>
      <c r="AJ124" s="338">
        <f t="shared" ca="1" si="80"/>
        <v>0</v>
      </c>
      <c r="AK124" s="338">
        <f t="shared" ca="1" si="80"/>
        <v>0</v>
      </c>
      <c r="AL124" s="338">
        <f t="shared" ca="1" si="80"/>
        <v>0</v>
      </c>
      <c r="AM124" s="338">
        <f t="shared" ca="1" si="80"/>
        <v>0</v>
      </c>
      <c r="AN124" s="338">
        <f t="shared" ca="1" si="80"/>
        <v>0</v>
      </c>
    </row>
    <row r="125" spans="1:40" outlineLevel="1" x14ac:dyDescent="0.2">
      <c r="A125" s="62"/>
      <c r="B125" s="62"/>
      <c r="C125" s="62"/>
      <c r="D125" s="79">
        <v>15</v>
      </c>
      <c r="E125" s="617"/>
      <c r="F125" s="805"/>
      <c r="G125" s="806"/>
      <c r="H125" s="807"/>
      <c r="I125" s="378"/>
      <c r="J125" s="233"/>
      <c r="K125" s="232"/>
      <c r="L125" s="234"/>
      <c r="M125" s="378"/>
      <c r="N125" s="351"/>
      <c r="O125" s="235" t="str">
        <f t="shared" si="81"/>
        <v/>
      </c>
      <c r="P125" s="233"/>
      <c r="Q125" s="378"/>
      <c r="R125" s="808"/>
      <c r="S125" s="809"/>
      <c r="T125" s="809"/>
      <c r="U125" s="810"/>
      <c r="V125" s="4"/>
      <c r="W125" s="95" t="str">
        <f t="shared" si="75"/>
        <v>** NOT USED **</v>
      </c>
      <c r="X125" s="642" t="str">
        <f t="shared" si="76"/>
        <v/>
      </c>
      <c r="Y125" s="644">
        <f t="shared" si="82"/>
        <v>0</v>
      </c>
      <c r="Z125" s="644">
        <f ca="1">IF(R125&lt;&gt;"",MATCH(R125,OFFSET(References!$AB$23,0,Y125,PxTxCount),0),0)</f>
        <v>0</v>
      </c>
      <c r="AA125" s="644">
        <f t="shared" ca="1" si="83"/>
        <v>0</v>
      </c>
      <c r="AB125" s="95" t="str">
        <f ca="1">IF(Q125&lt;&gt;"",OFFSET(References!$AB$23,0,$Y125,INDEX(PxTxValid,,$Y125+1)),"")</f>
        <v/>
      </c>
      <c r="AC125" s="338">
        <f t="shared" ca="1" si="79"/>
        <v>0</v>
      </c>
      <c r="AD125" s="338">
        <f t="shared" ca="1" si="79"/>
        <v>0</v>
      </c>
      <c r="AE125" s="338">
        <f t="shared" ca="1" si="79"/>
        <v>0</v>
      </c>
      <c r="AF125" s="338">
        <f t="shared" ca="1" si="79"/>
        <v>0</v>
      </c>
      <c r="AG125" s="338">
        <f t="shared" ca="1" si="79"/>
        <v>0</v>
      </c>
      <c r="AH125" s="338">
        <f t="shared" ca="1" si="79"/>
        <v>0</v>
      </c>
      <c r="AI125" s="338">
        <f t="shared" ca="1" si="80"/>
        <v>0</v>
      </c>
      <c r="AJ125" s="338">
        <f t="shared" ca="1" si="80"/>
        <v>0</v>
      </c>
      <c r="AK125" s="338">
        <f t="shared" ca="1" si="80"/>
        <v>0</v>
      </c>
      <c r="AL125" s="338">
        <f t="shared" ca="1" si="80"/>
        <v>0</v>
      </c>
      <c r="AM125" s="338">
        <f t="shared" ca="1" si="80"/>
        <v>0</v>
      </c>
      <c r="AN125" s="338">
        <f t="shared" ca="1" si="80"/>
        <v>0</v>
      </c>
    </row>
    <row r="126" spans="1:40" outlineLevel="1" x14ac:dyDescent="0.2">
      <c r="A126" s="62"/>
      <c r="B126" s="62"/>
      <c r="C126" s="62"/>
      <c r="D126" s="79">
        <v>16</v>
      </c>
      <c r="E126" s="617"/>
      <c r="F126" s="805"/>
      <c r="G126" s="806"/>
      <c r="H126" s="807"/>
      <c r="I126" s="378"/>
      <c r="J126" s="233"/>
      <c r="K126" s="232"/>
      <c r="L126" s="234"/>
      <c r="M126" s="378"/>
      <c r="N126" s="351"/>
      <c r="O126" s="235" t="str">
        <f t="shared" si="81"/>
        <v/>
      </c>
      <c r="P126" s="233"/>
      <c r="Q126" s="378"/>
      <c r="R126" s="808"/>
      <c r="S126" s="809"/>
      <c r="T126" s="809"/>
      <c r="U126" s="810"/>
      <c r="V126" s="4"/>
      <c r="W126" s="95" t="str">
        <f t="shared" si="75"/>
        <v>** NOT USED **</v>
      </c>
      <c r="X126" s="642" t="str">
        <f t="shared" si="76"/>
        <v/>
      </c>
      <c r="Y126" s="644">
        <f t="shared" si="82"/>
        <v>0</v>
      </c>
      <c r="Z126" s="644">
        <f ca="1">IF(R126&lt;&gt;"",MATCH(R126,OFFSET(References!$AB$23,0,Y126,PxTxCount),0),0)</f>
        <v>0</v>
      </c>
      <c r="AA126" s="644">
        <f t="shared" ca="1" si="83"/>
        <v>0</v>
      </c>
      <c r="AB126" s="95" t="str">
        <f ca="1">IF(Q126&lt;&gt;"",OFFSET(References!$AB$23,0,$Y126,INDEX(PxTxValid,,$Y126+1)),"")</f>
        <v/>
      </c>
      <c r="AC126" s="338">
        <f t="shared" ca="1" si="79"/>
        <v>0</v>
      </c>
      <c r="AD126" s="338">
        <f t="shared" ca="1" si="79"/>
        <v>0</v>
      </c>
      <c r="AE126" s="338">
        <f t="shared" ca="1" si="79"/>
        <v>0</v>
      </c>
      <c r="AF126" s="338">
        <f t="shared" ca="1" si="79"/>
        <v>0</v>
      </c>
      <c r="AG126" s="338">
        <f t="shared" ca="1" si="79"/>
        <v>0</v>
      </c>
      <c r="AH126" s="338">
        <f t="shared" ca="1" si="79"/>
        <v>0</v>
      </c>
      <c r="AI126" s="338">
        <f t="shared" ca="1" si="80"/>
        <v>0</v>
      </c>
      <c r="AJ126" s="338">
        <f t="shared" ca="1" si="80"/>
        <v>0</v>
      </c>
      <c r="AK126" s="338">
        <f t="shared" ca="1" si="80"/>
        <v>0</v>
      </c>
      <c r="AL126" s="338">
        <f t="shared" ca="1" si="80"/>
        <v>0</v>
      </c>
      <c r="AM126" s="338">
        <f t="shared" ca="1" si="80"/>
        <v>0</v>
      </c>
      <c r="AN126" s="338">
        <f t="shared" ca="1" si="80"/>
        <v>0</v>
      </c>
    </row>
    <row r="127" spans="1:40" outlineLevel="1" x14ac:dyDescent="0.2">
      <c r="A127" s="62"/>
      <c r="B127" s="62"/>
      <c r="C127" s="62"/>
      <c r="D127" s="79">
        <v>17</v>
      </c>
      <c r="E127" s="617"/>
      <c r="F127" s="805"/>
      <c r="G127" s="806"/>
      <c r="H127" s="807"/>
      <c r="I127" s="378"/>
      <c r="J127" s="233"/>
      <c r="K127" s="232"/>
      <c r="L127" s="234"/>
      <c r="M127" s="378"/>
      <c r="N127" s="351"/>
      <c r="O127" s="235" t="str">
        <f t="shared" si="81"/>
        <v/>
      </c>
      <c r="P127" s="233"/>
      <c r="Q127" s="378"/>
      <c r="R127" s="808"/>
      <c r="S127" s="809"/>
      <c r="T127" s="809"/>
      <c r="U127" s="810"/>
      <c r="V127" s="4"/>
      <c r="W127" s="95" t="str">
        <f t="shared" si="75"/>
        <v>** NOT USED **</v>
      </c>
      <c r="X127" s="642" t="str">
        <f t="shared" si="76"/>
        <v/>
      </c>
      <c r="Y127" s="644">
        <f t="shared" si="82"/>
        <v>0</v>
      </c>
      <c r="Z127" s="644">
        <f ca="1">IF(R127&lt;&gt;"",MATCH(R127,OFFSET(References!$AB$23,0,Y127,PxTxCount),0),0)</f>
        <v>0</v>
      </c>
      <c r="AA127" s="644">
        <f t="shared" ca="1" si="83"/>
        <v>0</v>
      </c>
      <c r="AB127" s="95" t="str">
        <f ca="1">IF(Q127&lt;&gt;"",OFFSET(References!$AB$23,0,$Y127,INDEX(PxTxValid,,$Y127+1)),"")</f>
        <v/>
      </c>
      <c r="AC127" s="338">
        <f t="shared" ref="AC127:AH130" ca="1" si="84">IF($AA127&lt;&gt;0,INDEX(PxTxPhase1,$AA127,AC$108),0)</f>
        <v>0</v>
      </c>
      <c r="AD127" s="338">
        <f t="shared" ca="1" si="84"/>
        <v>0</v>
      </c>
      <c r="AE127" s="338">
        <f t="shared" ca="1" si="84"/>
        <v>0</v>
      </c>
      <c r="AF127" s="338">
        <f t="shared" ca="1" si="84"/>
        <v>0</v>
      </c>
      <c r="AG127" s="338">
        <f t="shared" ca="1" si="84"/>
        <v>0</v>
      </c>
      <c r="AH127" s="338">
        <f t="shared" ca="1" si="84"/>
        <v>0</v>
      </c>
      <c r="AI127" s="338">
        <f t="shared" ref="AI127:AN130" ca="1" si="85">IF($AA127&lt;&gt;0,INDEX(PxTxPhase2,$AA127,AI$108),0)</f>
        <v>0</v>
      </c>
      <c r="AJ127" s="338">
        <f t="shared" ca="1" si="85"/>
        <v>0</v>
      </c>
      <c r="AK127" s="338">
        <f t="shared" ca="1" si="85"/>
        <v>0</v>
      </c>
      <c r="AL127" s="338">
        <f t="shared" ca="1" si="85"/>
        <v>0</v>
      </c>
      <c r="AM127" s="338">
        <f t="shared" ca="1" si="85"/>
        <v>0</v>
      </c>
      <c r="AN127" s="338">
        <f t="shared" ca="1" si="85"/>
        <v>0</v>
      </c>
    </row>
    <row r="128" spans="1:40" outlineLevel="1" x14ac:dyDescent="0.2">
      <c r="A128" s="62"/>
      <c r="B128" s="62"/>
      <c r="C128" s="62"/>
      <c r="D128" s="79">
        <v>18</v>
      </c>
      <c r="E128" s="617"/>
      <c r="F128" s="805"/>
      <c r="G128" s="806"/>
      <c r="H128" s="807"/>
      <c r="I128" s="378"/>
      <c r="J128" s="233"/>
      <c r="K128" s="232"/>
      <c r="L128" s="234"/>
      <c r="M128" s="378"/>
      <c r="N128" s="351"/>
      <c r="O128" s="235" t="str">
        <f t="shared" si="81"/>
        <v/>
      </c>
      <c r="P128" s="233"/>
      <c r="Q128" s="378"/>
      <c r="R128" s="808"/>
      <c r="S128" s="809"/>
      <c r="T128" s="809"/>
      <c r="U128" s="810"/>
      <c r="V128" s="4"/>
      <c r="W128" s="95" t="str">
        <f t="shared" si="75"/>
        <v>** NOT USED **</v>
      </c>
      <c r="X128" s="642" t="str">
        <f t="shared" si="76"/>
        <v/>
      </c>
      <c r="Y128" s="644">
        <f t="shared" si="82"/>
        <v>0</v>
      </c>
      <c r="Z128" s="644">
        <f ca="1">IF(R128&lt;&gt;"",MATCH(R128,OFFSET(References!$AB$23,0,Y128,PxTxCount),0),0)</f>
        <v>0</v>
      </c>
      <c r="AA128" s="644">
        <f t="shared" ca="1" si="83"/>
        <v>0</v>
      </c>
      <c r="AB128" s="95" t="str">
        <f ca="1">IF(Q128&lt;&gt;"",OFFSET(References!$AB$23,0,$Y128,INDEX(PxTxValid,,$Y128+1)),"")</f>
        <v/>
      </c>
      <c r="AC128" s="338">
        <f t="shared" ca="1" si="84"/>
        <v>0</v>
      </c>
      <c r="AD128" s="338">
        <f t="shared" ca="1" si="84"/>
        <v>0</v>
      </c>
      <c r="AE128" s="338">
        <f t="shared" ca="1" si="84"/>
        <v>0</v>
      </c>
      <c r="AF128" s="338">
        <f t="shared" ca="1" si="84"/>
        <v>0</v>
      </c>
      <c r="AG128" s="338">
        <f t="shared" ca="1" si="84"/>
        <v>0</v>
      </c>
      <c r="AH128" s="338">
        <f t="shared" ca="1" si="84"/>
        <v>0</v>
      </c>
      <c r="AI128" s="338">
        <f t="shared" ca="1" si="85"/>
        <v>0</v>
      </c>
      <c r="AJ128" s="338">
        <f t="shared" ca="1" si="85"/>
        <v>0</v>
      </c>
      <c r="AK128" s="338">
        <f t="shared" ca="1" si="85"/>
        <v>0</v>
      </c>
      <c r="AL128" s="338">
        <f t="shared" ca="1" si="85"/>
        <v>0</v>
      </c>
      <c r="AM128" s="338">
        <f t="shared" ca="1" si="85"/>
        <v>0</v>
      </c>
      <c r="AN128" s="338">
        <f t="shared" ca="1" si="85"/>
        <v>0</v>
      </c>
    </row>
    <row r="129" spans="1:40" outlineLevel="1" x14ac:dyDescent="0.2">
      <c r="A129" s="62"/>
      <c r="B129" s="62"/>
      <c r="C129" s="62"/>
      <c r="D129" s="79">
        <v>19</v>
      </c>
      <c r="E129" s="617"/>
      <c r="F129" s="805"/>
      <c r="G129" s="806"/>
      <c r="H129" s="807"/>
      <c r="I129" s="378"/>
      <c r="J129" s="233"/>
      <c r="K129" s="232"/>
      <c r="L129" s="234"/>
      <c r="M129" s="378"/>
      <c r="N129" s="351"/>
      <c r="O129" s="235" t="str">
        <f t="shared" si="81"/>
        <v/>
      </c>
      <c r="P129" s="233"/>
      <c r="Q129" s="378"/>
      <c r="R129" s="808"/>
      <c r="S129" s="809"/>
      <c r="T129" s="809"/>
      <c r="U129" s="810"/>
      <c r="V129" s="4"/>
      <c r="W129" s="95" t="str">
        <f t="shared" si="75"/>
        <v>** NOT USED **</v>
      </c>
      <c r="X129" s="642" t="str">
        <f t="shared" si="76"/>
        <v/>
      </c>
      <c r="Y129" s="644">
        <f t="shared" si="82"/>
        <v>0</v>
      </c>
      <c r="Z129" s="644">
        <f ca="1">IF(R129&lt;&gt;"",MATCH(R129,OFFSET(References!$AB$23,0,Y129,PxTxCount),0),0)</f>
        <v>0</v>
      </c>
      <c r="AA129" s="644">
        <f t="shared" ca="1" si="83"/>
        <v>0</v>
      </c>
      <c r="AB129" s="95" t="str">
        <f ca="1">IF(Q129&lt;&gt;"",OFFSET(References!$AB$23,0,$Y129,INDEX(PxTxValid,,$Y129+1)),"")</f>
        <v/>
      </c>
      <c r="AC129" s="338">
        <f t="shared" ca="1" si="84"/>
        <v>0</v>
      </c>
      <c r="AD129" s="338">
        <f t="shared" ca="1" si="84"/>
        <v>0</v>
      </c>
      <c r="AE129" s="338">
        <f t="shared" ca="1" si="84"/>
        <v>0</v>
      </c>
      <c r="AF129" s="338">
        <f t="shared" ca="1" si="84"/>
        <v>0</v>
      </c>
      <c r="AG129" s="338">
        <f t="shared" ca="1" si="84"/>
        <v>0</v>
      </c>
      <c r="AH129" s="338">
        <f t="shared" ca="1" si="84"/>
        <v>0</v>
      </c>
      <c r="AI129" s="338">
        <f t="shared" ca="1" si="85"/>
        <v>0</v>
      </c>
      <c r="AJ129" s="338">
        <f t="shared" ca="1" si="85"/>
        <v>0</v>
      </c>
      <c r="AK129" s="338">
        <f t="shared" ca="1" si="85"/>
        <v>0</v>
      </c>
      <c r="AL129" s="338">
        <f t="shared" ca="1" si="85"/>
        <v>0</v>
      </c>
      <c r="AM129" s="338">
        <f t="shared" ca="1" si="85"/>
        <v>0</v>
      </c>
      <c r="AN129" s="338">
        <f t="shared" ca="1" si="85"/>
        <v>0</v>
      </c>
    </row>
    <row r="130" spans="1:40" outlineLevel="1" x14ac:dyDescent="0.2">
      <c r="A130" s="62"/>
      <c r="B130" s="62"/>
      <c r="C130" s="62"/>
      <c r="D130" s="79">
        <v>20</v>
      </c>
      <c r="E130" s="617"/>
      <c r="F130" s="805"/>
      <c r="G130" s="806"/>
      <c r="H130" s="807"/>
      <c r="I130" s="378"/>
      <c r="J130" s="233"/>
      <c r="K130" s="232"/>
      <c r="L130" s="234"/>
      <c r="M130" s="378"/>
      <c r="N130" s="351"/>
      <c r="O130" s="235" t="str">
        <f t="shared" si="81"/>
        <v/>
      </c>
      <c r="P130" s="233"/>
      <c r="Q130" s="378"/>
      <c r="R130" s="808"/>
      <c r="S130" s="809"/>
      <c r="T130" s="809"/>
      <c r="U130" s="810"/>
      <c r="V130" s="4"/>
      <c r="W130" s="95" t="str">
        <f t="shared" si="75"/>
        <v>** NOT USED **</v>
      </c>
      <c r="X130" s="642" t="str">
        <f t="shared" si="76"/>
        <v/>
      </c>
      <c r="Y130" s="644">
        <f t="shared" si="82"/>
        <v>0</v>
      </c>
      <c r="Z130" s="644">
        <f ca="1">IF(R130&lt;&gt;"",MATCH(R130,OFFSET(References!$AB$23,0,Y130,PxTxCount),0),0)</f>
        <v>0</v>
      </c>
      <c r="AA130" s="644">
        <f t="shared" ca="1" si="83"/>
        <v>0</v>
      </c>
      <c r="AB130" s="95" t="str">
        <f ca="1">IF(Q130&lt;&gt;"",OFFSET(References!$AB$23,0,$Y130,INDEX(PxTxValid,,$Y130+1)),"")</f>
        <v/>
      </c>
      <c r="AC130" s="338">
        <f t="shared" ca="1" si="84"/>
        <v>0</v>
      </c>
      <c r="AD130" s="338">
        <f t="shared" ca="1" si="84"/>
        <v>0</v>
      </c>
      <c r="AE130" s="338">
        <f t="shared" ca="1" si="84"/>
        <v>0</v>
      </c>
      <c r="AF130" s="338">
        <f t="shared" ca="1" si="84"/>
        <v>0</v>
      </c>
      <c r="AG130" s="338">
        <f t="shared" ca="1" si="84"/>
        <v>0</v>
      </c>
      <c r="AH130" s="338">
        <f t="shared" ca="1" si="84"/>
        <v>0</v>
      </c>
      <c r="AI130" s="338">
        <f t="shared" ca="1" si="85"/>
        <v>0</v>
      </c>
      <c r="AJ130" s="338">
        <f t="shared" ca="1" si="85"/>
        <v>0</v>
      </c>
      <c r="AK130" s="338">
        <f t="shared" ca="1" si="85"/>
        <v>0</v>
      </c>
      <c r="AL130" s="338">
        <f t="shared" ca="1" si="85"/>
        <v>0</v>
      </c>
      <c r="AM130" s="338">
        <f t="shared" ca="1" si="85"/>
        <v>0</v>
      </c>
      <c r="AN130" s="338">
        <f t="shared" ca="1" si="85"/>
        <v>0</v>
      </c>
    </row>
    <row r="131" spans="1:40" outlineLevel="1" x14ac:dyDescent="0.2">
      <c r="A131" s="171"/>
      <c r="B131" s="592"/>
      <c r="C131" s="592"/>
      <c r="D131" s="352">
        <f>COUNTA(E111:E130)</f>
        <v>0</v>
      </c>
      <c r="E131" s="171"/>
      <c r="F131" s="171"/>
      <c r="G131" s="171"/>
      <c r="H131" s="171"/>
      <c r="I131" s="171"/>
      <c r="J131" s="171"/>
      <c r="K131" s="171"/>
      <c r="L131" s="171"/>
      <c r="M131" s="171"/>
      <c r="N131" s="171"/>
      <c r="O131" s="171"/>
      <c r="P131" s="171"/>
      <c r="Q131" s="171"/>
      <c r="R131" s="171"/>
      <c r="S131" s="171"/>
      <c r="T131" s="171"/>
      <c r="U131" s="171"/>
      <c r="V131" s="5"/>
      <c r="W131" s="5"/>
      <c r="X131" s="5"/>
      <c r="Y131" s="5"/>
      <c r="Z131" s="5"/>
      <c r="AA131" s="5"/>
      <c r="AB131" s="5"/>
      <c r="AC131" s="5"/>
      <c r="AD131" s="5"/>
      <c r="AE131" s="5"/>
      <c r="AF131" s="5"/>
      <c r="AG131" s="5"/>
      <c r="AH131" s="5"/>
      <c r="AI131" s="5"/>
      <c r="AJ131" s="5"/>
      <c r="AK131" s="5"/>
      <c r="AL131" s="5"/>
      <c r="AM131" s="5"/>
      <c r="AN131" s="5"/>
    </row>
    <row r="132" spans="1:40" x14ac:dyDescent="0.2">
      <c r="A132" s="171"/>
      <c r="B132" s="592"/>
      <c r="C132" s="592"/>
      <c r="D132" s="171"/>
      <c r="E132" s="220"/>
      <c r="F132" s="215"/>
      <c r="G132" s="171"/>
      <c r="H132" s="171"/>
      <c r="I132" s="171"/>
      <c r="J132" s="171"/>
      <c r="K132" s="171"/>
      <c r="L132" s="171"/>
      <c r="M132" s="171"/>
      <c r="N132" s="171"/>
      <c r="O132" s="171"/>
      <c r="P132" s="171"/>
      <c r="Q132" s="171"/>
      <c r="R132" s="171"/>
      <c r="S132" s="171"/>
      <c r="T132" s="171"/>
      <c r="U132" s="171"/>
      <c r="V132" s="5"/>
      <c r="W132" s="5"/>
      <c r="X132" s="5"/>
      <c r="Y132" s="5"/>
      <c r="Z132" s="5"/>
      <c r="AA132" s="5"/>
      <c r="AB132" s="5"/>
      <c r="AC132" s="5"/>
      <c r="AD132" s="5"/>
      <c r="AE132" s="5"/>
      <c r="AF132" s="5"/>
      <c r="AG132" s="5"/>
      <c r="AH132" s="5"/>
      <c r="AI132" s="5"/>
      <c r="AJ132" s="5"/>
      <c r="AK132" s="5"/>
      <c r="AL132" s="5"/>
      <c r="AM132" s="5"/>
      <c r="AN132" s="5"/>
    </row>
    <row r="133" spans="1:40" ht="15.75" x14ac:dyDescent="0.2">
      <c r="A133" s="176"/>
      <c r="B133" s="176"/>
      <c r="C133" s="176"/>
      <c r="D133" s="176"/>
      <c r="E133" s="174" t="s">
        <v>944</v>
      </c>
      <c r="F133" s="214"/>
      <c r="G133" s="178"/>
      <c r="H133" s="178"/>
      <c r="I133" s="178"/>
      <c r="J133" s="771" t="str">
        <f>IF(AND(ScriptSourceCode&lt;&gt;2,ScriptSourceCode&lt;&gt;3),MsgNotRequired,"")</f>
        <v>** NOT REQUIRED **</v>
      </c>
      <c r="K133" s="772"/>
      <c r="L133" s="178"/>
      <c r="M133" s="178"/>
      <c r="N133" s="178"/>
      <c r="O133" s="178"/>
      <c r="P133" s="178"/>
      <c r="Q133" s="178"/>
      <c r="R133" s="178"/>
      <c r="S133" s="178"/>
      <c r="T133" s="175"/>
      <c r="U133" s="175"/>
      <c r="V133" s="1"/>
      <c r="W133" s="40"/>
      <c r="X133" s="40"/>
      <c r="Y133" s="40"/>
      <c r="Z133" s="40"/>
      <c r="AA133" s="40"/>
      <c r="AB133" s="40"/>
      <c r="AC133" s="40"/>
      <c r="AD133" s="40"/>
      <c r="AE133" s="40"/>
      <c r="AF133" s="40"/>
      <c r="AG133" s="40"/>
      <c r="AH133" s="40"/>
      <c r="AI133" s="40"/>
      <c r="AJ133" s="40"/>
      <c r="AK133" s="40"/>
      <c r="AL133" s="40"/>
      <c r="AM133" s="40"/>
      <c r="AN133" s="40"/>
    </row>
    <row r="134" spans="1:40" outlineLevel="1" x14ac:dyDescent="0.2">
      <c r="A134" s="6"/>
      <c r="B134" s="572"/>
      <c r="C134" s="572"/>
      <c r="D134" s="6"/>
      <c r="E134" s="195"/>
      <c r="F134" s="121"/>
      <c r="G134" s="6"/>
      <c r="H134" s="180"/>
      <c r="I134" s="6"/>
      <c r="J134" s="6"/>
      <c r="K134" s="6"/>
      <c r="L134" s="6"/>
      <c r="M134" s="180"/>
      <c r="N134" s="180"/>
      <c r="O134" s="6"/>
      <c r="P134" s="6"/>
      <c r="Q134" s="180"/>
      <c r="R134" s="180"/>
      <c r="S134" s="180"/>
      <c r="T134" s="171"/>
      <c r="U134" s="171"/>
      <c r="V134" s="5"/>
      <c r="W134" s="5"/>
      <c r="X134" s="5"/>
      <c r="Y134" s="5"/>
      <c r="Z134" s="5"/>
      <c r="AA134" s="5"/>
      <c r="AB134" s="5"/>
      <c r="AC134" s="5"/>
      <c r="AD134" s="5"/>
      <c r="AE134" s="5"/>
      <c r="AF134" s="5"/>
      <c r="AG134" s="5"/>
      <c r="AH134" s="5"/>
      <c r="AI134" s="5"/>
      <c r="AJ134" s="5"/>
      <c r="AK134" s="5"/>
      <c r="AL134" s="5"/>
      <c r="AM134" s="5"/>
      <c r="AN134" s="5"/>
    </row>
    <row r="135" spans="1:40" ht="14.25" outlineLevel="1" x14ac:dyDescent="0.2">
      <c r="A135" s="171"/>
      <c r="B135" s="592"/>
      <c r="C135" s="592"/>
      <c r="D135" s="171"/>
      <c r="E135" s="6" t="s">
        <v>894</v>
      </c>
      <c r="F135" s="215"/>
      <c r="G135" s="171"/>
      <c r="H135" s="171"/>
      <c r="I135" s="171"/>
      <c r="J135" s="171"/>
      <c r="K135" s="171"/>
      <c r="L135" s="171"/>
      <c r="M135" s="210"/>
      <c r="N135" s="210"/>
      <c r="O135" s="171"/>
      <c r="P135" s="171"/>
      <c r="Q135" s="210"/>
      <c r="R135" s="210"/>
      <c r="S135" s="210"/>
      <c r="T135" s="171"/>
      <c r="U135" s="171"/>
      <c r="V135" s="5"/>
      <c r="W135" s="5"/>
      <c r="X135" s="5"/>
      <c r="Y135" s="5"/>
      <c r="Z135" s="5"/>
      <c r="AA135" s="5"/>
      <c r="AB135" s="5"/>
      <c r="AC135" s="5"/>
      <c r="AD135" s="5"/>
      <c r="AE135" s="5"/>
      <c r="AF135" s="5"/>
      <c r="AG135" s="5"/>
      <c r="AH135" s="5"/>
      <c r="AI135" s="5"/>
      <c r="AJ135" s="5"/>
      <c r="AK135" s="5"/>
      <c r="AL135" s="5"/>
      <c r="AM135" s="5"/>
      <c r="AN135" s="5"/>
    </row>
    <row r="136" spans="1:40" s="570" customFormat="1" ht="14.25" outlineLevel="1" x14ac:dyDescent="0.2">
      <c r="A136" s="592"/>
      <c r="B136" s="592"/>
      <c r="C136" s="592"/>
      <c r="D136" s="592"/>
      <c r="E136" s="572"/>
      <c r="F136" s="215"/>
      <c r="G136" s="592"/>
      <c r="H136" s="592"/>
      <c r="I136" s="592"/>
      <c r="J136" s="592"/>
      <c r="K136" s="592"/>
      <c r="L136" s="592"/>
      <c r="M136" s="210"/>
      <c r="N136" s="210"/>
      <c r="O136" s="592"/>
      <c r="P136" s="592"/>
      <c r="Q136" s="210"/>
      <c r="R136" s="210"/>
      <c r="S136" s="210"/>
      <c r="T136" s="592"/>
      <c r="U136" s="592"/>
      <c r="V136" s="5"/>
      <c r="W136" s="5"/>
      <c r="X136" s="5"/>
      <c r="Y136" s="5"/>
      <c r="Z136" s="5"/>
      <c r="AA136" s="5"/>
      <c r="AB136" s="5"/>
      <c r="AC136" s="5"/>
      <c r="AD136" s="5"/>
      <c r="AE136" s="5"/>
      <c r="AF136" s="5"/>
      <c r="AG136" s="5"/>
      <c r="AH136" s="5"/>
      <c r="AI136" s="5"/>
      <c r="AJ136" s="5"/>
      <c r="AK136" s="5"/>
      <c r="AL136" s="5"/>
      <c r="AM136" s="5"/>
      <c r="AN136" s="5"/>
    </row>
    <row r="137" spans="1:40" ht="14.25" outlineLevel="1" x14ac:dyDescent="0.2">
      <c r="A137" s="171"/>
      <c r="B137" s="592"/>
      <c r="C137" s="592"/>
      <c r="D137" s="171"/>
      <c r="E137" s="814" t="str">
        <f>IF(C184&lt;&gt;0,MsgNote &amp; VLOOKUP("DupMS",WarningMessages,2,FALSE),"")</f>
        <v/>
      </c>
      <c r="F137" s="814"/>
      <c r="G137" s="814"/>
      <c r="H137" s="814"/>
      <c r="I137" s="171"/>
      <c r="J137" s="171"/>
      <c r="K137" s="171"/>
      <c r="L137" s="210"/>
      <c r="M137" s="210"/>
      <c r="N137" s="171"/>
      <c r="O137" s="171"/>
      <c r="P137" s="210"/>
      <c r="Q137" s="210"/>
      <c r="R137" s="210"/>
      <c r="S137" s="171"/>
      <c r="T137" s="171"/>
      <c r="U137" s="171"/>
      <c r="V137" s="5"/>
      <c r="W137" s="5"/>
      <c r="X137" s="5"/>
      <c r="Y137" s="5"/>
      <c r="Z137" s="5"/>
      <c r="AA137" s="5"/>
      <c r="AB137" s="5"/>
      <c r="AC137" s="5"/>
      <c r="AD137" s="5"/>
      <c r="AE137" s="5"/>
      <c r="AF137" s="5"/>
      <c r="AG137" s="5"/>
      <c r="AH137" s="5"/>
      <c r="AI137" s="5"/>
      <c r="AJ137" s="5"/>
      <c r="AK137" s="5"/>
      <c r="AL137" s="5"/>
      <c r="AM137" s="5"/>
      <c r="AN137" s="5"/>
    </row>
    <row r="138" spans="1:40" ht="25.5" outlineLevel="1" x14ac:dyDescent="0.2">
      <c r="A138" s="171"/>
      <c r="B138" s="592"/>
      <c r="C138" s="592"/>
      <c r="D138" s="171"/>
      <c r="E138" s="113" t="s">
        <v>885</v>
      </c>
      <c r="F138" s="789" t="s">
        <v>926</v>
      </c>
      <c r="G138" s="823"/>
      <c r="H138" s="823"/>
      <c r="O138" s="586"/>
      <c r="P138" s="210"/>
      <c r="Q138" s="210"/>
      <c r="R138" s="210"/>
      <c r="S138" s="171"/>
      <c r="T138" s="171"/>
      <c r="U138" s="171"/>
      <c r="V138" s="5"/>
      <c r="W138" s="333" t="s">
        <v>314</v>
      </c>
      <c r="X138" s="336" t="s">
        <v>326</v>
      </c>
      <c r="Z138" s="811" t="s">
        <v>314</v>
      </c>
      <c r="AA138" s="812"/>
      <c r="AB138" s="812"/>
      <c r="AC138" s="813"/>
      <c r="AD138" s="336" t="s">
        <v>837</v>
      </c>
      <c r="AN138" s="5"/>
    </row>
    <row r="139" spans="1:40" ht="14.25" outlineLevel="1" x14ac:dyDescent="0.2">
      <c r="A139" s="171"/>
      <c r="B139" s="592"/>
      <c r="C139" s="352" t="str">
        <f>IF(AND(E139="",F139&lt;&gt;""),1,IF(AND(E139&lt;&gt;"",F139=""),2,""))</f>
        <v/>
      </c>
      <c r="D139" s="352" t="str">
        <f t="shared" ref="D139:D158" si="86">IF(AND(E139&lt;&gt;"",F139&lt;&gt;"",ScriptSourceCode=2),VLOOKUP(E139,NamesOverallChangedCode,2,FALSE),"")</f>
        <v/>
      </c>
      <c r="E139" s="659"/>
      <c r="F139" s="818"/>
      <c r="G139" s="819"/>
      <c r="H139" s="819"/>
      <c r="J139" s="815" t="str">
        <f t="shared" ref="J139:J158" si="87">IF(C139&lt;&gt;"",MsgError,"")&amp;IF(C139=1,VLOOKUP("NoMS",ErrorMessages,2,FALSE),IF(C139=2,VLOOKUP("NoNew",ErrorMessages,2,FALSE),""))</f>
        <v/>
      </c>
      <c r="K139" s="815"/>
      <c r="L139" s="815"/>
      <c r="M139" s="210"/>
      <c r="N139" s="171"/>
      <c r="O139" s="171"/>
      <c r="P139" s="210"/>
      <c r="Q139" s="210"/>
      <c r="R139" s="210"/>
      <c r="S139" s="171"/>
      <c r="T139" s="171"/>
      <c r="U139" s="171"/>
      <c r="V139" s="5"/>
      <c r="W139" s="95" t="str">
        <f t="shared" ref="W139:W158" si="88">IF(AND(E139&lt;&gt;"",F139&lt;&gt;"",ScriptSourceCode=2),CONCATENATE(F139," &lt;= ",E139),MsgNotUsed)</f>
        <v>** NOT USED **</v>
      </c>
      <c r="X139" s="642" t="str">
        <f t="shared" ref="X139:X158" si="89">IF(W139&lt;&gt;MsgNotUsed,VLOOKUP(F139,TxPhaseNew,2,FALSE),"")</f>
        <v/>
      </c>
      <c r="Z139" s="804" t="str">
        <f t="shared" ref="Z139:Z158" si="90">IF(W139&lt;&gt;MsgNotUsed,F139,IF(W111&lt;&gt;MsgNotUsed,W111,""))</f>
        <v/>
      </c>
      <c r="AA139" s="804"/>
      <c r="AB139" s="804"/>
      <c r="AC139" s="804"/>
      <c r="AD139" s="352" t="str">
        <f t="shared" ref="AD139:AD158" ca="1" si="91">IF(W139&lt;&gt;MsgNotUsed,INDEX(CoPayBandMS,D139),IF($AA111&lt;&gt;0,INDEX(PxTxPhase1,$AA111,7),""))</f>
        <v/>
      </c>
      <c r="AE139" s="352">
        <v>1</v>
      </c>
      <c r="AN139" s="5"/>
    </row>
    <row r="140" spans="1:40" ht="14.25" outlineLevel="1" x14ac:dyDescent="0.2">
      <c r="A140" s="171"/>
      <c r="B140" s="592"/>
      <c r="C140" s="352" t="str">
        <f t="shared" ref="C140:C158" si="92">IF(AND(E140="",F140&lt;&gt;""),1,IF(AND(E140&lt;&gt;"",F140=""),2,""))</f>
        <v/>
      </c>
      <c r="D140" s="352" t="str">
        <f t="shared" si="86"/>
        <v/>
      </c>
      <c r="E140" s="659"/>
      <c r="F140" s="818"/>
      <c r="G140" s="819"/>
      <c r="H140" s="819"/>
      <c r="I140" s="570"/>
      <c r="J140" s="815" t="str">
        <f t="shared" si="87"/>
        <v/>
      </c>
      <c r="K140" s="815"/>
      <c r="L140" s="815"/>
      <c r="M140" s="210"/>
      <c r="N140" s="171"/>
      <c r="O140" s="171"/>
      <c r="P140" s="210"/>
      <c r="Q140" s="210"/>
      <c r="R140" s="210"/>
      <c r="S140" s="171"/>
      <c r="T140" s="171"/>
      <c r="U140" s="171"/>
      <c r="V140" s="5"/>
      <c r="W140" s="95" t="str">
        <f t="shared" si="88"/>
        <v>** NOT USED **</v>
      </c>
      <c r="X140" s="642" t="str">
        <f t="shared" si="89"/>
        <v/>
      </c>
      <c r="Z140" s="804" t="str">
        <f t="shared" si="90"/>
        <v/>
      </c>
      <c r="AA140" s="804"/>
      <c r="AB140" s="804"/>
      <c r="AC140" s="804"/>
      <c r="AD140" s="352" t="str">
        <f t="shared" ca="1" si="91"/>
        <v/>
      </c>
      <c r="AE140" s="352">
        <v>2</v>
      </c>
      <c r="AN140" s="5"/>
    </row>
    <row r="141" spans="1:40" ht="14.25" outlineLevel="1" x14ac:dyDescent="0.2">
      <c r="A141" s="171"/>
      <c r="B141" s="592"/>
      <c r="C141" s="352" t="str">
        <f t="shared" si="92"/>
        <v/>
      </c>
      <c r="D141" s="352" t="str">
        <f t="shared" si="86"/>
        <v/>
      </c>
      <c r="E141" s="659"/>
      <c r="F141" s="818"/>
      <c r="G141" s="819"/>
      <c r="H141" s="819"/>
      <c r="I141" s="570"/>
      <c r="J141" s="815" t="str">
        <f t="shared" si="87"/>
        <v/>
      </c>
      <c r="K141" s="815"/>
      <c r="L141" s="815"/>
      <c r="M141" s="210"/>
      <c r="N141" s="171"/>
      <c r="O141" s="171"/>
      <c r="P141" s="210"/>
      <c r="Q141" s="210"/>
      <c r="R141" s="210"/>
      <c r="S141" s="171"/>
      <c r="T141" s="171"/>
      <c r="U141" s="171"/>
      <c r="V141" s="5"/>
      <c r="W141" s="95" t="str">
        <f t="shared" si="88"/>
        <v>** NOT USED **</v>
      </c>
      <c r="X141" s="642" t="str">
        <f t="shared" si="89"/>
        <v/>
      </c>
      <c r="Z141" s="804" t="str">
        <f t="shared" si="90"/>
        <v/>
      </c>
      <c r="AA141" s="804"/>
      <c r="AB141" s="804"/>
      <c r="AC141" s="804"/>
      <c r="AD141" s="352" t="str">
        <f t="shared" ca="1" si="91"/>
        <v/>
      </c>
      <c r="AE141" s="352">
        <v>3</v>
      </c>
      <c r="AN141" s="5"/>
    </row>
    <row r="142" spans="1:40" ht="14.25" outlineLevel="1" x14ac:dyDescent="0.2">
      <c r="A142" s="171"/>
      <c r="B142" s="592"/>
      <c r="C142" s="352" t="str">
        <f t="shared" si="92"/>
        <v/>
      </c>
      <c r="D142" s="352" t="str">
        <f t="shared" si="86"/>
        <v/>
      </c>
      <c r="E142" s="659"/>
      <c r="F142" s="818"/>
      <c r="G142" s="819"/>
      <c r="H142" s="819"/>
      <c r="I142" s="570"/>
      <c r="J142" s="815" t="str">
        <f t="shared" si="87"/>
        <v/>
      </c>
      <c r="K142" s="815"/>
      <c r="L142" s="815"/>
      <c r="M142" s="210"/>
      <c r="N142" s="171"/>
      <c r="O142" s="171"/>
      <c r="P142" s="210"/>
      <c r="Q142" s="210"/>
      <c r="R142" s="210"/>
      <c r="S142" s="171"/>
      <c r="T142" s="171"/>
      <c r="U142" s="171"/>
      <c r="V142" s="5"/>
      <c r="W142" s="95" t="str">
        <f t="shared" si="88"/>
        <v>** NOT USED **</v>
      </c>
      <c r="X142" s="642" t="str">
        <f t="shared" si="89"/>
        <v/>
      </c>
      <c r="Z142" s="804" t="str">
        <f t="shared" si="90"/>
        <v/>
      </c>
      <c r="AA142" s="804"/>
      <c r="AB142" s="804"/>
      <c r="AC142" s="804"/>
      <c r="AD142" s="352" t="str">
        <f t="shared" ca="1" si="91"/>
        <v/>
      </c>
      <c r="AE142" s="352">
        <v>4</v>
      </c>
      <c r="AN142" s="5"/>
    </row>
    <row r="143" spans="1:40" ht="14.25" outlineLevel="1" x14ac:dyDescent="0.2">
      <c r="A143" s="171"/>
      <c r="B143" s="592"/>
      <c r="C143" s="352" t="str">
        <f t="shared" si="92"/>
        <v/>
      </c>
      <c r="D143" s="352" t="str">
        <f t="shared" si="86"/>
        <v/>
      </c>
      <c r="E143" s="659"/>
      <c r="F143" s="818"/>
      <c r="G143" s="819"/>
      <c r="H143" s="819"/>
      <c r="I143" s="570"/>
      <c r="J143" s="815" t="str">
        <f t="shared" si="87"/>
        <v/>
      </c>
      <c r="K143" s="815"/>
      <c r="L143" s="815"/>
      <c r="M143" s="210"/>
      <c r="N143" s="171"/>
      <c r="O143" s="171"/>
      <c r="P143" s="210"/>
      <c r="Q143" s="210"/>
      <c r="R143" s="210"/>
      <c r="S143" s="171"/>
      <c r="T143" s="171"/>
      <c r="U143" s="171"/>
      <c r="V143" s="5"/>
      <c r="W143" s="95" t="str">
        <f t="shared" si="88"/>
        <v>** NOT USED **</v>
      </c>
      <c r="X143" s="642" t="str">
        <f t="shared" si="89"/>
        <v/>
      </c>
      <c r="Z143" s="804" t="str">
        <f t="shared" si="90"/>
        <v/>
      </c>
      <c r="AA143" s="804"/>
      <c r="AB143" s="804"/>
      <c r="AC143" s="804"/>
      <c r="AD143" s="352" t="str">
        <f t="shared" ca="1" si="91"/>
        <v/>
      </c>
      <c r="AE143" s="352">
        <v>5</v>
      </c>
      <c r="AN143" s="5"/>
    </row>
    <row r="144" spans="1:40" ht="14.25" outlineLevel="1" x14ac:dyDescent="0.2">
      <c r="A144" s="171"/>
      <c r="B144" s="592"/>
      <c r="C144" s="352" t="str">
        <f t="shared" si="92"/>
        <v/>
      </c>
      <c r="D144" s="352" t="str">
        <f t="shared" si="86"/>
        <v/>
      </c>
      <c r="E144" s="659"/>
      <c r="F144" s="818"/>
      <c r="G144" s="819"/>
      <c r="H144" s="819"/>
      <c r="I144" s="570"/>
      <c r="J144" s="815" t="str">
        <f t="shared" si="87"/>
        <v/>
      </c>
      <c r="K144" s="815"/>
      <c r="L144" s="815"/>
      <c r="M144" s="210"/>
      <c r="N144" s="171"/>
      <c r="O144" s="171"/>
      <c r="P144" s="210"/>
      <c r="Q144" s="210"/>
      <c r="R144" s="210"/>
      <c r="S144" s="171"/>
      <c r="T144" s="171"/>
      <c r="U144" s="171"/>
      <c r="V144" s="5"/>
      <c r="W144" s="95" t="str">
        <f t="shared" si="88"/>
        <v>** NOT USED **</v>
      </c>
      <c r="X144" s="642" t="str">
        <f t="shared" si="89"/>
        <v/>
      </c>
      <c r="Z144" s="804" t="str">
        <f t="shared" si="90"/>
        <v/>
      </c>
      <c r="AA144" s="804"/>
      <c r="AB144" s="804"/>
      <c r="AC144" s="804"/>
      <c r="AD144" s="352" t="str">
        <f t="shared" ca="1" si="91"/>
        <v/>
      </c>
      <c r="AE144" s="352">
        <v>6</v>
      </c>
      <c r="AN144" s="5"/>
    </row>
    <row r="145" spans="1:40" ht="14.25" outlineLevel="1" x14ac:dyDescent="0.2">
      <c r="A145" s="171"/>
      <c r="B145" s="592"/>
      <c r="C145" s="352" t="str">
        <f t="shared" si="92"/>
        <v/>
      </c>
      <c r="D145" s="352" t="str">
        <f t="shared" si="86"/>
        <v/>
      </c>
      <c r="E145" s="659"/>
      <c r="F145" s="818"/>
      <c r="G145" s="819"/>
      <c r="H145" s="819"/>
      <c r="I145" s="570"/>
      <c r="J145" s="815" t="str">
        <f t="shared" si="87"/>
        <v/>
      </c>
      <c r="K145" s="815"/>
      <c r="L145" s="815"/>
      <c r="M145" s="210"/>
      <c r="N145" s="171"/>
      <c r="O145" s="171"/>
      <c r="P145" s="210"/>
      <c r="Q145" s="210"/>
      <c r="R145" s="210"/>
      <c r="S145" s="171"/>
      <c r="T145" s="171"/>
      <c r="U145" s="171"/>
      <c r="V145" s="5"/>
      <c r="W145" s="95" t="str">
        <f t="shared" si="88"/>
        <v>** NOT USED **</v>
      </c>
      <c r="X145" s="642" t="str">
        <f t="shared" si="89"/>
        <v/>
      </c>
      <c r="Z145" s="804" t="str">
        <f t="shared" si="90"/>
        <v/>
      </c>
      <c r="AA145" s="804"/>
      <c r="AB145" s="804"/>
      <c r="AC145" s="804"/>
      <c r="AD145" s="352" t="str">
        <f t="shared" ca="1" si="91"/>
        <v/>
      </c>
      <c r="AE145" s="352">
        <v>7</v>
      </c>
      <c r="AN145" s="5"/>
    </row>
    <row r="146" spans="1:40" ht="14.25" outlineLevel="1" x14ac:dyDescent="0.2">
      <c r="A146" s="171"/>
      <c r="B146" s="592"/>
      <c r="C146" s="352" t="str">
        <f t="shared" si="92"/>
        <v/>
      </c>
      <c r="D146" s="352" t="str">
        <f t="shared" si="86"/>
        <v/>
      </c>
      <c r="E146" s="659"/>
      <c r="F146" s="818"/>
      <c r="G146" s="819"/>
      <c r="H146" s="819"/>
      <c r="I146" s="570"/>
      <c r="J146" s="815" t="str">
        <f t="shared" si="87"/>
        <v/>
      </c>
      <c r="K146" s="815"/>
      <c r="L146" s="815"/>
      <c r="M146" s="210"/>
      <c r="N146" s="171"/>
      <c r="O146" s="171"/>
      <c r="P146" s="210"/>
      <c r="Q146" s="210"/>
      <c r="R146" s="210"/>
      <c r="S146" s="171"/>
      <c r="T146" s="171"/>
      <c r="U146" s="171"/>
      <c r="V146" s="5"/>
      <c r="W146" s="95" t="str">
        <f t="shared" si="88"/>
        <v>** NOT USED **</v>
      </c>
      <c r="X146" s="642" t="str">
        <f t="shared" si="89"/>
        <v/>
      </c>
      <c r="Z146" s="804" t="str">
        <f t="shared" si="90"/>
        <v/>
      </c>
      <c r="AA146" s="804"/>
      <c r="AB146" s="804"/>
      <c r="AC146" s="804"/>
      <c r="AD146" s="352" t="str">
        <f t="shared" ca="1" si="91"/>
        <v/>
      </c>
      <c r="AE146" s="352">
        <v>8</v>
      </c>
      <c r="AN146" s="5"/>
    </row>
    <row r="147" spans="1:40" ht="14.25" outlineLevel="1" x14ac:dyDescent="0.2">
      <c r="A147" s="171"/>
      <c r="B147" s="592"/>
      <c r="C147" s="352" t="str">
        <f t="shared" si="92"/>
        <v/>
      </c>
      <c r="D147" s="352" t="str">
        <f t="shared" si="86"/>
        <v/>
      </c>
      <c r="E147" s="659"/>
      <c r="F147" s="818"/>
      <c r="G147" s="819"/>
      <c r="H147" s="819"/>
      <c r="I147" s="570"/>
      <c r="J147" s="815" t="str">
        <f t="shared" si="87"/>
        <v/>
      </c>
      <c r="K147" s="815"/>
      <c r="L147" s="815"/>
      <c r="M147" s="210"/>
      <c r="N147" s="171"/>
      <c r="O147" s="171"/>
      <c r="P147" s="210"/>
      <c r="Q147" s="210"/>
      <c r="R147" s="210"/>
      <c r="S147" s="171"/>
      <c r="T147" s="171"/>
      <c r="U147" s="171"/>
      <c r="V147" s="5"/>
      <c r="W147" s="95" t="str">
        <f t="shared" si="88"/>
        <v>** NOT USED **</v>
      </c>
      <c r="X147" s="642" t="str">
        <f t="shared" si="89"/>
        <v/>
      </c>
      <c r="Z147" s="804" t="str">
        <f t="shared" si="90"/>
        <v/>
      </c>
      <c r="AA147" s="804"/>
      <c r="AB147" s="804"/>
      <c r="AC147" s="804"/>
      <c r="AD147" s="352" t="str">
        <f t="shared" ca="1" si="91"/>
        <v/>
      </c>
      <c r="AE147" s="352">
        <v>9</v>
      </c>
      <c r="AN147" s="5"/>
    </row>
    <row r="148" spans="1:40" ht="14.25" outlineLevel="1" x14ac:dyDescent="0.2">
      <c r="A148" s="171"/>
      <c r="B148" s="592"/>
      <c r="C148" s="352" t="str">
        <f t="shared" si="92"/>
        <v/>
      </c>
      <c r="D148" s="352" t="str">
        <f t="shared" si="86"/>
        <v/>
      </c>
      <c r="E148" s="659"/>
      <c r="F148" s="818"/>
      <c r="G148" s="819"/>
      <c r="H148" s="819"/>
      <c r="I148" s="570"/>
      <c r="J148" s="815" t="str">
        <f t="shared" si="87"/>
        <v/>
      </c>
      <c r="K148" s="815"/>
      <c r="L148" s="815"/>
      <c r="M148" s="210"/>
      <c r="N148" s="171"/>
      <c r="O148" s="171"/>
      <c r="P148" s="210"/>
      <c r="Q148" s="210"/>
      <c r="R148" s="210"/>
      <c r="S148" s="171"/>
      <c r="T148" s="171"/>
      <c r="U148" s="171"/>
      <c r="V148" s="5"/>
      <c r="W148" s="95" t="str">
        <f t="shared" si="88"/>
        <v>** NOT USED **</v>
      </c>
      <c r="X148" s="642" t="str">
        <f t="shared" si="89"/>
        <v/>
      </c>
      <c r="Z148" s="804" t="str">
        <f t="shared" si="90"/>
        <v/>
      </c>
      <c r="AA148" s="804"/>
      <c r="AB148" s="804"/>
      <c r="AC148" s="804"/>
      <c r="AD148" s="352" t="str">
        <f t="shared" ca="1" si="91"/>
        <v/>
      </c>
      <c r="AE148" s="352">
        <v>10</v>
      </c>
      <c r="AN148" s="5"/>
    </row>
    <row r="149" spans="1:40" ht="14.25" outlineLevel="1" x14ac:dyDescent="0.2">
      <c r="A149" s="171"/>
      <c r="B149" s="592"/>
      <c r="C149" s="352" t="str">
        <f t="shared" si="92"/>
        <v/>
      </c>
      <c r="D149" s="352" t="str">
        <f t="shared" si="86"/>
        <v/>
      </c>
      <c r="E149" s="659"/>
      <c r="F149" s="818"/>
      <c r="G149" s="819"/>
      <c r="H149" s="819"/>
      <c r="I149" s="570"/>
      <c r="J149" s="815" t="str">
        <f t="shared" si="87"/>
        <v/>
      </c>
      <c r="K149" s="815"/>
      <c r="L149" s="815"/>
      <c r="M149" s="210"/>
      <c r="N149" s="171"/>
      <c r="O149" s="171"/>
      <c r="P149" s="210"/>
      <c r="Q149" s="210"/>
      <c r="R149" s="210"/>
      <c r="S149" s="171"/>
      <c r="T149" s="171"/>
      <c r="U149" s="171"/>
      <c r="V149" s="5"/>
      <c r="W149" s="95" t="str">
        <f t="shared" si="88"/>
        <v>** NOT USED **</v>
      </c>
      <c r="X149" s="642" t="str">
        <f t="shared" si="89"/>
        <v/>
      </c>
      <c r="Z149" s="804" t="str">
        <f t="shared" si="90"/>
        <v/>
      </c>
      <c r="AA149" s="804"/>
      <c r="AB149" s="804"/>
      <c r="AC149" s="804"/>
      <c r="AD149" s="352" t="str">
        <f t="shared" ca="1" si="91"/>
        <v/>
      </c>
      <c r="AE149" s="352">
        <v>11</v>
      </c>
      <c r="AN149" s="5"/>
    </row>
    <row r="150" spans="1:40" ht="14.25" outlineLevel="1" x14ac:dyDescent="0.2">
      <c r="A150" s="171"/>
      <c r="B150" s="592"/>
      <c r="C150" s="352" t="str">
        <f t="shared" si="92"/>
        <v/>
      </c>
      <c r="D150" s="352" t="str">
        <f t="shared" si="86"/>
        <v/>
      </c>
      <c r="E150" s="659"/>
      <c r="F150" s="818"/>
      <c r="G150" s="819"/>
      <c r="H150" s="819"/>
      <c r="I150" s="570"/>
      <c r="J150" s="815" t="str">
        <f t="shared" si="87"/>
        <v/>
      </c>
      <c r="K150" s="815"/>
      <c r="L150" s="815"/>
      <c r="M150" s="210"/>
      <c r="N150" s="171"/>
      <c r="O150" s="171"/>
      <c r="P150" s="210"/>
      <c r="Q150" s="210"/>
      <c r="R150" s="210"/>
      <c r="S150" s="171"/>
      <c r="T150" s="171"/>
      <c r="U150" s="171"/>
      <c r="V150" s="5"/>
      <c r="W150" s="95" t="str">
        <f t="shared" si="88"/>
        <v>** NOT USED **</v>
      </c>
      <c r="X150" s="642" t="str">
        <f t="shared" si="89"/>
        <v/>
      </c>
      <c r="Z150" s="804" t="str">
        <f t="shared" si="90"/>
        <v/>
      </c>
      <c r="AA150" s="804"/>
      <c r="AB150" s="804"/>
      <c r="AC150" s="804"/>
      <c r="AD150" s="352" t="str">
        <f t="shared" ca="1" si="91"/>
        <v/>
      </c>
      <c r="AE150" s="352">
        <v>12</v>
      </c>
      <c r="AN150" s="5"/>
    </row>
    <row r="151" spans="1:40" ht="14.25" outlineLevel="1" x14ac:dyDescent="0.2">
      <c r="A151" s="171"/>
      <c r="B151" s="592"/>
      <c r="C151" s="352" t="str">
        <f t="shared" si="92"/>
        <v/>
      </c>
      <c r="D151" s="352" t="str">
        <f t="shared" si="86"/>
        <v/>
      </c>
      <c r="E151" s="659"/>
      <c r="F151" s="818"/>
      <c r="G151" s="819"/>
      <c r="H151" s="819"/>
      <c r="I151" s="570"/>
      <c r="J151" s="815" t="str">
        <f t="shared" si="87"/>
        <v/>
      </c>
      <c r="K151" s="815"/>
      <c r="L151" s="815"/>
      <c r="M151" s="210"/>
      <c r="N151" s="171"/>
      <c r="O151" s="171"/>
      <c r="P151" s="210"/>
      <c r="Q151" s="210"/>
      <c r="R151" s="210"/>
      <c r="S151" s="171"/>
      <c r="T151" s="171"/>
      <c r="U151" s="171"/>
      <c r="V151" s="5"/>
      <c r="W151" s="95" t="str">
        <f t="shared" si="88"/>
        <v>** NOT USED **</v>
      </c>
      <c r="X151" s="642" t="str">
        <f t="shared" si="89"/>
        <v/>
      </c>
      <c r="Z151" s="804" t="str">
        <f t="shared" si="90"/>
        <v/>
      </c>
      <c r="AA151" s="804"/>
      <c r="AB151" s="804"/>
      <c r="AC151" s="804"/>
      <c r="AD151" s="352" t="str">
        <f t="shared" ca="1" si="91"/>
        <v/>
      </c>
      <c r="AE151" s="352">
        <v>13</v>
      </c>
      <c r="AN151" s="5"/>
    </row>
    <row r="152" spans="1:40" ht="14.25" outlineLevel="1" x14ac:dyDescent="0.2">
      <c r="A152" s="171"/>
      <c r="B152" s="592"/>
      <c r="C152" s="352" t="str">
        <f t="shared" si="92"/>
        <v/>
      </c>
      <c r="D152" s="352" t="str">
        <f t="shared" si="86"/>
        <v/>
      </c>
      <c r="E152" s="659"/>
      <c r="F152" s="818"/>
      <c r="G152" s="819"/>
      <c r="H152" s="819"/>
      <c r="I152" s="570"/>
      <c r="J152" s="815" t="str">
        <f t="shared" si="87"/>
        <v/>
      </c>
      <c r="K152" s="815"/>
      <c r="L152" s="815"/>
      <c r="M152" s="210"/>
      <c r="N152" s="171"/>
      <c r="O152" s="171"/>
      <c r="P152" s="210"/>
      <c r="Q152" s="210"/>
      <c r="R152" s="210"/>
      <c r="S152" s="171"/>
      <c r="T152" s="171"/>
      <c r="U152" s="171"/>
      <c r="V152" s="5"/>
      <c r="W152" s="95" t="str">
        <f t="shared" si="88"/>
        <v>** NOT USED **</v>
      </c>
      <c r="X152" s="642" t="str">
        <f t="shared" si="89"/>
        <v/>
      </c>
      <c r="Z152" s="804" t="str">
        <f t="shared" si="90"/>
        <v/>
      </c>
      <c r="AA152" s="804"/>
      <c r="AB152" s="804"/>
      <c r="AC152" s="804"/>
      <c r="AD152" s="352" t="str">
        <f t="shared" ca="1" si="91"/>
        <v/>
      </c>
      <c r="AE152" s="352">
        <v>14</v>
      </c>
      <c r="AN152" s="5"/>
    </row>
    <row r="153" spans="1:40" ht="14.25" outlineLevel="1" x14ac:dyDescent="0.2">
      <c r="A153" s="171"/>
      <c r="B153" s="592"/>
      <c r="C153" s="352" t="str">
        <f t="shared" si="92"/>
        <v/>
      </c>
      <c r="D153" s="352" t="str">
        <f t="shared" si="86"/>
        <v/>
      </c>
      <c r="E153" s="659"/>
      <c r="F153" s="818"/>
      <c r="G153" s="819"/>
      <c r="H153" s="819"/>
      <c r="I153" s="570"/>
      <c r="J153" s="815" t="str">
        <f t="shared" si="87"/>
        <v/>
      </c>
      <c r="K153" s="815"/>
      <c r="L153" s="815"/>
      <c r="M153" s="210"/>
      <c r="N153" s="171"/>
      <c r="O153" s="171"/>
      <c r="P153" s="210"/>
      <c r="Q153" s="210"/>
      <c r="R153" s="210"/>
      <c r="S153" s="171"/>
      <c r="T153" s="171"/>
      <c r="U153" s="171"/>
      <c r="V153" s="5"/>
      <c r="W153" s="95" t="str">
        <f t="shared" si="88"/>
        <v>** NOT USED **</v>
      </c>
      <c r="X153" s="642" t="str">
        <f t="shared" si="89"/>
        <v/>
      </c>
      <c r="Z153" s="804" t="str">
        <f t="shared" si="90"/>
        <v/>
      </c>
      <c r="AA153" s="804"/>
      <c r="AB153" s="804"/>
      <c r="AC153" s="804"/>
      <c r="AD153" s="352" t="str">
        <f t="shared" ca="1" si="91"/>
        <v/>
      </c>
      <c r="AE153" s="352">
        <v>15</v>
      </c>
      <c r="AN153" s="5"/>
    </row>
    <row r="154" spans="1:40" ht="14.25" outlineLevel="1" x14ac:dyDescent="0.2">
      <c r="A154" s="171"/>
      <c r="B154" s="592"/>
      <c r="C154" s="352" t="str">
        <f t="shared" si="92"/>
        <v/>
      </c>
      <c r="D154" s="352" t="str">
        <f t="shared" si="86"/>
        <v/>
      </c>
      <c r="E154" s="659"/>
      <c r="F154" s="818"/>
      <c r="G154" s="819"/>
      <c r="H154" s="819"/>
      <c r="I154" s="570"/>
      <c r="J154" s="815" t="str">
        <f t="shared" si="87"/>
        <v/>
      </c>
      <c r="K154" s="815"/>
      <c r="L154" s="815"/>
      <c r="M154" s="210"/>
      <c r="N154" s="171"/>
      <c r="O154" s="171"/>
      <c r="P154" s="210"/>
      <c r="Q154" s="210"/>
      <c r="R154" s="210"/>
      <c r="S154" s="171"/>
      <c r="T154" s="171"/>
      <c r="U154" s="171"/>
      <c r="V154" s="5"/>
      <c r="W154" s="95" t="str">
        <f t="shared" si="88"/>
        <v>** NOT USED **</v>
      </c>
      <c r="X154" s="642" t="str">
        <f t="shared" si="89"/>
        <v/>
      </c>
      <c r="Z154" s="804" t="str">
        <f t="shared" si="90"/>
        <v/>
      </c>
      <c r="AA154" s="804"/>
      <c r="AB154" s="804"/>
      <c r="AC154" s="804"/>
      <c r="AD154" s="352" t="str">
        <f t="shared" ca="1" si="91"/>
        <v/>
      </c>
      <c r="AE154" s="352">
        <v>16</v>
      </c>
      <c r="AN154" s="5"/>
    </row>
    <row r="155" spans="1:40" ht="14.25" outlineLevel="1" x14ac:dyDescent="0.2">
      <c r="A155" s="171"/>
      <c r="B155" s="592"/>
      <c r="C155" s="352" t="str">
        <f t="shared" si="92"/>
        <v/>
      </c>
      <c r="D155" s="352" t="str">
        <f t="shared" si="86"/>
        <v/>
      </c>
      <c r="E155" s="659"/>
      <c r="F155" s="818"/>
      <c r="G155" s="819"/>
      <c r="H155" s="819"/>
      <c r="I155" s="570"/>
      <c r="J155" s="815" t="str">
        <f t="shared" si="87"/>
        <v/>
      </c>
      <c r="K155" s="815"/>
      <c r="L155" s="815"/>
      <c r="M155" s="210"/>
      <c r="N155" s="171"/>
      <c r="O155" s="171"/>
      <c r="P155" s="210"/>
      <c r="Q155" s="210"/>
      <c r="R155" s="210"/>
      <c r="S155" s="171"/>
      <c r="T155" s="171"/>
      <c r="U155" s="171"/>
      <c r="V155" s="5"/>
      <c r="W155" s="95" t="str">
        <f t="shared" si="88"/>
        <v>** NOT USED **</v>
      </c>
      <c r="X155" s="642" t="str">
        <f t="shared" si="89"/>
        <v/>
      </c>
      <c r="Z155" s="804" t="str">
        <f t="shared" si="90"/>
        <v/>
      </c>
      <c r="AA155" s="804"/>
      <c r="AB155" s="804"/>
      <c r="AC155" s="804"/>
      <c r="AD155" s="352" t="str">
        <f t="shared" ca="1" si="91"/>
        <v/>
      </c>
      <c r="AE155" s="352">
        <v>17</v>
      </c>
      <c r="AN155" s="5"/>
    </row>
    <row r="156" spans="1:40" ht="14.25" outlineLevel="1" x14ac:dyDescent="0.2">
      <c r="A156" s="171"/>
      <c r="B156" s="592"/>
      <c r="C156" s="352" t="str">
        <f t="shared" si="92"/>
        <v/>
      </c>
      <c r="D156" s="352" t="str">
        <f t="shared" si="86"/>
        <v/>
      </c>
      <c r="E156" s="659"/>
      <c r="F156" s="818"/>
      <c r="G156" s="819"/>
      <c r="H156" s="819"/>
      <c r="I156" s="570"/>
      <c r="J156" s="815" t="str">
        <f t="shared" si="87"/>
        <v/>
      </c>
      <c r="K156" s="815"/>
      <c r="L156" s="815"/>
      <c r="M156" s="210"/>
      <c r="N156" s="171"/>
      <c r="O156" s="171"/>
      <c r="P156" s="210"/>
      <c r="Q156" s="210"/>
      <c r="R156" s="210"/>
      <c r="S156" s="171"/>
      <c r="T156" s="171"/>
      <c r="U156" s="171"/>
      <c r="V156" s="5"/>
      <c r="W156" s="95" t="str">
        <f t="shared" si="88"/>
        <v>** NOT USED **</v>
      </c>
      <c r="X156" s="642" t="str">
        <f t="shared" si="89"/>
        <v/>
      </c>
      <c r="Z156" s="804" t="str">
        <f t="shared" si="90"/>
        <v/>
      </c>
      <c r="AA156" s="804"/>
      <c r="AB156" s="804"/>
      <c r="AC156" s="804"/>
      <c r="AD156" s="352" t="str">
        <f t="shared" ca="1" si="91"/>
        <v/>
      </c>
      <c r="AE156" s="352">
        <v>18</v>
      </c>
      <c r="AN156" s="5"/>
    </row>
    <row r="157" spans="1:40" ht="14.25" outlineLevel="1" x14ac:dyDescent="0.2">
      <c r="A157" s="171"/>
      <c r="B157" s="592"/>
      <c r="C157" s="352" t="str">
        <f t="shared" si="92"/>
        <v/>
      </c>
      <c r="D157" s="352" t="str">
        <f t="shared" si="86"/>
        <v/>
      </c>
      <c r="E157" s="659"/>
      <c r="F157" s="818"/>
      <c r="G157" s="819"/>
      <c r="H157" s="819"/>
      <c r="I157" s="570"/>
      <c r="J157" s="815" t="str">
        <f t="shared" si="87"/>
        <v/>
      </c>
      <c r="K157" s="815"/>
      <c r="L157" s="815"/>
      <c r="M157" s="210"/>
      <c r="N157" s="171"/>
      <c r="O157" s="171"/>
      <c r="P157" s="210"/>
      <c r="Q157" s="210"/>
      <c r="R157" s="210"/>
      <c r="S157" s="171"/>
      <c r="T157" s="171"/>
      <c r="U157" s="171"/>
      <c r="V157" s="5"/>
      <c r="W157" s="95" t="str">
        <f t="shared" si="88"/>
        <v>** NOT USED **</v>
      </c>
      <c r="X157" s="642" t="str">
        <f t="shared" si="89"/>
        <v/>
      </c>
      <c r="Z157" s="804" t="str">
        <f t="shared" si="90"/>
        <v/>
      </c>
      <c r="AA157" s="804"/>
      <c r="AB157" s="804"/>
      <c r="AC157" s="804"/>
      <c r="AD157" s="352" t="str">
        <f t="shared" ca="1" si="91"/>
        <v/>
      </c>
      <c r="AE157" s="352">
        <v>19</v>
      </c>
      <c r="AN157" s="5"/>
    </row>
    <row r="158" spans="1:40" ht="14.25" outlineLevel="1" x14ac:dyDescent="0.2">
      <c r="A158" s="171"/>
      <c r="B158" s="592"/>
      <c r="C158" s="352" t="str">
        <f t="shared" si="92"/>
        <v/>
      </c>
      <c r="D158" s="352" t="str">
        <f t="shared" si="86"/>
        <v/>
      </c>
      <c r="E158" s="659"/>
      <c r="F158" s="818"/>
      <c r="G158" s="819"/>
      <c r="H158" s="819"/>
      <c r="I158" s="570"/>
      <c r="J158" s="815" t="str">
        <f t="shared" si="87"/>
        <v/>
      </c>
      <c r="K158" s="815"/>
      <c r="L158" s="815"/>
      <c r="M158" s="210"/>
      <c r="N158" s="171"/>
      <c r="O158" s="171"/>
      <c r="P158" s="210"/>
      <c r="Q158" s="210"/>
      <c r="R158" s="210"/>
      <c r="S158" s="171"/>
      <c r="T158" s="171"/>
      <c r="U158" s="171"/>
      <c r="V158" s="5"/>
      <c r="W158" s="95" t="str">
        <f t="shared" si="88"/>
        <v>** NOT USED **</v>
      </c>
      <c r="X158" s="642" t="str">
        <f t="shared" si="89"/>
        <v/>
      </c>
      <c r="Z158" s="804" t="str">
        <f t="shared" si="90"/>
        <v/>
      </c>
      <c r="AA158" s="804"/>
      <c r="AB158" s="804"/>
      <c r="AC158" s="804"/>
      <c r="AD158" s="352" t="str">
        <f t="shared" ca="1" si="91"/>
        <v/>
      </c>
      <c r="AE158" s="352">
        <v>20</v>
      </c>
      <c r="AN158" s="5"/>
    </row>
    <row r="159" spans="1:40" ht="14.25" outlineLevel="1" x14ac:dyDescent="0.2">
      <c r="A159" s="171"/>
      <c r="B159" s="592"/>
      <c r="C159" s="592"/>
      <c r="D159" s="171"/>
      <c r="E159" s="6"/>
      <c r="F159" s="215"/>
      <c r="G159" s="171"/>
      <c r="H159" s="171"/>
      <c r="I159" s="171"/>
      <c r="J159" s="171"/>
      <c r="K159" s="171"/>
      <c r="L159" s="210"/>
      <c r="M159" s="210"/>
      <c r="N159" s="171"/>
      <c r="O159" s="171"/>
      <c r="P159" s="171"/>
      <c r="Q159" s="171"/>
      <c r="R159" s="171"/>
      <c r="S159" s="171"/>
      <c r="T159" s="171"/>
      <c r="U159" s="171"/>
      <c r="V159" s="5"/>
      <c r="W159" s="5"/>
      <c r="X159" s="5"/>
      <c r="Y159" s="5"/>
      <c r="Z159" s="5"/>
      <c r="AA159" s="5"/>
      <c r="AB159" s="5"/>
      <c r="AC159" s="5"/>
      <c r="AD159" s="5"/>
      <c r="AE159" s="5"/>
      <c r="AF159" s="5"/>
      <c r="AG159" s="5"/>
      <c r="AH159" s="5"/>
      <c r="AI159" s="5"/>
      <c r="AJ159" s="5"/>
      <c r="AK159" s="5"/>
      <c r="AL159" s="5"/>
      <c r="AM159" s="5"/>
      <c r="AN159" s="5"/>
    </row>
    <row r="160" spans="1:40" ht="14.25" outlineLevel="1" x14ac:dyDescent="0.2">
      <c r="A160" s="171"/>
      <c r="B160" s="592"/>
      <c r="C160" s="592"/>
      <c r="D160" s="171"/>
      <c r="E160" s="6" t="s">
        <v>895</v>
      </c>
      <c r="F160" s="215"/>
      <c r="G160" s="171"/>
      <c r="H160" s="171"/>
      <c r="I160" s="171"/>
      <c r="J160" s="171"/>
      <c r="K160" s="171"/>
      <c r="L160" s="210"/>
      <c r="M160" s="821" t="str">
        <f>IF(AND(COUNTIF(E164:H183,MsgNotUsed)&lt;&gt;20,COUNTA(N164:N183)=0),MsgNote &amp; VLOOKUP("CurrentMS",WarningMessages,2,FALSE),"")</f>
        <v/>
      </c>
      <c r="N160" s="821"/>
      <c r="O160" s="821"/>
      <c r="P160" s="821"/>
      <c r="Q160" s="821"/>
      <c r="R160" s="821"/>
      <c r="S160" s="822"/>
      <c r="T160" s="171"/>
      <c r="U160" s="171"/>
      <c r="V160" s="5"/>
      <c r="W160" s="5"/>
      <c r="X160" s="5"/>
      <c r="Y160" s="5"/>
      <c r="Z160" s="5"/>
      <c r="AA160" s="5"/>
      <c r="AB160" s="5"/>
      <c r="AC160" s="5"/>
      <c r="AD160" s="5"/>
      <c r="AE160" s="5"/>
      <c r="AF160" s="5"/>
      <c r="AG160" s="5"/>
      <c r="AH160" s="5"/>
      <c r="AI160" s="5"/>
      <c r="AJ160" s="5"/>
      <c r="AK160" s="5"/>
      <c r="AL160" s="5"/>
      <c r="AM160" s="5"/>
      <c r="AN160" s="5"/>
    </row>
    <row r="161" spans="1:40" ht="14.25" outlineLevel="1" x14ac:dyDescent="0.2">
      <c r="A161" s="171"/>
      <c r="B161" s="592"/>
      <c r="C161" s="592"/>
      <c r="D161" s="171"/>
      <c r="E161" s="6"/>
      <c r="F161" s="215"/>
      <c r="G161" s="171"/>
      <c r="H161" s="171"/>
      <c r="I161" s="171"/>
      <c r="J161" s="171"/>
      <c r="K161" s="171"/>
      <c r="L161" s="210"/>
      <c r="M161" s="171"/>
      <c r="N161" s="171"/>
      <c r="O161" s="171"/>
      <c r="P161" s="171"/>
      <c r="Q161" s="171"/>
      <c r="R161" s="171"/>
      <c r="S161" s="171"/>
      <c r="T161" s="171"/>
      <c r="U161" s="171"/>
      <c r="V161" s="5"/>
      <c r="W161" s="5"/>
      <c r="X161" s="5"/>
      <c r="Y161" s="5"/>
      <c r="Z161" s="5"/>
      <c r="AA161" s="5"/>
      <c r="AB161" s="5"/>
      <c r="AC161" s="5"/>
      <c r="AD161" s="5"/>
      <c r="AE161" s="5"/>
      <c r="AF161" s="5"/>
      <c r="AG161" s="5"/>
      <c r="AH161" s="5"/>
      <c r="AI161" s="5"/>
      <c r="AJ161" s="5"/>
      <c r="AK161" s="5"/>
      <c r="AL161" s="5"/>
      <c r="AM161" s="5"/>
      <c r="AN161" s="5"/>
    </row>
    <row r="162" spans="1:40" outlineLevel="1" x14ac:dyDescent="0.2">
      <c r="A162" s="171"/>
      <c r="B162" s="592"/>
      <c r="C162" s="592"/>
      <c r="D162" s="171"/>
      <c r="E162" s="6"/>
      <c r="F162" s="171"/>
      <c r="G162" s="171"/>
      <c r="H162" s="171"/>
      <c r="I162" s="792" t="s">
        <v>171</v>
      </c>
      <c r="J162" s="794"/>
      <c r="K162" s="171"/>
      <c r="L162" s="171"/>
      <c r="M162" s="171"/>
      <c r="N162" s="789" t="s">
        <v>151</v>
      </c>
      <c r="O162" s="789"/>
      <c r="P162" s="789"/>
      <c r="Q162" s="789"/>
      <c r="R162" s="789"/>
      <c r="S162" s="789"/>
      <c r="T162" s="171"/>
      <c r="U162" s="171"/>
      <c r="V162" s="5"/>
      <c r="W162" s="5"/>
      <c r="X162" s="5"/>
      <c r="Y162" s="5"/>
      <c r="Z162" s="5"/>
      <c r="AA162" s="5"/>
      <c r="AB162" s="5"/>
      <c r="AC162" s="5"/>
      <c r="AD162" s="5"/>
      <c r="AE162" s="5"/>
      <c r="AF162" s="5"/>
      <c r="AG162" s="5"/>
      <c r="AH162" s="5"/>
      <c r="AI162" s="5"/>
      <c r="AJ162" s="5"/>
      <c r="AK162" s="5"/>
      <c r="AL162" s="5"/>
      <c r="AM162" s="5"/>
      <c r="AN162" s="5"/>
    </row>
    <row r="163" spans="1:40" ht="25.5" outlineLevel="1" x14ac:dyDescent="0.2">
      <c r="A163" s="171"/>
      <c r="B163" s="592"/>
      <c r="C163" s="592"/>
      <c r="D163" s="171"/>
      <c r="E163" s="798" t="s">
        <v>884</v>
      </c>
      <c r="F163" s="799"/>
      <c r="G163" s="731"/>
      <c r="H163" s="731"/>
      <c r="I163" s="113" t="s">
        <v>357</v>
      </c>
      <c r="J163" s="113" t="s">
        <v>929</v>
      </c>
      <c r="K163" s="113" t="s">
        <v>152</v>
      </c>
      <c r="L163" s="113" t="s">
        <v>337</v>
      </c>
      <c r="M163" s="113" t="s">
        <v>351</v>
      </c>
      <c r="N163" s="112">
        <f>FirstYear</f>
        <v>0</v>
      </c>
      <c r="O163" s="112">
        <f>N163+1</f>
        <v>1</v>
      </c>
      <c r="P163" s="112">
        <f>O163+1</f>
        <v>2</v>
      </c>
      <c r="Q163" s="112">
        <f>P163+1</f>
        <v>3</v>
      </c>
      <c r="R163" s="112">
        <f>Q163+1</f>
        <v>4</v>
      </c>
      <c r="S163" s="112">
        <f>R163+1</f>
        <v>5</v>
      </c>
      <c r="T163" s="210"/>
      <c r="U163" s="210"/>
      <c r="V163" s="5"/>
      <c r="W163" s="5"/>
      <c r="X163" s="5"/>
      <c r="Y163" s="5"/>
      <c r="Z163" s="5"/>
      <c r="AA163" s="5"/>
      <c r="AB163" s="5"/>
      <c r="AC163" s="5"/>
      <c r="AD163" s="5"/>
      <c r="AE163" s="5"/>
      <c r="AF163" s="5"/>
      <c r="AG163" s="5"/>
      <c r="AH163" s="5"/>
      <c r="AI163" s="5"/>
      <c r="AJ163" s="5"/>
      <c r="AK163" s="5"/>
      <c r="AL163" s="5"/>
      <c r="AM163" s="5"/>
      <c r="AN163" s="5"/>
    </row>
    <row r="164" spans="1:40" outlineLevel="1" x14ac:dyDescent="0.2">
      <c r="A164" s="171"/>
      <c r="B164" s="352">
        <v>1</v>
      </c>
      <c r="C164" s="352">
        <f t="shared" ref="C164:C183" si="93">IF(D139&lt;&gt;"",COUNTIF($E$139:$E$158,INDEX(NamesMS,D139)),0)</f>
        <v>0</v>
      </c>
      <c r="D164" s="352" t="str">
        <f t="shared" ref="D164:D183" si="94">IF(D139&lt;&gt;"",D139,"")</f>
        <v/>
      </c>
      <c r="E164" s="816" t="str">
        <f t="shared" ref="E164:E183" si="95">INDEX(NamesLinkNew,B164)</f>
        <v>** NOT USED **</v>
      </c>
      <c r="F164" s="817"/>
      <c r="G164" s="817"/>
      <c r="H164" s="817"/>
      <c r="I164" s="518"/>
      <c r="J164" s="518"/>
      <c r="K164" s="661" t="str">
        <f t="shared" ref="K164:K183" si="96">IF(AND(I164&lt;&gt;"",J164&lt;&gt;""),ROUND(J164/I164,2),IF(E164&lt;&gt;MsgNotUsed,1,""))</f>
        <v/>
      </c>
      <c r="L164" s="77"/>
      <c r="M164" s="69" t="str">
        <f t="shared" ref="M164:M183" si="97">IF(E164&lt;&gt;MsgNotUsed,IF(C164=1,INDEX(ScriptsOldSplit,D164),""),"")</f>
        <v/>
      </c>
      <c r="N164" s="77"/>
      <c r="O164" s="77"/>
      <c r="P164" s="77"/>
      <c r="Q164" s="77"/>
      <c r="R164" s="77"/>
      <c r="S164" s="77"/>
      <c r="T164" s="171"/>
      <c r="U164" s="171"/>
      <c r="V164" s="5"/>
      <c r="W164" s="5"/>
      <c r="X164" s="74">
        <f t="shared" ref="X164:X183" si="98">IF(AND(K164&lt;&gt;"",L164&lt;&gt;""),L164*K164,0)</f>
        <v>0</v>
      </c>
      <c r="Y164" s="5"/>
      <c r="Z164" s="5"/>
      <c r="AA164" s="5"/>
      <c r="AB164" s="5"/>
      <c r="AC164" s="5"/>
      <c r="AD164" s="5"/>
      <c r="AE164" s="5"/>
      <c r="AF164" s="5"/>
      <c r="AG164" s="5"/>
      <c r="AH164" s="5"/>
      <c r="AI164" s="5"/>
      <c r="AJ164" s="5"/>
      <c r="AK164" s="5"/>
      <c r="AL164" s="5"/>
      <c r="AM164" s="5"/>
      <c r="AN164" s="5"/>
    </row>
    <row r="165" spans="1:40" outlineLevel="1" x14ac:dyDescent="0.2">
      <c r="A165" s="171"/>
      <c r="B165" s="352">
        <v>2</v>
      </c>
      <c r="C165" s="352">
        <f t="shared" si="93"/>
        <v>0</v>
      </c>
      <c r="D165" s="352" t="str">
        <f t="shared" si="94"/>
        <v/>
      </c>
      <c r="E165" s="816" t="str">
        <f t="shared" si="95"/>
        <v>** NOT USED **</v>
      </c>
      <c r="F165" s="817"/>
      <c r="G165" s="817"/>
      <c r="H165" s="817"/>
      <c r="I165" s="236"/>
      <c r="J165" s="236"/>
      <c r="K165" s="661" t="str">
        <f t="shared" si="96"/>
        <v/>
      </c>
      <c r="L165" s="77"/>
      <c r="M165" s="69" t="str">
        <f t="shared" si="97"/>
        <v/>
      </c>
      <c r="N165" s="77"/>
      <c r="O165" s="77"/>
      <c r="P165" s="77"/>
      <c r="Q165" s="77"/>
      <c r="R165" s="77"/>
      <c r="S165" s="77"/>
      <c r="T165" s="171"/>
      <c r="U165" s="171"/>
      <c r="V165" s="5"/>
      <c r="W165" s="5"/>
      <c r="X165" s="74">
        <f t="shared" si="98"/>
        <v>0</v>
      </c>
      <c r="Y165" s="5"/>
      <c r="Z165" s="5"/>
      <c r="AA165" s="5"/>
      <c r="AB165" s="5"/>
      <c r="AC165" s="5"/>
      <c r="AD165" s="5"/>
      <c r="AE165" s="5"/>
      <c r="AF165" s="5"/>
      <c r="AG165" s="5"/>
      <c r="AH165" s="5"/>
      <c r="AI165" s="5"/>
      <c r="AJ165" s="5"/>
      <c r="AK165" s="5"/>
      <c r="AL165" s="5"/>
      <c r="AM165" s="5"/>
      <c r="AN165" s="5"/>
    </row>
    <row r="166" spans="1:40" outlineLevel="1" x14ac:dyDescent="0.2">
      <c r="A166" s="171"/>
      <c r="B166" s="352">
        <v>3</v>
      </c>
      <c r="C166" s="352">
        <f t="shared" si="93"/>
        <v>0</v>
      </c>
      <c r="D166" s="352" t="str">
        <f t="shared" si="94"/>
        <v/>
      </c>
      <c r="E166" s="816" t="str">
        <f t="shared" si="95"/>
        <v>** NOT USED **</v>
      </c>
      <c r="F166" s="817"/>
      <c r="G166" s="817"/>
      <c r="H166" s="817"/>
      <c r="I166" s="236"/>
      <c r="J166" s="236"/>
      <c r="K166" s="661" t="str">
        <f t="shared" si="96"/>
        <v/>
      </c>
      <c r="L166" s="77"/>
      <c r="M166" s="69" t="str">
        <f t="shared" si="97"/>
        <v/>
      </c>
      <c r="N166" s="77"/>
      <c r="O166" s="77"/>
      <c r="P166" s="77"/>
      <c r="Q166" s="77"/>
      <c r="R166" s="77"/>
      <c r="S166" s="77"/>
      <c r="T166" s="171"/>
      <c r="U166" s="171"/>
      <c r="V166" s="5"/>
      <c r="W166" s="5"/>
      <c r="X166" s="74">
        <f t="shared" si="98"/>
        <v>0</v>
      </c>
      <c r="Y166" s="5"/>
      <c r="Z166" s="5"/>
      <c r="AA166" s="5"/>
      <c r="AB166" s="5"/>
      <c r="AC166" s="5"/>
      <c r="AD166" s="5"/>
      <c r="AE166" s="5"/>
      <c r="AF166" s="5"/>
      <c r="AG166" s="5"/>
      <c r="AH166" s="5"/>
      <c r="AI166" s="5"/>
      <c r="AJ166" s="5"/>
      <c r="AK166" s="5"/>
      <c r="AL166" s="5"/>
      <c r="AM166" s="5"/>
      <c r="AN166" s="5"/>
    </row>
    <row r="167" spans="1:40" outlineLevel="1" x14ac:dyDescent="0.2">
      <c r="A167" s="171"/>
      <c r="B167" s="352">
        <v>4</v>
      </c>
      <c r="C167" s="352">
        <f t="shared" si="93"/>
        <v>0</v>
      </c>
      <c r="D167" s="352" t="str">
        <f t="shared" si="94"/>
        <v/>
      </c>
      <c r="E167" s="816" t="str">
        <f t="shared" si="95"/>
        <v>** NOT USED **</v>
      </c>
      <c r="F167" s="817"/>
      <c r="G167" s="817"/>
      <c r="H167" s="817"/>
      <c r="I167" s="236"/>
      <c r="J167" s="236"/>
      <c r="K167" s="661" t="str">
        <f t="shared" si="96"/>
        <v/>
      </c>
      <c r="L167" s="77"/>
      <c r="M167" s="69" t="str">
        <f t="shared" si="97"/>
        <v/>
      </c>
      <c r="N167" s="77"/>
      <c r="O167" s="77"/>
      <c r="P167" s="77"/>
      <c r="Q167" s="77"/>
      <c r="R167" s="77"/>
      <c r="S167" s="77"/>
      <c r="T167" s="171"/>
      <c r="U167" s="171"/>
      <c r="V167" s="5"/>
      <c r="W167" s="5"/>
      <c r="X167" s="74">
        <f t="shared" si="98"/>
        <v>0</v>
      </c>
      <c r="Y167" s="5"/>
      <c r="Z167" s="5"/>
      <c r="AA167" s="5"/>
      <c r="AB167" s="5"/>
      <c r="AC167" s="5"/>
      <c r="AD167" s="5"/>
      <c r="AE167" s="5"/>
      <c r="AF167" s="5"/>
      <c r="AG167" s="5"/>
      <c r="AH167" s="5"/>
      <c r="AI167" s="5"/>
      <c r="AJ167" s="5"/>
      <c r="AK167" s="5"/>
      <c r="AL167" s="5"/>
      <c r="AM167" s="5"/>
      <c r="AN167" s="5"/>
    </row>
    <row r="168" spans="1:40" outlineLevel="1" x14ac:dyDescent="0.2">
      <c r="A168" s="171"/>
      <c r="B168" s="352">
        <v>5</v>
      </c>
      <c r="C168" s="352">
        <f t="shared" si="93"/>
        <v>0</v>
      </c>
      <c r="D168" s="352" t="str">
        <f t="shared" si="94"/>
        <v/>
      </c>
      <c r="E168" s="816" t="str">
        <f t="shared" si="95"/>
        <v>** NOT USED **</v>
      </c>
      <c r="F168" s="817"/>
      <c r="G168" s="817"/>
      <c r="H168" s="817"/>
      <c r="I168" s="236"/>
      <c r="J168" s="236"/>
      <c r="K168" s="661" t="str">
        <f t="shared" si="96"/>
        <v/>
      </c>
      <c r="L168" s="77"/>
      <c r="M168" s="69" t="str">
        <f t="shared" si="97"/>
        <v/>
      </c>
      <c r="N168" s="77"/>
      <c r="O168" s="77"/>
      <c r="P168" s="77"/>
      <c r="Q168" s="77"/>
      <c r="R168" s="77"/>
      <c r="S168" s="77"/>
      <c r="T168" s="171"/>
      <c r="U168" s="171"/>
      <c r="V168" s="5"/>
      <c r="W168" s="5"/>
      <c r="X168" s="74">
        <f t="shared" si="98"/>
        <v>0</v>
      </c>
      <c r="Y168" s="5"/>
      <c r="Z168" s="5"/>
      <c r="AA168" s="5"/>
      <c r="AB168" s="5"/>
      <c r="AC168" s="5"/>
      <c r="AD168" s="5"/>
      <c r="AE168" s="5"/>
      <c r="AF168" s="5"/>
      <c r="AG168" s="5"/>
      <c r="AH168" s="5"/>
      <c r="AI168" s="5"/>
      <c r="AJ168" s="5"/>
      <c r="AK168" s="5"/>
      <c r="AL168" s="5"/>
      <c r="AM168" s="5"/>
      <c r="AN168" s="5"/>
    </row>
    <row r="169" spans="1:40" outlineLevel="1" x14ac:dyDescent="0.2">
      <c r="A169" s="171"/>
      <c r="B169" s="352">
        <v>6</v>
      </c>
      <c r="C169" s="352">
        <f t="shared" si="93"/>
        <v>0</v>
      </c>
      <c r="D169" s="352" t="str">
        <f t="shared" si="94"/>
        <v/>
      </c>
      <c r="E169" s="816" t="str">
        <f t="shared" si="95"/>
        <v>** NOT USED **</v>
      </c>
      <c r="F169" s="817"/>
      <c r="G169" s="817"/>
      <c r="H169" s="817"/>
      <c r="I169" s="236"/>
      <c r="J169" s="236"/>
      <c r="K169" s="661" t="str">
        <f t="shared" si="96"/>
        <v/>
      </c>
      <c r="L169" s="77"/>
      <c r="M169" s="69" t="str">
        <f t="shared" si="97"/>
        <v/>
      </c>
      <c r="N169" s="77"/>
      <c r="O169" s="77"/>
      <c r="P169" s="77"/>
      <c r="Q169" s="77"/>
      <c r="R169" s="77"/>
      <c r="S169" s="77"/>
      <c r="T169" s="171"/>
      <c r="U169" s="171"/>
      <c r="V169" s="5"/>
      <c r="W169" s="5"/>
      <c r="X169" s="74">
        <f t="shared" si="98"/>
        <v>0</v>
      </c>
      <c r="Y169" s="5"/>
      <c r="Z169" s="5"/>
      <c r="AA169" s="5"/>
      <c r="AB169" s="5"/>
      <c r="AC169" s="5"/>
      <c r="AD169" s="5"/>
      <c r="AE169" s="5"/>
      <c r="AF169" s="5"/>
      <c r="AG169" s="5"/>
      <c r="AH169" s="5"/>
      <c r="AI169" s="5"/>
      <c r="AJ169" s="5"/>
      <c r="AK169" s="5"/>
      <c r="AL169" s="5"/>
      <c r="AM169" s="5"/>
      <c r="AN169" s="5"/>
    </row>
    <row r="170" spans="1:40" outlineLevel="1" x14ac:dyDescent="0.2">
      <c r="A170" s="171"/>
      <c r="B170" s="352">
        <v>7</v>
      </c>
      <c r="C170" s="352">
        <f t="shared" si="93"/>
        <v>0</v>
      </c>
      <c r="D170" s="352" t="str">
        <f t="shared" si="94"/>
        <v/>
      </c>
      <c r="E170" s="816" t="str">
        <f t="shared" si="95"/>
        <v>** NOT USED **</v>
      </c>
      <c r="F170" s="817"/>
      <c r="G170" s="817"/>
      <c r="H170" s="817"/>
      <c r="I170" s="236"/>
      <c r="J170" s="236"/>
      <c r="K170" s="661" t="str">
        <f t="shared" si="96"/>
        <v/>
      </c>
      <c r="L170" s="77"/>
      <c r="M170" s="69" t="str">
        <f t="shared" si="97"/>
        <v/>
      </c>
      <c r="N170" s="77"/>
      <c r="O170" s="77"/>
      <c r="P170" s="77"/>
      <c r="Q170" s="77"/>
      <c r="R170" s="77"/>
      <c r="S170" s="77"/>
      <c r="T170" s="171"/>
      <c r="U170" s="171"/>
      <c r="V170" s="5"/>
      <c r="W170" s="5"/>
      <c r="X170" s="74">
        <f t="shared" si="98"/>
        <v>0</v>
      </c>
      <c r="Y170" s="5"/>
      <c r="Z170" s="5"/>
      <c r="AA170" s="5"/>
      <c r="AB170" s="5"/>
      <c r="AC170" s="5"/>
      <c r="AD170" s="5"/>
      <c r="AE170" s="5"/>
      <c r="AF170" s="5"/>
      <c r="AG170" s="5"/>
      <c r="AH170" s="5"/>
      <c r="AI170" s="5"/>
      <c r="AJ170" s="5"/>
      <c r="AK170" s="5"/>
      <c r="AL170" s="5"/>
      <c r="AM170" s="5"/>
      <c r="AN170" s="5"/>
    </row>
    <row r="171" spans="1:40" outlineLevel="1" x14ac:dyDescent="0.2">
      <c r="A171" s="171"/>
      <c r="B171" s="352">
        <v>8</v>
      </c>
      <c r="C171" s="352">
        <f t="shared" si="93"/>
        <v>0</v>
      </c>
      <c r="D171" s="352" t="str">
        <f t="shared" si="94"/>
        <v/>
      </c>
      <c r="E171" s="816" t="str">
        <f t="shared" si="95"/>
        <v>** NOT USED **</v>
      </c>
      <c r="F171" s="817"/>
      <c r="G171" s="817"/>
      <c r="H171" s="817"/>
      <c r="I171" s="236"/>
      <c r="J171" s="236"/>
      <c r="K171" s="661" t="str">
        <f t="shared" si="96"/>
        <v/>
      </c>
      <c r="L171" s="77"/>
      <c r="M171" s="69" t="str">
        <f t="shared" si="97"/>
        <v/>
      </c>
      <c r="N171" s="77"/>
      <c r="O171" s="77"/>
      <c r="P171" s="77"/>
      <c r="Q171" s="77"/>
      <c r="R171" s="77"/>
      <c r="S171" s="77"/>
      <c r="T171" s="171"/>
      <c r="U171" s="171"/>
      <c r="V171" s="5"/>
      <c r="W171" s="5"/>
      <c r="X171" s="74">
        <f t="shared" si="98"/>
        <v>0</v>
      </c>
      <c r="Y171" s="5"/>
      <c r="Z171" s="5"/>
      <c r="AA171" s="5"/>
      <c r="AB171" s="5"/>
      <c r="AC171" s="5"/>
      <c r="AD171" s="5"/>
      <c r="AE171" s="5"/>
      <c r="AF171" s="5"/>
      <c r="AG171" s="5"/>
      <c r="AH171" s="5"/>
      <c r="AI171" s="5"/>
      <c r="AJ171" s="5"/>
      <c r="AK171" s="5"/>
      <c r="AL171" s="5"/>
      <c r="AM171" s="5"/>
      <c r="AN171" s="5"/>
    </row>
    <row r="172" spans="1:40" outlineLevel="1" x14ac:dyDescent="0.2">
      <c r="A172" s="171"/>
      <c r="B172" s="352">
        <v>9</v>
      </c>
      <c r="C172" s="352">
        <f t="shared" si="93"/>
        <v>0</v>
      </c>
      <c r="D172" s="352" t="str">
        <f t="shared" si="94"/>
        <v/>
      </c>
      <c r="E172" s="816" t="str">
        <f t="shared" si="95"/>
        <v>** NOT USED **</v>
      </c>
      <c r="F172" s="817"/>
      <c r="G172" s="817"/>
      <c r="H172" s="817"/>
      <c r="I172" s="236"/>
      <c r="J172" s="236"/>
      <c r="K172" s="661" t="str">
        <f t="shared" si="96"/>
        <v/>
      </c>
      <c r="L172" s="77"/>
      <c r="M172" s="69" t="str">
        <f t="shared" si="97"/>
        <v/>
      </c>
      <c r="N172" s="77"/>
      <c r="O172" s="77"/>
      <c r="P172" s="77"/>
      <c r="Q172" s="77"/>
      <c r="R172" s="77"/>
      <c r="S172" s="77"/>
      <c r="T172" s="171"/>
      <c r="U172" s="171"/>
      <c r="V172" s="5"/>
      <c r="W172" s="5"/>
      <c r="X172" s="74">
        <f t="shared" si="98"/>
        <v>0</v>
      </c>
      <c r="Y172" s="5"/>
      <c r="Z172" s="5"/>
      <c r="AA172" s="5"/>
      <c r="AB172" s="5"/>
      <c r="AC172" s="5"/>
      <c r="AD172" s="5"/>
      <c r="AE172" s="5"/>
      <c r="AF172" s="5"/>
      <c r="AG172" s="5"/>
      <c r="AH172" s="5"/>
      <c r="AI172" s="5"/>
      <c r="AJ172" s="5"/>
      <c r="AK172" s="5"/>
      <c r="AL172" s="5"/>
      <c r="AM172" s="5"/>
      <c r="AN172" s="5"/>
    </row>
    <row r="173" spans="1:40" outlineLevel="1" x14ac:dyDescent="0.2">
      <c r="A173" s="171"/>
      <c r="B173" s="352">
        <v>10</v>
      </c>
      <c r="C173" s="352">
        <f t="shared" si="93"/>
        <v>0</v>
      </c>
      <c r="D173" s="352" t="str">
        <f t="shared" si="94"/>
        <v/>
      </c>
      <c r="E173" s="816" t="str">
        <f t="shared" si="95"/>
        <v>** NOT USED **</v>
      </c>
      <c r="F173" s="817"/>
      <c r="G173" s="817"/>
      <c r="H173" s="817"/>
      <c r="I173" s="236"/>
      <c r="J173" s="236"/>
      <c r="K173" s="661" t="str">
        <f t="shared" si="96"/>
        <v/>
      </c>
      <c r="L173" s="77"/>
      <c r="M173" s="69" t="str">
        <f t="shared" si="97"/>
        <v/>
      </c>
      <c r="N173" s="77"/>
      <c r="O173" s="77"/>
      <c r="P173" s="77"/>
      <c r="Q173" s="77"/>
      <c r="R173" s="77"/>
      <c r="S173" s="77"/>
      <c r="T173" s="171"/>
      <c r="U173" s="171"/>
      <c r="V173" s="5"/>
      <c r="W173" s="5"/>
      <c r="X173" s="74">
        <f t="shared" si="98"/>
        <v>0</v>
      </c>
      <c r="Y173" s="5"/>
      <c r="Z173" s="5"/>
      <c r="AA173" s="5"/>
      <c r="AB173" s="5"/>
      <c r="AC173" s="5"/>
      <c r="AD173" s="5"/>
      <c r="AE173" s="5"/>
      <c r="AF173" s="5"/>
      <c r="AG173" s="5"/>
      <c r="AH173" s="5"/>
      <c r="AI173" s="5"/>
      <c r="AJ173" s="5"/>
      <c r="AK173" s="5"/>
      <c r="AL173" s="5"/>
      <c r="AM173" s="5"/>
      <c r="AN173" s="5"/>
    </row>
    <row r="174" spans="1:40" outlineLevel="1" x14ac:dyDescent="0.2">
      <c r="A174" s="171"/>
      <c r="B174" s="352">
        <v>11</v>
      </c>
      <c r="C174" s="352">
        <f t="shared" si="93"/>
        <v>0</v>
      </c>
      <c r="D174" s="352" t="str">
        <f t="shared" si="94"/>
        <v/>
      </c>
      <c r="E174" s="816" t="str">
        <f t="shared" si="95"/>
        <v>** NOT USED **</v>
      </c>
      <c r="F174" s="817"/>
      <c r="G174" s="817"/>
      <c r="H174" s="817"/>
      <c r="I174" s="236"/>
      <c r="J174" s="236"/>
      <c r="K174" s="661" t="str">
        <f t="shared" si="96"/>
        <v/>
      </c>
      <c r="L174" s="77"/>
      <c r="M174" s="69" t="str">
        <f t="shared" si="97"/>
        <v/>
      </c>
      <c r="N174" s="77"/>
      <c r="O174" s="77"/>
      <c r="P174" s="77"/>
      <c r="Q174" s="77"/>
      <c r="R174" s="77"/>
      <c r="S174" s="77"/>
      <c r="T174" s="171"/>
      <c r="U174" s="171"/>
      <c r="V174" s="5"/>
      <c r="W174" s="5"/>
      <c r="X174" s="74">
        <f t="shared" si="98"/>
        <v>0</v>
      </c>
      <c r="Y174" s="5"/>
      <c r="Z174" s="5"/>
      <c r="AA174" s="5"/>
      <c r="AB174" s="5"/>
      <c r="AC174" s="5"/>
      <c r="AD174" s="5"/>
      <c r="AE174" s="5"/>
      <c r="AF174" s="5"/>
      <c r="AG174" s="5"/>
      <c r="AH174" s="5"/>
      <c r="AI174" s="5"/>
      <c r="AJ174" s="5"/>
      <c r="AK174" s="5"/>
      <c r="AL174" s="5"/>
      <c r="AM174" s="5"/>
      <c r="AN174" s="5"/>
    </row>
    <row r="175" spans="1:40" outlineLevel="1" x14ac:dyDescent="0.2">
      <c r="A175" s="171"/>
      <c r="B175" s="352">
        <v>12</v>
      </c>
      <c r="C175" s="352">
        <f t="shared" si="93"/>
        <v>0</v>
      </c>
      <c r="D175" s="352" t="str">
        <f t="shared" si="94"/>
        <v/>
      </c>
      <c r="E175" s="816" t="str">
        <f t="shared" si="95"/>
        <v>** NOT USED **</v>
      </c>
      <c r="F175" s="817"/>
      <c r="G175" s="817"/>
      <c r="H175" s="817"/>
      <c r="I175" s="236"/>
      <c r="J175" s="236"/>
      <c r="K175" s="661" t="str">
        <f t="shared" si="96"/>
        <v/>
      </c>
      <c r="L175" s="77"/>
      <c r="M175" s="69" t="str">
        <f t="shared" si="97"/>
        <v/>
      </c>
      <c r="N175" s="77"/>
      <c r="O175" s="77"/>
      <c r="P175" s="77"/>
      <c r="Q175" s="77"/>
      <c r="R175" s="77"/>
      <c r="S175" s="77"/>
      <c r="T175" s="171"/>
      <c r="U175" s="171"/>
      <c r="V175" s="5"/>
      <c r="W175" s="5"/>
      <c r="X175" s="74">
        <f t="shared" si="98"/>
        <v>0</v>
      </c>
      <c r="Y175" s="5"/>
      <c r="Z175" s="5"/>
      <c r="AA175" s="5"/>
      <c r="AB175" s="5"/>
      <c r="AC175" s="5"/>
      <c r="AD175" s="5"/>
      <c r="AE175" s="5"/>
      <c r="AF175" s="5"/>
      <c r="AG175" s="5"/>
      <c r="AH175" s="5"/>
      <c r="AI175" s="5"/>
      <c r="AJ175" s="5"/>
      <c r="AK175" s="5"/>
      <c r="AL175" s="5"/>
      <c r="AM175" s="5"/>
      <c r="AN175" s="5"/>
    </row>
    <row r="176" spans="1:40" outlineLevel="1" x14ac:dyDescent="0.2">
      <c r="A176" s="171"/>
      <c r="B176" s="352">
        <v>13</v>
      </c>
      <c r="C176" s="352">
        <f t="shared" si="93"/>
        <v>0</v>
      </c>
      <c r="D176" s="352" t="str">
        <f t="shared" si="94"/>
        <v/>
      </c>
      <c r="E176" s="816" t="str">
        <f t="shared" si="95"/>
        <v>** NOT USED **</v>
      </c>
      <c r="F176" s="817"/>
      <c r="G176" s="817"/>
      <c r="H176" s="817"/>
      <c r="I176" s="236"/>
      <c r="J176" s="236"/>
      <c r="K176" s="661" t="str">
        <f t="shared" si="96"/>
        <v/>
      </c>
      <c r="L176" s="77"/>
      <c r="M176" s="69" t="str">
        <f t="shared" si="97"/>
        <v/>
      </c>
      <c r="N176" s="77"/>
      <c r="O176" s="77"/>
      <c r="P176" s="77"/>
      <c r="Q176" s="77"/>
      <c r="R176" s="77"/>
      <c r="S176" s="77"/>
      <c r="T176" s="171"/>
      <c r="U176" s="171"/>
      <c r="V176" s="5"/>
      <c r="W176" s="5"/>
      <c r="X176" s="74">
        <f t="shared" si="98"/>
        <v>0</v>
      </c>
      <c r="Y176" s="5"/>
      <c r="Z176" s="5"/>
      <c r="AA176" s="5"/>
      <c r="AB176" s="5"/>
      <c r="AC176" s="5"/>
      <c r="AD176" s="5"/>
      <c r="AE176" s="5"/>
      <c r="AF176" s="5"/>
      <c r="AG176" s="5"/>
      <c r="AH176" s="5"/>
      <c r="AI176" s="5"/>
      <c r="AJ176" s="5"/>
      <c r="AK176" s="5"/>
      <c r="AL176" s="5"/>
      <c r="AM176" s="5"/>
      <c r="AN176" s="5"/>
    </row>
    <row r="177" spans="1:40" outlineLevel="1" x14ac:dyDescent="0.2">
      <c r="A177" s="171"/>
      <c r="B177" s="352">
        <v>14</v>
      </c>
      <c r="C177" s="352">
        <f t="shared" si="93"/>
        <v>0</v>
      </c>
      <c r="D177" s="352" t="str">
        <f t="shared" si="94"/>
        <v/>
      </c>
      <c r="E177" s="816" t="str">
        <f t="shared" si="95"/>
        <v>** NOT USED **</v>
      </c>
      <c r="F177" s="817"/>
      <c r="G177" s="817"/>
      <c r="H177" s="817"/>
      <c r="I177" s="236"/>
      <c r="J177" s="236"/>
      <c r="K177" s="661" t="str">
        <f t="shared" si="96"/>
        <v/>
      </c>
      <c r="L177" s="77"/>
      <c r="M177" s="69" t="str">
        <f t="shared" si="97"/>
        <v/>
      </c>
      <c r="N177" s="77"/>
      <c r="O177" s="77"/>
      <c r="P177" s="77"/>
      <c r="Q177" s="77"/>
      <c r="R177" s="77"/>
      <c r="S177" s="77"/>
      <c r="T177" s="171"/>
      <c r="U177" s="171"/>
      <c r="V177" s="5"/>
      <c r="W177" s="5"/>
      <c r="X177" s="74">
        <f t="shared" si="98"/>
        <v>0</v>
      </c>
      <c r="Y177" s="5"/>
      <c r="Z177" s="5"/>
      <c r="AA177" s="5"/>
      <c r="AB177" s="5"/>
      <c r="AC177" s="5"/>
      <c r="AD177" s="5"/>
      <c r="AE177" s="5"/>
      <c r="AF177" s="5"/>
      <c r="AG177" s="5"/>
      <c r="AH177" s="5"/>
      <c r="AI177" s="5"/>
      <c r="AJ177" s="5"/>
      <c r="AK177" s="5"/>
      <c r="AL177" s="5"/>
      <c r="AM177" s="5"/>
      <c r="AN177" s="5"/>
    </row>
    <row r="178" spans="1:40" outlineLevel="1" x14ac:dyDescent="0.2">
      <c r="A178" s="171"/>
      <c r="B178" s="352">
        <v>15</v>
      </c>
      <c r="C178" s="352">
        <f t="shared" si="93"/>
        <v>0</v>
      </c>
      <c r="D178" s="352" t="str">
        <f t="shared" si="94"/>
        <v/>
      </c>
      <c r="E178" s="816" t="str">
        <f t="shared" si="95"/>
        <v>** NOT USED **</v>
      </c>
      <c r="F178" s="817"/>
      <c r="G178" s="817"/>
      <c r="H178" s="817"/>
      <c r="I178" s="236"/>
      <c r="J178" s="236"/>
      <c r="K178" s="661" t="str">
        <f t="shared" si="96"/>
        <v/>
      </c>
      <c r="L178" s="77"/>
      <c r="M178" s="69" t="str">
        <f t="shared" si="97"/>
        <v/>
      </c>
      <c r="N178" s="77"/>
      <c r="O178" s="77"/>
      <c r="P178" s="77"/>
      <c r="Q178" s="77"/>
      <c r="R178" s="77"/>
      <c r="S178" s="77"/>
      <c r="T178" s="171"/>
      <c r="U178" s="171"/>
      <c r="V178" s="5"/>
      <c r="W178" s="5"/>
      <c r="X178" s="74">
        <f t="shared" si="98"/>
        <v>0</v>
      </c>
      <c r="Y178" s="5"/>
      <c r="Z178" s="5"/>
      <c r="AA178" s="5"/>
      <c r="AB178" s="5"/>
      <c r="AC178" s="5"/>
      <c r="AD178" s="5"/>
      <c r="AE178" s="5"/>
      <c r="AF178" s="5"/>
      <c r="AG178" s="5"/>
      <c r="AH178" s="5"/>
      <c r="AI178" s="5"/>
      <c r="AJ178" s="5"/>
      <c r="AK178" s="5"/>
      <c r="AL178" s="5"/>
      <c r="AM178" s="5"/>
      <c r="AN178" s="5"/>
    </row>
    <row r="179" spans="1:40" outlineLevel="1" x14ac:dyDescent="0.2">
      <c r="A179" s="171"/>
      <c r="B179" s="352">
        <v>16</v>
      </c>
      <c r="C179" s="352">
        <f t="shared" si="93"/>
        <v>0</v>
      </c>
      <c r="D179" s="352" t="str">
        <f t="shared" si="94"/>
        <v/>
      </c>
      <c r="E179" s="816" t="str">
        <f t="shared" si="95"/>
        <v>** NOT USED **</v>
      </c>
      <c r="F179" s="817"/>
      <c r="G179" s="817"/>
      <c r="H179" s="817"/>
      <c r="I179" s="236"/>
      <c r="J179" s="236"/>
      <c r="K179" s="661" t="str">
        <f t="shared" si="96"/>
        <v/>
      </c>
      <c r="L179" s="77"/>
      <c r="M179" s="69" t="str">
        <f t="shared" si="97"/>
        <v/>
      </c>
      <c r="N179" s="77"/>
      <c r="O179" s="77"/>
      <c r="P179" s="77"/>
      <c r="Q179" s="77"/>
      <c r="R179" s="77"/>
      <c r="S179" s="77"/>
      <c r="T179" s="171"/>
      <c r="U179" s="171"/>
      <c r="V179" s="5"/>
      <c r="W179" s="5"/>
      <c r="X179" s="74">
        <f t="shared" si="98"/>
        <v>0</v>
      </c>
      <c r="Y179" s="5"/>
      <c r="Z179" s="5"/>
      <c r="AA179" s="5"/>
      <c r="AB179" s="5"/>
      <c r="AC179" s="5"/>
      <c r="AD179" s="5"/>
      <c r="AE179" s="5"/>
      <c r="AF179" s="5"/>
      <c r="AG179" s="5"/>
      <c r="AH179" s="5"/>
      <c r="AI179" s="5"/>
      <c r="AJ179" s="5"/>
      <c r="AK179" s="5"/>
      <c r="AL179" s="5"/>
      <c r="AM179" s="5"/>
      <c r="AN179" s="5"/>
    </row>
    <row r="180" spans="1:40" outlineLevel="1" x14ac:dyDescent="0.2">
      <c r="A180" s="171"/>
      <c r="B180" s="352">
        <v>17</v>
      </c>
      <c r="C180" s="352">
        <f t="shared" si="93"/>
        <v>0</v>
      </c>
      <c r="D180" s="352" t="str">
        <f t="shared" si="94"/>
        <v/>
      </c>
      <c r="E180" s="816" t="str">
        <f t="shared" si="95"/>
        <v>** NOT USED **</v>
      </c>
      <c r="F180" s="817"/>
      <c r="G180" s="817"/>
      <c r="H180" s="817"/>
      <c r="I180" s="236"/>
      <c r="J180" s="236"/>
      <c r="K180" s="661" t="str">
        <f t="shared" si="96"/>
        <v/>
      </c>
      <c r="L180" s="77"/>
      <c r="M180" s="69" t="str">
        <f t="shared" si="97"/>
        <v/>
      </c>
      <c r="N180" s="77"/>
      <c r="O180" s="77"/>
      <c r="P180" s="77"/>
      <c r="Q180" s="77"/>
      <c r="R180" s="77"/>
      <c r="S180" s="77"/>
      <c r="T180" s="171"/>
      <c r="U180" s="171"/>
      <c r="V180" s="5"/>
      <c r="W180" s="5"/>
      <c r="X180" s="74">
        <f t="shared" si="98"/>
        <v>0</v>
      </c>
      <c r="Y180" s="5"/>
      <c r="Z180" s="5"/>
      <c r="AA180" s="5"/>
      <c r="AB180" s="5"/>
      <c r="AC180" s="5"/>
      <c r="AD180" s="5"/>
      <c r="AE180" s="5"/>
      <c r="AF180" s="5"/>
      <c r="AG180" s="5"/>
      <c r="AH180" s="5"/>
      <c r="AI180" s="5"/>
      <c r="AJ180" s="5"/>
      <c r="AK180" s="5"/>
      <c r="AL180" s="5"/>
      <c r="AM180" s="5"/>
      <c r="AN180" s="5"/>
    </row>
    <row r="181" spans="1:40" outlineLevel="1" x14ac:dyDescent="0.2">
      <c r="A181" s="171"/>
      <c r="B181" s="352">
        <v>18</v>
      </c>
      <c r="C181" s="352">
        <f t="shared" si="93"/>
        <v>0</v>
      </c>
      <c r="D181" s="352" t="str">
        <f t="shared" si="94"/>
        <v/>
      </c>
      <c r="E181" s="816" t="str">
        <f t="shared" si="95"/>
        <v>** NOT USED **</v>
      </c>
      <c r="F181" s="817"/>
      <c r="G181" s="817"/>
      <c r="H181" s="817"/>
      <c r="I181" s="236"/>
      <c r="J181" s="236"/>
      <c r="K181" s="661" t="str">
        <f t="shared" si="96"/>
        <v/>
      </c>
      <c r="L181" s="77"/>
      <c r="M181" s="69" t="str">
        <f t="shared" si="97"/>
        <v/>
      </c>
      <c r="N181" s="77"/>
      <c r="O181" s="77"/>
      <c r="P181" s="77"/>
      <c r="Q181" s="77"/>
      <c r="R181" s="77"/>
      <c r="S181" s="77"/>
      <c r="T181" s="171"/>
      <c r="U181" s="171"/>
      <c r="V181" s="5"/>
      <c r="W181" s="5"/>
      <c r="X181" s="74">
        <f t="shared" si="98"/>
        <v>0</v>
      </c>
      <c r="Y181" s="5"/>
      <c r="Z181" s="5"/>
      <c r="AA181" s="5"/>
      <c r="AB181" s="5"/>
      <c r="AC181" s="5"/>
      <c r="AD181" s="5"/>
      <c r="AE181" s="5"/>
      <c r="AF181" s="5"/>
      <c r="AG181" s="5"/>
      <c r="AH181" s="5"/>
      <c r="AI181" s="5"/>
      <c r="AJ181" s="5"/>
      <c r="AK181" s="5"/>
      <c r="AL181" s="5"/>
      <c r="AM181" s="5"/>
      <c r="AN181" s="5"/>
    </row>
    <row r="182" spans="1:40" outlineLevel="1" x14ac:dyDescent="0.2">
      <c r="A182" s="171"/>
      <c r="B182" s="352">
        <v>19</v>
      </c>
      <c r="C182" s="352">
        <f t="shared" si="93"/>
        <v>0</v>
      </c>
      <c r="D182" s="352" t="str">
        <f t="shared" si="94"/>
        <v/>
      </c>
      <c r="E182" s="816" t="str">
        <f t="shared" si="95"/>
        <v>** NOT USED **</v>
      </c>
      <c r="F182" s="817"/>
      <c r="G182" s="817"/>
      <c r="H182" s="817"/>
      <c r="I182" s="236"/>
      <c r="J182" s="236"/>
      <c r="K182" s="661" t="str">
        <f t="shared" si="96"/>
        <v/>
      </c>
      <c r="L182" s="77"/>
      <c r="M182" s="69" t="str">
        <f t="shared" si="97"/>
        <v/>
      </c>
      <c r="N182" s="77"/>
      <c r="O182" s="77"/>
      <c r="P182" s="77"/>
      <c r="Q182" s="77"/>
      <c r="R182" s="77"/>
      <c r="S182" s="77"/>
      <c r="T182" s="171"/>
      <c r="U182" s="171"/>
      <c r="V182" s="5"/>
      <c r="W182" s="5"/>
      <c r="X182" s="74">
        <f t="shared" si="98"/>
        <v>0</v>
      </c>
      <c r="Y182" s="5"/>
      <c r="Z182" s="5"/>
      <c r="AA182" s="5"/>
      <c r="AB182" s="5"/>
      <c r="AC182" s="5"/>
      <c r="AD182" s="5"/>
      <c r="AE182" s="5"/>
      <c r="AF182" s="5"/>
      <c r="AG182" s="5"/>
      <c r="AH182" s="5"/>
      <c r="AI182" s="5"/>
      <c r="AJ182" s="5"/>
      <c r="AK182" s="5"/>
      <c r="AL182" s="5"/>
      <c r="AM182" s="5"/>
      <c r="AN182" s="5"/>
    </row>
    <row r="183" spans="1:40" outlineLevel="1" x14ac:dyDescent="0.2">
      <c r="A183" s="171"/>
      <c r="B183" s="352">
        <v>20</v>
      </c>
      <c r="C183" s="352">
        <f t="shared" si="93"/>
        <v>0</v>
      </c>
      <c r="D183" s="352" t="str">
        <f t="shared" si="94"/>
        <v/>
      </c>
      <c r="E183" s="816" t="str">
        <f t="shared" si="95"/>
        <v>** NOT USED **</v>
      </c>
      <c r="F183" s="817"/>
      <c r="G183" s="817"/>
      <c r="H183" s="817"/>
      <c r="I183" s="236"/>
      <c r="J183" s="236"/>
      <c r="K183" s="661" t="str">
        <f t="shared" si="96"/>
        <v/>
      </c>
      <c r="L183" s="77"/>
      <c r="M183" s="69" t="str">
        <f t="shared" si="97"/>
        <v/>
      </c>
      <c r="N183" s="77"/>
      <c r="O183" s="77"/>
      <c r="P183" s="77"/>
      <c r="Q183" s="77"/>
      <c r="R183" s="77"/>
      <c r="S183" s="77"/>
      <c r="T183" s="171"/>
      <c r="U183" s="171"/>
      <c r="V183" s="5"/>
      <c r="W183" s="5"/>
      <c r="X183" s="74">
        <f t="shared" si="98"/>
        <v>0</v>
      </c>
      <c r="Y183" s="5"/>
      <c r="Z183" s="5"/>
      <c r="AA183" s="5"/>
      <c r="AB183" s="5"/>
      <c r="AC183" s="5"/>
      <c r="AD183" s="5"/>
      <c r="AE183" s="5"/>
      <c r="AF183" s="5"/>
      <c r="AG183" s="5"/>
      <c r="AH183" s="5"/>
      <c r="AI183" s="5"/>
      <c r="AJ183" s="5"/>
      <c r="AK183" s="5"/>
      <c r="AL183" s="5"/>
      <c r="AM183" s="5"/>
      <c r="AN183" s="5"/>
    </row>
    <row r="184" spans="1:40" ht="14.25" x14ac:dyDescent="0.2">
      <c r="A184" s="171"/>
      <c r="B184"/>
      <c r="C184" s="352">
        <f>COUNTIF(C164:C183,"&gt;1")</f>
        <v>0</v>
      </c>
      <c r="D184" s="171"/>
      <c r="E184" s="171"/>
      <c r="F184" s="171"/>
      <c r="G184" s="171"/>
      <c r="H184" s="171"/>
      <c r="I184" s="171"/>
      <c r="J184" s="171"/>
      <c r="K184" s="171"/>
      <c r="L184" s="171"/>
      <c r="M184" s="171"/>
      <c r="N184" s="237"/>
      <c r="O184" s="238"/>
      <c r="P184" s="171"/>
      <c r="Q184" s="171"/>
      <c r="R184" s="171"/>
      <c r="S184" s="171"/>
      <c r="T184" s="171"/>
      <c r="U184" s="171"/>
      <c r="V184" s="5"/>
      <c r="W184" s="5"/>
      <c r="X184" s="5"/>
      <c r="Y184" s="5"/>
      <c r="Z184" s="5"/>
      <c r="AA184" s="5"/>
      <c r="AB184" s="5"/>
      <c r="AC184" s="5"/>
      <c r="AD184" s="5"/>
      <c r="AE184" s="5"/>
      <c r="AF184" s="5"/>
      <c r="AG184" s="5"/>
      <c r="AH184" s="5"/>
      <c r="AI184" s="5"/>
      <c r="AJ184" s="5"/>
      <c r="AK184" s="5"/>
      <c r="AL184" s="5"/>
      <c r="AM184" s="5"/>
      <c r="AN184" s="5"/>
    </row>
    <row r="185" spans="1:40" hidden="1" x14ac:dyDescent="0.2">
      <c r="A185" s="171"/>
      <c r="B185" s="352">
        <v>22</v>
      </c>
      <c r="C185" s="592"/>
      <c r="D185" s="171"/>
      <c r="E185" s="171"/>
      <c r="F185" s="171"/>
      <c r="G185" s="171"/>
      <c r="H185" s="171"/>
      <c r="I185" s="171"/>
      <c r="J185" s="171"/>
      <c r="K185" s="171"/>
      <c r="L185" s="171"/>
      <c r="M185" s="171"/>
      <c r="N185" s="339">
        <f>FirstYear</f>
        <v>0</v>
      </c>
      <c r="O185" s="339">
        <f>N185+1</f>
        <v>1</v>
      </c>
      <c r="P185" s="339">
        <f>O185+1</f>
        <v>2</v>
      </c>
      <c r="Q185" s="339">
        <f>P185+1</f>
        <v>3</v>
      </c>
      <c r="R185" s="339">
        <f>Q185+1</f>
        <v>4</v>
      </c>
      <c r="S185" s="339">
        <f>R185+1</f>
        <v>5</v>
      </c>
      <c r="T185" s="171"/>
      <c r="U185" s="171"/>
      <c r="V185" s="5"/>
      <c r="W185" s="5"/>
      <c r="X185" s="5"/>
      <c r="Y185" s="5"/>
      <c r="Z185" s="5"/>
      <c r="AA185" s="5"/>
      <c r="AB185" s="5"/>
      <c r="AC185" s="5"/>
      <c r="AD185" s="5"/>
      <c r="AE185" s="5"/>
      <c r="AF185" s="5"/>
      <c r="AG185" s="5"/>
      <c r="AH185" s="5"/>
      <c r="AI185" s="5"/>
      <c r="AJ185" s="5"/>
      <c r="AK185" s="5"/>
      <c r="AL185" s="5"/>
      <c r="AM185" s="5"/>
      <c r="AN185" s="5"/>
    </row>
    <row r="186" spans="1:40" hidden="1" x14ac:dyDescent="0.2">
      <c r="A186" s="171"/>
      <c r="B186" s="352">
        <v>23</v>
      </c>
      <c r="C186" s="592"/>
      <c r="D186" s="171"/>
      <c r="E186" s="171"/>
      <c r="F186" s="171"/>
      <c r="G186" s="171"/>
      <c r="H186" s="171"/>
      <c r="I186" s="171"/>
      <c r="J186" s="171"/>
      <c r="K186" s="171"/>
      <c r="L186" s="171"/>
      <c r="M186" s="660">
        <v>1</v>
      </c>
      <c r="N186" s="69" t="str">
        <f t="shared" ref="N186:S195" si="99">IF($E164&lt;&gt;MsgNotUsed,IF(N164&lt;&gt;"",N164,INDEX(ScriptsOldSplit,$D164)),"")</f>
        <v/>
      </c>
      <c r="O186" s="69" t="str">
        <f t="shared" si="99"/>
        <v/>
      </c>
      <c r="P186" s="69" t="str">
        <f t="shared" si="99"/>
        <v/>
      </c>
      <c r="Q186" s="69" t="str">
        <f t="shared" si="99"/>
        <v/>
      </c>
      <c r="R186" s="69" t="str">
        <f t="shared" si="99"/>
        <v/>
      </c>
      <c r="S186" s="69" t="str">
        <f t="shared" si="99"/>
        <v/>
      </c>
      <c r="T186" s="171"/>
      <c r="U186" s="171"/>
      <c r="V186" s="5"/>
      <c r="W186" s="5"/>
      <c r="X186" s="5"/>
      <c r="Y186" s="5"/>
      <c r="Z186" s="5"/>
      <c r="AA186" s="5"/>
      <c r="AB186" s="5"/>
      <c r="AC186" s="5"/>
      <c r="AD186" s="5"/>
      <c r="AE186" s="5"/>
      <c r="AF186" s="5"/>
      <c r="AG186" s="5"/>
      <c r="AH186" s="5"/>
      <c r="AI186" s="5"/>
      <c r="AJ186" s="5"/>
      <c r="AK186" s="5"/>
      <c r="AL186" s="5"/>
      <c r="AM186" s="5"/>
      <c r="AN186" s="5"/>
    </row>
    <row r="187" spans="1:40" hidden="1" x14ac:dyDescent="0.2">
      <c r="A187" s="171"/>
      <c r="B187" s="352">
        <v>24</v>
      </c>
      <c r="C187" s="592"/>
      <c r="D187" s="171"/>
      <c r="E187" s="171"/>
      <c r="F187" s="171"/>
      <c r="G187" s="171"/>
      <c r="H187" s="171"/>
      <c r="I187" s="171"/>
      <c r="J187" s="171"/>
      <c r="K187" s="171"/>
      <c r="L187" s="171"/>
      <c r="M187" s="660">
        <v>2</v>
      </c>
      <c r="N187" s="69" t="str">
        <f t="shared" si="99"/>
        <v/>
      </c>
      <c r="O187" s="69" t="str">
        <f t="shared" si="99"/>
        <v/>
      </c>
      <c r="P187" s="69" t="str">
        <f t="shared" si="99"/>
        <v/>
      </c>
      <c r="Q187" s="69" t="str">
        <f t="shared" si="99"/>
        <v/>
      </c>
      <c r="R187" s="69" t="str">
        <f t="shared" si="99"/>
        <v/>
      </c>
      <c r="S187" s="69" t="str">
        <f t="shared" si="99"/>
        <v/>
      </c>
      <c r="T187" s="171"/>
      <c r="U187" s="171"/>
      <c r="V187" s="5"/>
      <c r="W187" s="5"/>
      <c r="X187" s="5"/>
      <c r="Y187" s="5"/>
      <c r="Z187" s="5"/>
      <c r="AA187" s="5"/>
      <c r="AB187" s="5"/>
      <c r="AC187" s="5"/>
      <c r="AD187" s="5"/>
      <c r="AE187" s="5"/>
      <c r="AF187" s="5"/>
      <c r="AG187" s="5"/>
      <c r="AH187" s="5"/>
      <c r="AI187" s="5"/>
      <c r="AJ187" s="5"/>
      <c r="AK187" s="5"/>
      <c r="AL187" s="5"/>
      <c r="AM187" s="5"/>
      <c r="AN187" s="5"/>
    </row>
    <row r="188" spans="1:40" hidden="1" x14ac:dyDescent="0.2">
      <c r="A188" s="171"/>
      <c r="B188" s="352">
        <v>25</v>
      </c>
      <c r="C188" s="592"/>
      <c r="D188" s="171"/>
      <c r="E188" s="171"/>
      <c r="F188" s="171"/>
      <c r="G188" s="171"/>
      <c r="H188" s="171"/>
      <c r="I188" s="171"/>
      <c r="J188" s="171"/>
      <c r="K188" s="171"/>
      <c r="L188" s="171"/>
      <c r="M188" s="660">
        <v>3</v>
      </c>
      <c r="N188" s="69" t="str">
        <f t="shared" si="99"/>
        <v/>
      </c>
      <c r="O188" s="69" t="str">
        <f t="shared" si="99"/>
        <v/>
      </c>
      <c r="P188" s="69" t="str">
        <f t="shared" si="99"/>
        <v/>
      </c>
      <c r="Q188" s="69" t="str">
        <f t="shared" si="99"/>
        <v/>
      </c>
      <c r="R188" s="69" t="str">
        <f t="shared" si="99"/>
        <v/>
      </c>
      <c r="S188" s="69" t="str">
        <f t="shared" si="99"/>
        <v/>
      </c>
      <c r="T188" s="171"/>
      <c r="U188" s="171"/>
      <c r="V188" s="5"/>
      <c r="W188" s="5"/>
      <c r="X188" s="5"/>
      <c r="Y188" s="5"/>
      <c r="Z188" s="5"/>
      <c r="AA188" s="5"/>
      <c r="AB188" s="5"/>
      <c r="AC188" s="5"/>
      <c r="AD188" s="5"/>
      <c r="AE188" s="5"/>
      <c r="AF188" s="5"/>
      <c r="AG188" s="5"/>
      <c r="AH188" s="5"/>
      <c r="AI188" s="5"/>
      <c r="AJ188" s="5"/>
      <c r="AK188" s="5"/>
      <c r="AL188" s="5"/>
      <c r="AM188" s="5"/>
      <c r="AN188" s="5"/>
    </row>
    <row r="189" spans="1:40" hidden="1" x14ac:dyDescent="0.2">
      <c r="A189" s="171"/>
      <c r="B189" s="352">
        <v>26</v>
      </c>
      <c r="C189" s="592"/>
      <c r="D189" s="171"/>
      <c r="E189" s="171"/>
      <c r="F189" s="171"/>
      <c r="G189" s="171"/>
      <c r="H189" s="171"/>
      <c r="I189" s="171"/>
      <c r="J189" s="171"/>
      <c r="K189" s="171"/>
      <c r="L189" s="171"/>
      <c r="M189" s="660">
        <v>4</v>
      </c>
      <c r="N189" s="69" t="str">
        <f t="shared" si="99"/>
        <v/>
      </c>
      <c r="O189" s="69" t="str">
        <f t="shared" si="99"/>
        <v/>
      </c>
      <c r="P189" s="69" t="str">
        <f t="shared" si="99"/>
        <v/>
      </c>
      <c r="Q189" s="69" t="str">
        <f t="shared" si="99"/>
        <v/>
      </c>
      <c r="R189" s="69" t="str">
        <f t="shared" si="99"/>
        <v/>
      </c>
      <c r="S189" s="69" t="str">
        <f t="shared" si="99"/>
        <v/>
      </c>
      <c r="T189" s="171"/>
      <c r="U189" s="171"/>
      <c r="V189" s="5"/>
      <c r="W189" s="5"/>
      <c r="X189" s="5"/>
      <c r="Y189" s="5"/>
      <c r="Z189" s="5"/>
      <c r="AA189" s="5"/>
      <c r="AB189" s="5"/>
      <c r="AC189" s="5"/>
      <c r="AD189" s="5"/>
      <c r="AE189" s="5"/>
      <c r="AF189" s="5"/>
      <c r="AG189" s="5"/>
      <c r="AH189" s="5"/>
      <c r="AI189" s="5"/>
      <c r="AJ189" s="5"/>
      <c r="AK189" s="5"/>
      <c r="AL189" s="5"/>
      <c r="AM189" s="5"/>
      <c r="AN189" s="5"/>
    </row>
    <row r="190" spans="1:40" hidden="1" x14ac:dyDescent="0.2">
      <c r="A190" s="171"/>
      <c r="B190" s="352">
        <v>27</v>
      </c>
      <c r="C190" s="592"/>
      <c r="D190" s="171"/>
      <c r="E190" s="171"/>
      <c r="F190" s="171"/>
      <c r="G190" s="171"/>
      <c r="H190" s="171"/>
      <c r="I190" s="171"/>
      <c r="J190" s="171"/>
      <c r="K190" s="171"/>
      <c r="L190" s="171"/>
      <c r="M190" s="660">
        <v>5</v>
      </c>
      <c r="N190" s="69" t="str">
        <f t="shared" si="99"/>
        <v/>
      </c>
      <c r="O190" s="69" t="str">
        <f t="shared" si="99"/>
        <v/>
      </c>
      <c r="P190" s="69" t="str">
        <f t="shared" si="99"/>
        <v/>
      </c>
      <c r="Q190" s="69" t="str">
        <f t="shared" si="99"/>
        <v/>
      </c>
      <c r="R190" s="69" t="str">
        <f t="shared" si="99"/>
        <v/>
      </c>
      <c r="S190" s="69" t="str">
        <f t="shared" si="99"/>
        <v/>
      </c>
      <c r="T190" s="171"/>
      <c r="U190" s="171"/>
      <c r="V190" s="5"/>
      <c r="W190" s="5"/>
      <c r="X190" s="5"/>
      <c r="Y190" s="5"/>
      <c r="Z190" s="5"/>
      <c r="AA190" s="5"/>
      <c r="AB190" s="5"/>
      <c r="AC190" s="5"/>
      <c r="AD190" s="5"/>
      <c r="AE190" s="5"/>
      <c r="AF190" s="5"/>
      <c r="AG190" s="5"/>
      <c r="AH190" s="5"/>
      <c r="AI190" s="5"/>
      <c r="AJ190" s="5"/>
      <c r="AK190" s="5"/>
      <c r="AL190" s="5"/>
      <c r="AM190" s="5"/>
      <c r="AN190" s="5"/>
    </row>
    <row r="191" spans="1:40" hidden="1" x14ac:dyDescent="0.2">
      <c r="A191" s="171"/>
      <c r="B191" s="352">
        <v>28</v>
      </c>
      <c r="C191" s="592"/>
      <c r="D191" s="171"/>
      <c r="E191" s="171"/>
      <c r="F191" s="171"/>
      <c r="G191" s="171"/>
      <c r="H191" s="171"/>
      <c r="I191" s="171"/>
      <c r="J191" s="171"/>
      <c r="K191" s="171"/>
      <c r="L191" s="171"/>
      <c r="M191" s="660">
        <v>6</v>
      </c>
      <c r="N191" s="69" t="str">
        <f t="shared" si="99"/>
        <v/>
      </c>
      <c r="O191" s="69" t="str">
        <f t="shared" si="99"/>
        <v/>
      </c>
      <c r="P191" s="69" t="str">
        <f t="shared" si="99"/>
        <v/>
      </c>
      <c r="Q191" s="69" t="str">
        <f t="shared" si="99"/>
        <v/>
      </c>
      <c r="R191" s="69" t="str">
        <f t="shared" si="99"/>
        <v/>
      </c>
      <c r="S191" s="69" t="str">
        <f t="shared" si="99"/>
        <v/>
      </c>
      <c r="T191" s="171"/>
      <c r="U191" s="171"/>
      <c r="V191" s="5"/>
      <c r="W191" s="5"/>
      <c r="X191" s="5"/>
      <c r="Y191" s="5"/>
      <c r="Z191" s="5"/>
      <c r="AA191" s="5"/>
      <c r="AB191" s="5"/>
      <c r="AC191" s="5"/>
      <c r="AD191" s="5"/>
      <c r="AE191" s="5"/>
      <c r="AF191" s="5"/>
      <c r="AG191" s="5"/>
      <c r="AH191" s="5"/>
      <c r="AI191" s="5"/>
      <c r="AJ191" s="5"/>
      <c r="AK191" s="5"/>
      <c r="AL191" s="5"/>
      <c r="AM191" s="5"/>
      <c r="AN191" s="5"/>
    </row>
    <row r="192" spans="1:40" hidden="1" x14ac:dyDescent="0.2">
      <c r="A192" s="171"/>
      <c r="B192" s="352">
        <v>29</v>
      </c>
      <c r="C192" s="592"/>
      <c r="D192" s="171"/>
      <c r="E192" s="171"/>
      <c r="F192" s="171"/>
      <c r="G192" s="171"/>
      <c r="H192" s="171"/>
      <c r="I192" s="171"/>
      <c r="J192" s="171"/>
      <c r="K192" s="171"/>
      <c r="L192" s="171"/>
      <c r="M192" s="660">
        <v>7</v>
      </c>
      <c r="N192" s="69" t="str">
        <f t="shared" si="99"/>
        <v/>
      </c>
      <c r="O192" s="69" t="str">
        <f t="shared" si="99"/>
        <v/>
      </c>
      <c r="P192" s="69" t="str">
        <f t="shared" si="99"/>
        <v/>
      </c>
      <c r="Q192" s="69" t="str">
        <f t="shared" si="99"/>
        <v/>
      </c>
      <c r="R192" s="69" t="str">
        <f t="shared" si="99"/>
        <v/>
      </c>
      <c r="S192" s="69" t="str">
        <f t="shared" si="99"/>
        <v/>
      </c>
      <c r="T192" s="171"/>
      <c r="U192" s="171"/>
      <c r="V192" s="5"/>
      <c r="W192" s="5"/>
      <c r="X192" s="5"/>
      <c r="Y192" s="5"/>
      <c r="Z192" s="5"/>
      <c r="AA192" s="5"/>
      <c r="AB192" s="5"/>
      <c r="AC192" s="5"/>
      <c r="AD192" s="5"/>
      <c r="AE192" s="5"/>
      <c r="AF192" s="5"/>
      <c r="AG192" s="5"/>
      <c r="AH192" s="5"/>
      <c r="AI192" s="5"/>
      <c r="AJ192" s="5"/>
      <c r="AK192" s="5"/>
      <c r="AL192" s="5"/>
      <c r="AM192" s="5"/>
      <c r="AN192" s="5"/>
    </row>
    <row r="193" spans="1:40" hidden="1" x14ac:dyDescent="0.2">
      <c r="A193" s="171"/>
      <c r="B193" s="352">
        <v>30</v>
      </c>
      <c r="C193" s="592"/>
      <c r="D193" s="171"/>
      <c r="E193" s="171"/>
      <c r="F193" s="171"/>
      <c r="G193" s="171"/>
      <c r="H193" s="171"/>
      <c r="I193" s="171"/>
      <c r="J193" s="171"/>
      <c r="K193" s="171"/>
      <c r="L193" s="171"/>
      <c r="M193" s="660">
        <v>8</v>
      </c>
      <c r="N193" s="69" t="str">
        <f t="shared" si="99"/>
        <v/>
      </c>
      <c r="O193" s="69" t="str">
        <f t="shared" si="99"/>
        <v/>
      </c>
      <c r="P193" s="69" t="str">
        <f t="shared" si="99"/>
        <v/>
      </c>
      <c r="Q193" s="69" t="str">
        <f t="shared" si="99"/>
        <v/>
      </c>
      <c r="R193" s="69" t="str">
        <f t="shared" si="99"/>
        <v/>
      </c>
      <c r="S193" s="69" t="str">
        <f t="shared" si="99"/>
        <v/>
      </c>
      <c r="T193" s="171"/>
      <c r="U193" s="171"/>
      <c r="V193" s="5"/>
      <c r="W193" s="5"/>
      <c r="X193" s="5"/>
      <c r="Y193" s="5"/>
      <c r="Z193" s="5"/>
      <c r="AA193" s="5"/>
      <c r="AB193" s="5"/>
      <c r="AC193" s="5"/>
      <c r="AD193" s="5"/>
      <c r="AE193" s="5"/>
      <c r="AF193" s="5"/>
      <c r="AG193" s="5"/>
      <c r="AH193" s="5"/>
      <c r="AI193" s="5"/>
      <c r="AJ193" s="5"/>
      <c r="AK193" s="5"/>
      <c r="AL193" s="5"/>
      <c r="AM193" s="5"/>
      <c r="AN193" s="5"/>
    </row>
    <row r="194" spans="1:40" hidden="1" x14ac:dyDescent="0.2">
      <c r="A194" s="171"/>
      <c r="B194" s="352">
        <v>31</v>
      </c>
      <c r="C194" s="592"/>
      <c r="D194" s="171"/>
      <c r="E194" s="171"/>
      <c r="F194" s="171"/>
      <c r="G194" s="171"/>
      <c r="H194" s="171"/>
      <c r="I194" s="171"/>
      <c r="J194" s="171"/>
      <c r="K194" s="171"/>
      <c r="L194" s="171"/>
      <c r="M194" s="660">
        <v>9</v>
      </c>
      <c r="N194" s="69" t="str">
        <f t="shared" si="99"/>
        <v/>
      </c>
      <c r="O194" s="69" t="str">
        <f t="shared" si="99"/>
        <v/>
      </c>
      <c r="P194" s="69" t="str">
        <f t="shared" si="99"/>
        <v/>
      </c>
      <c r="Q194" s="69" t="str">
        <f t="shared" si="99"/>
        <v/>
      </c>
      <c r="R194" s="69" t="str">
        <f t="shared" si="99"/>
        <v/>
      </c>
      <c r="S194" s="69" t="str">
        <f t="shared" si="99"/>
        <v/>
      </c>
      <c r="T194" s="171"/>
      <c r="U194" s="171"/>
      <c r="V194" s="5"/>
      <c r="W194" s="5"/>
      <c r="X194" s="5"/>
      <c r="Y194" s="5"/>
      <c r="Z194" s="5"/>
      <c r="AA194" s="5"/>
      <c r="AB194" s="5"/>
      <c r="AC194" s="5"/>
      <c r="AD194" s="5"/>
      <c r="AE194" s="5"/>
      <c r="AF194" s="5"/>
      <c r="AG194" s="5"/>
      <c r="AH194" s="5"/>
      <c r="AI194" s="5"/>
      <c r="AJ194" s="5"/>
      <c r="AK194" s="5"/>
      <c r="AL194" s="5"/>
      <c r="AM194" s="5"/>
      <c r="AN194" s="5"/>
    </row>
    <row r="195" spans="1:40" hidden="1" x14ac:dyDescent="0.2">
      <c r="A195" s="171"/>
      <c r="B195" s="352">
        <v>32</v>
      </c>
      <c r="C195" s="592"/>
      <c r="D195" s="171"/>
      <c r="E195" s="171"/>
      <c r="F195" s="171"/>
      <c r="G195" s="171"/>
      <c r="H195" s="171"/>
      <c r="I195" s="171"/>
      <c r="J195" s="171"/>
      <c r="K195" s="171"/>
      <c r="L195" s="171"/>
      <c r="M195" s="660">
        <v>10</v>
      </c>
      <c r="N195" s="69" t="str">
        <f t="shared" si="99"/>
        <v/>
      </c>
      <c r="O195" s="69" t="str">
        <f t="shared" si="99"/>
        <v/>
      </c>
      <c r="P195" s="69" t="str">
        <f t="shared" si="99"/>
        <v/>
      </c>
      <c r="Q195" s="69" t="str">
        <f t="shared" si="99"/>
        <v/>
      </c>
      <c r="R195" s="69" t="str">
        <f t="shared" si="99"/>
        <v/>
      </c>
      <c r="S195" s="69" t="str">
        <f t="shared" si="99"/>
        <v/>
      </c>
      <c r="T195" s="171"/>
      <c r="U195" s="171"/>
      <c r="V195" s="5"/>
      <c r="W195" s="5"/>
      <c r="X195" s="5"/>
      <c r="Y195" s="5"/>
      <c r="Z195" s="5"/>
      <c r="AA195" s="5"/>
      <c r="AB195" s="5"/>
      <c r="AC195" s="5"/>
      <c r="AD195" s="5"/>
      <c r="AE195" s="5"/>
      <c r="AF195" s="5"/>
      <c r="AG195" s="5"/>
      <c r="AH195" s="5"/>
      <c r="AI195" s="5"/>
      <c r="AJ195" s="5"/>
      <c r="AK195" s="5"/>
      <c r="AL195" s="5"/>
      <c r="AM195" s="5"/>
      <c r="AN195" s="5"/>
    </row>
    <row r="196" spans="1:40" hidden="1" x14ac:dyDescent="0.2">
      <c r="A196" s="171"/>
      <c r="B196" s="352">
        <v>33</v>
      </c>
      <c r="C196" s="592"/>
      <c r="D196" s="171"/>
      <c r="E196" s="171"/>
      <c r="F196" s="171"/>
      <c r="G196" s="171"/>
      <c r="H196" s="171"/>
      <c r="I196" s="171"/>
      <c r="J196" s="171"/>
      <c r="K196" s="171"/>
      <c r="L196" s="171"/>
      <c r="M196" s="660">
        <v>11</v>
      </c>
      <c r="N196" s="69" t="str">
        <f t="shared" ref="N196:S205" si="100">IF($E174&lt;&gt;MsgNotUsed,IF(N174&lt;&gt;"",N174,INDEX(ScriptsOldSplit,$D174)),"")</f>
        <v/>
      </c>
      <c r="O196" s="69" t="str">
        <f t="shared" si="100"/>
        <v/>
      </c>
      <c r="P196" s="69" t="str">
        <f t="shared" si="100"/>
        <v/>
      </c>
      <c r="Q196" s="69" t="str">
        <f t="shared" si="100"/>
        <v/>
      </c>
      <c r="R196" s="69" t="str">
        <f t="shared" si="100"/>
        <v/>
      </c>
      <c r="S196" s="69" t="str">
        <f t="shared" si="100"/>
        <v/>
      </c>
      <c r="T196" s="171"/>
      <c r="U196" s="171"/>
      <c r="V196" s="1"/>
      <c r="W196" s="5"/>
      <c r="X196" s="5"/>
      <c r="Y196" s="5"/>
      <c r="Z196" s="5"/>
      <c r="AA196" s="5"/>
      <c r="AB196" s="5"/>
      <c r="AC196" s="5"/>
      <c r="AD196" s="5"/>
      <c r="AE196" s="5"/>
      <c r="AF196" s="5"/>
      <c r="AG196" s="5"/>
      <c r="AH196" s="5"/>
      <c r="AI196" s="5"/>
      <c r="AJ196" s="5"/>
      <c r="AK196" s="5"/>
      <c r="AL196" s="5"/>
      <c r="AM196" s="5"/>
      <c r="AN196" s="5"/>
    </row>
    <row r="197" spans="1:40" hidden="1" x14ac:dyDescent="0.2">
      <c r="A197" s="171"/>
      <c r="B197" s="352">
        <v>34</v>
      </c>
      <c r="C197" s="592"/>
      <c r="D197" s="171"/>
      <c r="E197" s="171"/>
      <c r="F197" s="171"/>
      <c r="G197" s="171"/>
      <c r="H197" s="171"/>
      <c r="I197" s="171"/>
      <c r="J197" s="171"/>
      <c r="K197" s="171"/>
      <c r="L197" s="171"/>
      <c r="M197" s="660">
        <v>12</v>
      </c>
      <c r="N197" s="69" t="str">
        <f t="shared" si="100"/>
        <v/>
      </c>
      <c r="O197" s="69" t="str">
        <f t="shared" si="100"/>
        <v/>
      </c>
      <c r="P197" s="69" t="str">
        <f t="shared" si="100"/>
        <v/>
      </c>
      <c r="Q197" s="69" t="str">
        <f t="shared" si="100"/>
        <v/>
      </c>
      <c r="R197" s="69" t="str">
        <f t="shared" si="100"/>
        <v/>
      </c>
      <c r="S197" s="69" t="str">
        <f t="shared" si="100"/>
        <v/>
      </c>
      <c r="T197" s="171"/>
      <c r="U197" s="171"/>
      <c r="V197" s="4"/>
      <c r="W197" s="5"/>
      <c r="X197" s="5"/>
      <c r="Y197" s="5"/>
      <c r="Z197" s="5"/>
      <c r="AA197" s="5"/>
      <c r="AB197" s="5"/>
      <c r="AC197" s="5"/>
      <c r="AD197" s="5"/>
      <c r="AE197" s="5"/>
      <c r="AF197" s="5"/>
      <c r="AG197" s="5"/>
      <c r="AH197" s="5"/>
      <c r="AI197" s="5"/>
      <c r="AJ197" s="5"/>
      <c r="AK197" s="5"/>
      <c r="AL197" s="5"/>
      <c r="AM197" s="5"/>
      <c r="AN197" s="5"/>
    </row>
    <row r="198" spans="1:40" hidden="1" x14ac:dyDescent="0.2">
      <c r="A198" s="171"/>
      <c r="B198" s="352">
        <v>35</v>
      </c>
      <c r="C198" s="592"/>
      <c r="D198" s="171"/>
      <c r="E198" s="171"/>
      <c r="F198" s="171"/>
      <c r="G198" s="171"/>
      <c r="H198" s="171"/>
      <c r="I198" s="171"/>
      <c r="J198" s="171"/>
      <c r="K198" s="171"/>
      <c r="L198" s="171"/>
      <c r="M198" s="660">
        <v>13</v>
      </c>
      <c r="N198" s="69" t="str">
        <f t="shared" si="100"/>
        <v/>
      </c>
      <c r="O198" s="69" t="str">
        <f t="shared" si="100"/>
        <v/>
      </c>
      <c r="P198" s="69" t="str">
        <f t="shared" si="100"/>
        <v/>
      </c>
      <c r="Q198" s="69" t="str">
        <f t="shared" si="100"/>
        <v/>
      </c>
      <c r="R198" s="69" t="str">
        <f t="shared" si="100"/>
        <v/>
      </c>
      <c r="S198" s="69" t="str">
        <f t="shared" si="100"/>
        <v/>
      </c>
      <c r="T198" s="171"/>
      <c r="U198" s="171"/>
      <c r="V198" s="4"/>
      <c r="W198" s="5"/>
      <c r="X198" s="5"/>
      <c r="Y198" s="5"/>
      <c r="Z198" s="5"/>
      <c r="AA198" s="5"/>
      <c r="AB198" s="5"/>
      <c r="AC198" s="5"/>
      <c r="AD198" s="5"/>
      <c r="AE198" s="5"/>
      <c r="AF198" s="5"/>
      <c r="AG198" s="5"/>
      <c r="AH198" s="5"/>
      <c r="AI198" s="5"/>
      <c r="AJ198" s="5"/>
      <c r="AK198" s="5"/>
      <c r="AL198" s="5"/>
      <c r="AM198" s="5"/>
      <c r="AN198" s="5"/>
    </row>
    <row r="199" spans="1:40" hidden="1" x14ac:dyDescent="0.2">
      <c r="A199" s="171"/>
      <c r="B199" s="352">
        <v>36</v>
      </c>
      <c r="C199" s="592"/>
      <c r="D199" s="171"/>
      <c r="E199" s="171"/>
      <c r="F199" s="171"/>
      <c r="G199" s="171"/>
      <c r="H199" s="171"/>
      <c r="I199" s="171"/>
      <c r="J199" s="171"/>
      <c r="K199" s="171"/>
      <c r="L199" s="171"/>
      <c r="M199" s="660">
        <v>14</v>
      </c>
      <c r="N199" s="69" t="str">
        <f t="shared" si="100"/>
        <v/>
      </c>
      <c r="O199" s="69" t="str">
        <f t="shared" si="100"/>
        <v/>
      </c>
      <c r="P199" s="69" t="str">
        <f t="shared" si="100"/>
        <v/>
      </c>
      <c r="Q199" s="69" t="str">
        <f t="shared" si="100"/>
        <v/>
      </c>
      <c r="R199" s="69" t="str">
        <f t="shared" si="100"/>
        <v/>
      </c>
      <c r="S199" s="69" t="str">
        <f t="shared" si="100"/>
        <v/>
      </c>
      <c r="T199" s="171"/>
      <c r="U199" s="171"/>
      <c r="V199" s="4"/>
      <c r="W199" s="5"/>
      <c r="X199" s="5"/>
      <c r="Y199" s="5"/>
      <c r="Z199" s="5"/>
      <c r="AA199" s="5"/>
      <c r="AB199" s="5"/>
      <c r="AC199" s="5"/>
      <c r="AD199" s="5"/>
      <c r="AE199" s="5"/>
      <c r="AF199" s="5"/>
      <c r="AG199" s="5"/>
      <c r="AH199" s="5"/>
      <c r="AI199" s="5"/>
      <c r="AJ199" s="5"/>
      <c r="AK199" s="5"/>
      <c r="AL199" s="5"/>
      <c r="AM199" s="5"/>
      <c r="AN199" s="5"/>
    </row>
    <row r="200" spans="1:40" hidden="1" x14ac:dyDescent="0.2">
      <c r="A200" s="171"/>
      <c r="B200" s="352">
        <v>37</v>
      </c>
      <c r="C200" s="592"/>
      <c r="D200" s="171"/>
      <c r="E200" s="171"/>
      <c r="F200" s="171"/>
      <c r="G200" s="171"/>
      <c r="H200" s="171"/>
      <c r="I200" s="171"/>
      <c r="J200" s="171"/>
      <c r="K200" s="171"/>
      <c r="L200" s="171"/>
      <c r="M200" s="660">
        <v>15</v>
      </c>
      <c r="N200" s="69" t="str">
        <f t="shared" si="100"/>
        <v/>
      </c>
      <c r="O200" s="69" t="str">
        <f t="shared" si="100"/>
        <v/>
      </c>
      <c r="P200" s="69" t="str">
        <f t="shared" si="100"/>
        <v/>
      </c>
      <c r="Q200" s="69" t="str">
        <f t="shared" si="100"/>
        <v/>
      </c>
      <c r="R200" s="69" t="str">
        <f t="shared" si="100"/>
        <v/>
      </c>
      <c r="S200" s="69" t="str">
        <f t="shared" si="100"/>
        <v/>
      </c>
      <c r="T200" s="171"/>
      <c r="U200" s="171"/>
      <c r="V200" s="4"/>
      <c r="W200" s="5"/>
      <c r="X200" s="5"/>
      <c r="Y200" s="5"/>
      <c r="Z200" s="5"/>
      <c r="AA200" s="5"/>
      <c r="AB200" s="5"/>
      <c r="AC200" s="5"/>
      <c r="AD200" s="5"/>
      <c r="AE200" s="5"/>
      <c r="AF200" s="5"/>
      <c r="AG200" s="5"/>
      <c r="AH200" s="5"/>
      <c r="AI200" s="5"/>
      <c r="AJ200" s="5"/>
      <c r="AK200" s="5"/>
      <c r="AL200" s="5"/>
      <c r="AM200" s="5"/>
      <c r="AN200" s="5"/>
    </row>
    <row r="201" spans="1:40" hidden="1" x14ac:dyDescent="0.2">
      <c r="A201" s="171"/>
      <c r="B201" s="352">
        <v>38</v>
      </c>
      <c r="C201" s="592"/>
      <c r="D201" s="171"/>
      <c r="E201" s="171"/>
      <c r="F201" s="171"/>
      <c r="G201" s="171"/>
      <c r="H201" s="171"/>
      <c r="I201" s="171"/>
      <c r="J201" s="171"/>
      <c r="K201" s="171"/>
      <c r="L201" s="171"/>
      <c r="M201" s="660">
        <v>16</v>
      </c>
      <c r="N201" s="69" t="str">
        <f t="shared" si="100"/>
        <v/>
      </c>
      <c r="O201" s="69" t="str">
        <f t="shared" si="100"/>
        <v/>
      </c>
      <c r="P201" s="69" t="str">
        <f t="shared" si="100"/>
        <v/>
      </c>
      <c r="Q201" s="69" t="str">
        <f t="shared" si="100"/>
        <v/>
      </c>
      <c r="R201" s="69" t="str">
        <f t="shared" si="100"/>
        <v/>
      </c>
      <c r="S201" s="69" t="str">
        <f t="shared" si="100"/>
        <v/>
      </c>
      <c r="T201" s="171"/>
      <c r="U201" s="171"/>
      <c r="V201" s="4"/>
      <c r="W201" s="5"/>
      <c r="X201" s="5"/>
      <c r="Y201" s="5"/>
      <c r="Z201" s="5"/>
      <c r="AA201" s="5"/>
      <c r="AB201" s="5"/>
      <c r="AC201" s="5"/>
      <c r="AD201" s="5"/>
      <c r="AE201" s="5"/>
      <c r="AF201" s="5"/>
      <c r="AG201" s="5"/>
      <c r="AH201" s="5"/>
      <c r="AI201" s="5"/>
      <c r="AJ201" s="5"/>
      <c r="AK201" s="5"/>
      <c r="AL201" s="5"/>
      <c r="AM201" s="5"/>
      <c r="AN201" s="5"/>
    </row>
    <row r="202" spans="1:40" hidden="1" x14ac:dyDescent="0.2">
      <c r="A202" s="171"/>
      <c r="B202" s="352">
        <v>39</v>
      </c>
      <c r="C202" s="592"/>
      <c r="D202" s="171"/>
      <c r="E202" s="171"/>
      <c r="F202" s="171"/>
      <c r="G202" s="171"/>
      <c r="H202" s="171"/>
      <c r="I202" s="171"/>
      <c r="J202" s="171"/>
      <c r="K202" s="171"/>
      <c r="L202" s="171"/>
      <c r="M202" s="660">
        <v>17</v>
      </c>
      <c r="N202" s="69" t="str">
        <f t="shared" si="100"/>
        <v/>
      </c>
      <c r="O202" s="69" t="str">
        <f t="shared" si="100"/>
        <v/>
      </c>
      <c r="P202" s="69" t="str">
        <f t="shared" si="100"/>
        <v/>
      </c>
      <c r="Q202" s="69" t="str">
        <f t="shared" si="100"/>
        <v/>
      </c>
      <c r="R202" s="69" t="str">
        <f t="shared" si="100"/>
        <v/>
      </c>
      <c r="S202" s="69" t="str">
        <f t="shared" si="100"/>
        <v/>
      </c>
      <c r="T202" s="171"/>
      <c r="U202" s="171"/>
      <c r="V202" s="4"/>
      <c r="W202" s="5"/>
      <c r="X202" s="5"/>
      <c r="Y202" s="5"/>
      <c r="Z202" s="5"/>
      <c r="AA202" s="5"/>
      <c r="AB202" s="5"/>
      <c r="AC202" s="5"/>
      <c r="AD202" s="5"/>
      <c r="AE202" s="5"/>
      <c r="AF202" s="5"/>
      <c r="AG202" s="5"/>
      <c r="AH202" s="5"/>
      <c r="AI202" s="5"/>
      <c r="AJ202" s="5"/>
      <c r="AK202" s="5"/>
      <c r="AL202" s="5"/>
      <c r="AM202" s="5"/>
      <c r="AN202" s="5"/>
    </row>
    <row r="203" spans="1:40" hidden="1" x14ac:dyDescent="0.2">
      <c r="A203" s="171"/>
      <c r="B203" s="352">
        <v>40</v>
      </c>
      <c r="C203" s="592"/>
      <c r="D203" s="171"/>
      <c r="E203" s="171"/>
      <c r="F203" s="171"/>
      <c r="G203" s="171"/>
      <c r="H203" s="171"/>
      <c r="I203" s="171"/>
      <c r="J203" s="171"/>
      <c r="K203" s="171"/>
      <c r="L203" s="171"/>
      <c r="M203" s="660">
        <v>18</v>
      </c>
      <c r="N203" s="69" t="str">
        <f t="shared" si="100"/>
        <v/>
      </c>
      <c r="O203" s="69" t="str">
        <f t="shared" si="100"/>
        <v/>
      </c>
      <c r="P203" s="69" t="str">
        <f t="shared" si="100"/>
        <v/>
      </c>
      <c r="Q203" s="69" t="str">
        <f t="shared" si="100"/>
        <v/>
      </c>
      <c r="R203" s="69" t="str">
        <f t="shared" si="100"/>
        <v/>
      </c>
      <c r="S203" s="69" t="str">
        <f t="shared" si="100"/>
        <v/>
      </c>
      <c r="T203" s="171"/>
      <c r="U203" s="171"/>
      <c r="V203" s="4"/>
      <c r="W203" s="5"/>
      <c r="X203" s="5"/>
      <c r="Y203" s="5"/>
      <c r="Z203" s="5"/>
      <c r="AA203" s="5"/>
      <c r="AB203" s="5"/>
      <c r="AC203" s="5"/>
      <c r="AD203" s="5"/>
      <c r="AE203" s="5"/>
      <c r="AF203" s="5"/>
      <c r="AG203" s="5"/>
      <c r="AH203" s="5"/>
      <c r="AI203" s="5"/>
      <c r="AJ203" s="5"/>
      <c r="AK203" s="5"/>
      <c r="AL203" s="5"/>
      <c r="AM203" s="5"/>
      <c r="AN203" s="5"/>
    </row>
    <row r="204" spans="1:40" hidden="1" x14ac:dyDescent="0.2">
      <c r="A204" s="171"/>
      <c r="B204" s="352">
        <v>41</v>
      </c>
      <c r="C204" s="592"/>
      <c r="D204" s="171"/>
      <c r="E204" s="171"/>
      <c r="F204" s="171"/>
      <c r="G204" s="171"/>
      <c r="H204" s="171"/>
      <c r="I204" s="171"/>
      <c r="J204" s="171"/>
      <c r="K204" s="171"/>
      <c r="L204" s="171"/>
      <c r="M204" s="660">
        <v>19</v>
      </c>
      <c r="N204" s="69" t="str">
        <f t="shared" si="100"/>
        <v/>
      </c>
      <c r="O204" s="69" t="str">
        <f t="shared" si="100"/>
        <v/>
      </c>
      <c r="P204" s="69" t="str">
        <f t="shared" si="100"/>
        <v/>
      </c>
      <c r="Q204" s="69" t="str">
        <f t="shared" si="100"/>
        <v/>
      </c>
      <c r="R204" s="69" t="str">
        <f t="shared" si="100"/>
        <v/>
      </c>
      <c r="S204" s="69" t="str">
        <f t="shared" si="100"/>
        <v/>
      </c>
      <c r="T204" s="171"/>
      <c r="U204" s="171"/>
      <c r="V204" s="4"/>
      <c r="W204" s="5"/>
      <c r="X204" s="5"/>
      <c r="Y204" s="5"/>
      <c r="Z204" s="5"/>
      <c r="AA204" s="5"/>
      <c r="AB204" s="5"/>
      <c r="AC204" s="5"/>
      <c r="AD204" s="5"/>
      <c r="AE204" s="5"/>
      <c r="AF204" s="5"/>
      <c r="AG204" s="5"/>
      <c r="AH204" s="5"/>
      <c r="AI204" s="5"/>
      <c r="AJ204" s="5"/>
      <c r="AK204" s="5"/>
      <c r="AL204" s="5"/>
      <c r="AM204" s="5"/>
      <c r="AN204" s="5"/>
    </row>
    <row r="205" spans="1:40" hidden="1" x14ac:dyDescent="0.2">
      <c r="A205" s="171"/>
      <c r="B205" s="352">
        <v>42</v>
      </c>
      <c r="C205" s="592"/>
      <c r="D205" s="171"/>
      <c r="E205" s="171"/>
      <c r="F205" s="171"/>
      <c r="G205" s="171"/>
      <c r="H205" s="171"/>
      <c r="I205" s="171"/>
      <c r="J205" s="171"/>
      <c r="K205" s="171"/>
      <c r="L205" s="171"/>
      <c r="M205" s="660">
        <v>20</v>
      </c>
      <c r="N205" s="69" t="str">
        <f t="shared" si="100"/>
        <v/>
      </c>
      <c r="O205" s="69" t="str">
        <f t="shared" si="100"/>
        <v/>
      </c>
      <c r="P205" s="69" t="str">
        <f t="shared" si="100"/>
        <v/>
      </c>
      <c r="Q205" s="69" t="str">
        <f t="shared" si="100"/>
        <v/>
      </c>
      <c r="R205" s="69" t="str">
        <f t="shared" si="100"/>
        <v/>
      </c>
      <c r="S205" s="69" t="str">
        <f t="shared" si="100"/>
        <v/>
      </c>
      <c r="T205" s="171"/>
      <c r="U205" s="171"/>
      <c r="V205" s="4"/>
      <c r="W205" s="5"/>
      <c r="X205" s="5"/>
      <c r="Y205" s="5"/>
      <c r="Z205" s="5"/>
      <c r="AA205" s="5"/>
      <c r="AB205" s="5"/>
      <c r="AC205" s="5"/>
      <c r="AD205" s="5"/>
      <c r="AE205" s="5"/>
      <c r="AF205" s="5"/>
      <c r="AG205" s="5"/>
      <c r="AH205" s="5"/>
      <c r="AI205" s="5"/>
      <c r="AJ205" s="5"/>
      <c r="AK205" s="5"/>
      <c r="AL205" s="5"/>
      <c r="AM205" s="5"/>
      <c r="AN205" s="5"/>
    </row>
    <row r="206" spans="1:40" ht="15.75" x14ac:dyDescent="0.2">
      <c r="A206" s="176"/>
      <c r="B206" s="176"/>
      <c r="C206" s="176"/>
      <c r="D206" s="176"/>
      <c r="E206" s="174" t="s">
        <v>945</v>
      </c>
      <c r="F206" s="177"/>
      <c r="G206" s="177"/>
      <c r="H206" s="177"/>
      <c r="I206" s="177"/>
      <c r="J206" s="177"/>
      <c r="K206" s="177"/>
      <c r="L206" s="177"/>
      <c r="M206" s="177"/>
      <c r="N206" s="177"/>
      <c r="O206" s="177"/>
      <c r="P206" s="177"/>
      <c r="Q206" s="177"/>
      <c r="R206" s="177"/>
      <c r="S206" s="175"/>
      <c r="T206" s="175"/>
      <c r="U206" s="175"/>
      <c r="V206" s="9"/>
      <c r="W206" s="9"/>
      <c r="X206" s="40"/>
      <c r="Y206" s="40"/>
      <c r="Z206" s="40"/>
      <c r="AA206" s="40"/>
      <c r="AB206" s="40"/>
      <c r="AC206" s="40"/>
      <c r="AD206" s="40"/>
      <c r="AE206" s="40"/>
      <c r="AF206" s="40"/>
      <c r="AG206" s="40"/>
      <c r="AH206" s="40"/>
      <c r="AI206" s="40"/>
      <c r="AJ206" s="40"/>
      <c r="AK206" s="40"/>
      <c r="AL206" s="40"/>
      <c r="AM206" s="40"/>
      <c r="AN206" s="40"/>
    </row>
    <row r="207" spans="1:40" x14ac:dyDescent="0.2">
      <c r="A207" s="5"/>
      <c r="B207" s="5"/>
      <c r="C207" s="5"/>
      <c r="D207" s="5"/>
      <c r="E207" s="1"/>
      <c r="F207" s="1"/>
      <c r="G207" s="1"/>
      <c r="H207" s="1"/>
      <c r="I207" s="1"/>
      <c r="J207" s="1"/>
      <c r="K207" s="1"/>
      <c r="L207" s="1"/>
      <c r="M207" s="1"/>
      <c r="N207" s="1"/>
      <c r="O207" s="1"/>
      <c r="P207" s="1"/>
      <c r="Q207" s="1"/>
      <c r="R207" s="1"/>
      <c r="S207" s="1"/>
      <c r="T207" s="1"/>
      <c r="U207" s="1"/>
      <c r="V207" s="1"/>
      <c r="W207" s="1"/>
      <c r="X207" s="5"/>
      <c r="Y207" s="5"/>
      <c r="Z207" s="5"/>
      <c r="AA207" s="5"/>
      <c r="AB207" s="5"/>
      <c r="AC207" s="5"/>
      <c r="AD207" s="5"/>
      <c r="AE207" s="5"/>
      <c r="AF207" s="5"/>
      <c r="AG207" s="5"/>
      <c r="AH207" s="5"/>
      <c r="AI207" s="5"/>
      <c r="AJ207" s="5"/>
      <c r="AK207" s="5"/>
      <c r="AL207" s="5"/>
      <c r="AM207" s="5"/>
      <c r="AN207" s="5"/>
    </row>
    <row r="208" spans="1:40" x14ac:dyDescent="0.2">
      <c r="A208" s="5"/>
      <c r="B208" s="5"/>
      <c r="C208" s="5"/>
      <c r="D208" s="5"/>
      <c r="E208" s="18" t="s">
        <v>24</v>
      </c>
      <c r="F208" s="18"/>
      <c r="G208" s="18"/>
      <c r="H208" s="18"/>
      <c r="I208" s="18"/>
      <c r="J208" s="18"/>
      <c r="K208" s="18"/>
      <c r="L208" s="18"/>
      <c r="M208" s="16"/>
      <c r="N208" s="16"/>
      <c r="O208" s="16"/>
      <c r="P208" s="16"/>
      <c r="Q208" s="16"/>
      <c r="R208" s="1"/>
      <c r="S208" s="1"/>
      <c r="T208" s="1"/>
      <c r="U208" s="1"/>
      <c r="V208" s="1"/>
      <c r="W208" s="1"/>
      <c r="X208" s="5"/>
      <c r="Y208" s="5"/>
      <c r="Z208" s="5"/>
      <c r="AA208" s="5"/>
      <c r="AB208" s="5"/>
      <c r="AC208" s="5"/>
      <c r="AD208" s="5"/>
      <c r="AE208" s="5"/>
      <c r="AF208" s="5"/>
      <c r="AG208" s="5"/>
      <c r="AH208" s="5"/>
      <c r="AI208" s="5"/>
      <c r="AJ208" s="5"/>
      <c r="AK208" s="5"/>
      <c r="AL208" s="5"/>
      <c r="AM208" s="5"/>
      <c r="AN208" s="5"/>
    </row>
  </sheetData>
  <mergeCells count="152">
    <mergeCell ref="J140:L140"/>
    <mergeCell ref="J141:L141"/>
    <mergeCell ref="J142:L142"/>
    <mergeCell ref="J143:L143"/>
    <mergeCell ref="J144:L144"/>
    <mergeCell ref="J145:L145"/>
    <mergeCell ref="J146:L146"/>
    <mergeCell ref="J147:L147"/>
    <mergeCell ref="F140:H140"/>
    <mergeCell ref="F141:H141"/>
    <mergeCell ref="F142:H142"/>
    <mergeCell ref="J157:L157"/>
    <mergeCell ref="J158:L158"/>
    <mergeCell ref="J148:L148"/>
    <mergeCell ref="J149:L149"/>
    <mergeCell ref="J150:L150"/>
    <mergeCell ref="J151:L151"/>
    <mergeCell ref="J152:L152"/>
    <mergeCell ref="J153:L153"/>
    <mergeCell ref="J154:L154"/>
    <mergeCell ref="J155:L155"/>
    <mergeCell ref="J156:L156"/>
    <mergeCell ref="F14:K14"/>
    <mergeCell ref="M14:R14"/>
    <mergeCell ref="F46:K46"/>
    <mergeCell ref="M46:R46"/>
    <mergeCell ref="J42:K42"/>
    <mergeCell ref="Q42:R42"/>
    <mergeCell ref="R120:U120"/>
    <mergeCell ref="F120:H120"/>
    <mergeCell ref="AC109:AH109"/>
    <mergeCell ref="R114:U114"/>
    <mergeCell ref="R115:U115"/>
    <mergeCell ref="F114:H114"/>
    <mergeCell ref="F115:H115"/>
    <mergeCell ref="F116:H116"/>
    <mergeCell ref="F117:H117"/>
    <mergeCell ref="F118:H118"/>
    <mergeCell ref="R111:U111"/>
    <mergeCell ref="R112:U112"/>
    <mergeCell ref="R113:U113"/>
    <mergeCell ref="AC80:AN80"/>
    <mergeCell ref="AC81:AH81"/>
    <mergeCell ref="AI81:AN81"/>
    <mergeCell ref="AC45:AN45"/>
    <mergeCell ref="AC46:AH46"/>
    <mergeCell ref="F119:H119"/>
    <mergeCell ref="R117:U117"/>
    <mergeCell ref="R118:U118"/>
    <mergeCell ref="R119:U119"/>
    <mergeCell ref="R116:U116"/>
    <mergeCell ref="AI109:AN109"/>
    <mergeCell ref="F110:H110"/>
    <mergeCell ref="F111:H111"/>
    <mergeCell ref="F112:H112"/>
    <mergeCell ref="F113:H113"/>
    <mergeCell ref="J106:K106"/>
    <mergeCell ref="R108:U108"/>
    <mergeCell ref="R110:U110"/>
    <mergeCell ref="F75:K75"/>
    <mergeCell ref="F81:K81"/>
    <mergeCell ref="Q71:R71"/>
    <mergeCell ref="M75:R75"/>
    <mergeCell ref="M81:R81"/>
    <mergeCell ref="J71:K71"/>
    <mergeCell ref="AI46:AN46"/>
    <mergeCell ref="E173:H173"/>
    <mergeCell ref="F148:H148"/>
    <mergeCell ref="F143:H143"/>
    <mergeCell ref="F144:H144"/>
    <mergeCell ref="F145:H145"/>
    <mergeCell ref="F146:H146"/>
    <mergeCell ref="F147:H147"/>
    <mergeCell ref="E168:H168"/>
    <mergeCell ref="E169:H169"/>
    <mergeCell ref="E170:H170"/>
    <mergeCell ref="E171:H171"/>
    <mergeCell ref="E172:H172"/>
    <mergeCell ref="E163:H163"/>
    <mergeCell ref="E164:H164"/>
    <mergeCell ref="E165:H165"/>
    <mergeCell ref="E166:H166"/>
    <mergeCell ref="M160:S160"/>
    <mergeCell ref="I162:J162"/>
    <mergeCell ref="N162:S162"/>
    <mergeCell ref="J133:K133"/>
    <mergeCell ref="E167:H167"/>
    <mergeCell ref="F138:H138"/>
    <mergeCell ref="F139:H139"/>
    <mergeCell ref="F149:H149"/>
    <mergeCell ref="F150:H150"/>
    <mergeCell ref="F151:H151"/>
    <mergeCell ref="F152:H152"/>
    <mergeCell ref="F153:H153"/>
    <mergeCell ref="F154:H154"/>
    <mergeCell ref="E179:H179"/>
    <mergeCell ref="E180:H180"/>
    <mergeCell ref="E181:H181"/>
    <mergeCell ref="E182:H182"/>
    <mergeCell ref="E183:H183"/>
    <mergeCell ref="E174:H174"/>
    <mergeCell ref="E175:H175"/>
    <mergeCell ref="E176:H176"/>
    <mergeCell ref="E177:H177"/>
    <mergeCell ref="E178:H178"/>
    <mergeCell ref="R121:U121"/>
    <mergeCell ref="F122:H122"/>
    <mergeCell ref="R122:U122"/>
    <mergeCell ref="F123:H123"/>
    <mergeCell ref="R123:U123"/>
    <mergeCell ref="F155:H155"/>
    <mergeCell ref="F156:H156"/>
    <mergeCell ref="F157:H157"/>
    <mergeCell ref="F158:H158"/>
    <mergeCell ref="F121:H121"/>
    <mergeCell ref="F124:H124"/>
    <mergeCell ref="F127:H127"/>
    <mergeCell ref="F130:H130"/>
    <mergeCell ref="R130:U130"/>
    <mergeCell ref="R127:U127"/>
    <mergeCell ref="F128:H128"/>
    <mergeCell ref="R128:U128"/>
    <mergeCell ref="F129:H129"/>
    <mergeCell ref="R129:U129"/>
    <mergeCell ref="R124:U124"/>
    <mergeCell ref="F125:H125"/>
    <mergeCell ref="R125:U125"/>
    <mergeCell ref="F126:H126"/>
    <mergeCell ref="R126:U126"/>
    <mergeCell ref="Z138:AC138"/>
    <mergeCell ref="Z139:AC139"/>
    <mergeCell ref="E137:H137"/>
    <mergeCell ref="J139:L139"/>
    <mergeCell ref="Z140:AC140"/>
    <mergeCell ref="Z141:AC141"/>
    <mergeCell ref="Z142:AC142"/>
    <mergeCell ref="Z143:AC143"/>
    <mergeCell ref="Z144:AC144"/>
    <mergeCell ref="Z145:AC145"/>
    <mergeCell ref="Z146:AC146"/>
    <mergeCell ref="Z156:AC156"/>
    <mergeCell ref="Z157:AC157"/>
    <mergeCell ref="Z158:AC158"/>
    <mergeCell ref="Z147:AC147"/>
    <mergeCell ref="Z148:AC148"/>
    <mergeCell ref="Z149:AC149"/>
    <mergeCell ref="Z150:AC150"/>
    <mergeCell ref="Z151:AC151"/>
    <mergeCell ref="Z152:AC152"/>
    <mergeCell ref="Z153:AC153"/>
    <mergeCell ref="Z154:AC154"/>
    <mergeCell ref="Z155:AC155"/>
  </mergeCells>
  <conditionalFormatting sqref="I164:S183">
    <cfRule type="expression" dxfId="696" priority="135">
      <formula>ScriptSourceCode=1</formula>
    </cfRule>
  </conditionalFormatting>
  <conditionalFormatting sqref="F111:U111">
    <cfRule type="expression" dxfId="695" priority="175">
      <formula>$E111=""</formula>
    </cfRule>
  </conditionalFormatting>
  <conditionalFormatting sqref="M78:R78 E78:K78">
    <cfRule type="expression" dxfId="694" priority="171">
      <formula>$E$78=""</formula>
    </cfRule>
  </conditionalFormatting>
  <conditionalFormatting sqref="F114:U114">
    <cfRule type="expression" dxfId="693" priority="168">
      <formula>$E$114=""</formula>
    </cfRule>
  </conditionalFormatting>
  <conditionalFormatting sqref="F115:U115">
    <cfRule type="expression" dxfId="692" priority="167">
      <formula>$E$115=""</formula>
    </cfRule>
  </conditionalFormatting>
  <conditionalFormatting sqref="F116:U116">
    <cfRule type="expression" dxfId="691" priority="166">
      <formula>$E$116=""</formula>
    </cfRule>
  </conditionalFormatting>
  <conditionalFormatting sqref="F117:U117">
    <cfRule type="expression" dxfId="690" priority="165">
      <formula>$E$117=""</formula>
    </cfRule>
  </conditionalFormatting>
  <conditionalFormatting sqref="F118:U118">
    <cfRule type="expression" dxfId="689" priority="164">
      <formula>$E$118=""</formula>
    </cfRule>
  </conditionalFormatting>
  <conditionalFormatting sqref="F119:U119">
    <cfRule type="expression" dxfId="688" priority="163">
      <formula>$E$119=""</formula>
    </cfRule>
  </conditionalFormatting>
  <conditionalFormatting sqref="F120:U120">
    <cfRule type="expression" dxfId="687" priority="162">
      <formula>$E$120=""</formula>
    </cfRule>
  </conditionalFormatting>
  <conditionalFormatting sqref="E139:H158">
    <cfRule type="expression" dxfId="686" priority="124">
      <formula>AND(ScriptSourceCode&lt;&gt;2,ScriptSourceCode&lt;&gt;3)</formula>
    </cfRule>
  </conditionalFormatting>
  <conditionalFormatting sqref="M160:S160">
    <cfRule type="notContainsBlanks" dxfId="685" priority="176">
      <formula>LEN(TRIM(M160))&gt;0</formula>
    </cfRule>
  </conditionalFormatting>
  <conditionalFormatting sqref="I164:S164">
    <cfRule type="expression" dxfId="684" priority="95">
      <formula>$E$164=MsgNotUsed</formula>
    </cfRule>
  </conditionalFormatting>
  <conditionalFormatting sqref="I165:S165">
    <cfRule type="expression" dxfId="683" priority="94">
      <formula>$E$165=MsgNotUsed</formula>
    </cfRule>
  </conditionalFormatting>
  <conditionalFormatting sqref="I166:S166">
    <cfRule type="expression" dxfId="682" priority="93">
      <formula>$E$166=MsgNotUsed</formula>
    </cfRule>
  </conditionalFormatting>
  <conditionalFormatting sqref="I167:S167">
    <cfRule type="expression" dxfId="681" priority="92">
      <formula>$E$167=MsgNotUsed</formula>
    </cfRule>
  </conditionalFormatting>
  <conditionalFormatting sqref="I168:S168">
    <cfRule type="expression" dxfId="680" priority="91">
      <formula>$E$168=MsgNotUsed</formula>
    </cfRule>
  </conditionalFormatting>
  <conditionalFormatting sqref="I169:S169">
    <cfRule type="expression" dxfId="679" priority="90">
      <formula>$E$169=MsgNotUsed</formula>
    </cfRule>
  </conditionalFormatting>
  <conditionalFormatting sqref="I170:S170">
    <cfRule type="expression" dxfId="678" priority="89">
      <formula>$E$170=MsgNotUsed</formula>
    </cfRule>
  </conditionalFormatting>
  <conditionalFormatting sqref="I171:S171">
    <cfRule type="expression" dxfId="677" priority="88">
      <formula>$E$171=MsgNotUsed</formula>
    </cfRule>
  </conditionalFormatting>
  <conditionalFormatting sqref="I172:S172">
    <cfRule type="expression" dxfId="676" priority="87">
      <formula>$E$172=MsgNotUsed</formula>
    </cfRule>
  </conditionalFormatting>
  <conditionalFormatting sqref="I173:S173">
    <cfRule type="expression" dxfId="675" priority="86">
      <formula>$E$173=MsgNotUsed</formula>
    </cfRule>
  </conditionalFormatting>
  <conditionalFormatting sqref="F112:U112">
    <cfRule type="expression" dxfId="674" priority="82">
      <formula>$E$112=""</formula>
    </cfRule>
  </conditionalFormatting>
  <conditionalFormatting sqref="F113:U113">
    <cfRule type="expression" dxfId="673" priority="81">
      <formula>$E$113=""</formula>
    </cfRule>
  </conditionalFormatting>
  <conditionalFormatting sqref="J111:U130">
    <cfRule type="expression" dxfId="672" priority="68">
      <formula>$J$106=MsgNotUsed</formula>
    </cfRule>
  </conditionalFormatting>
  <conditionalFormatting sqref="I174:S174">
    <cfRule type="expression" dxfId="671" priority="66">
      <formula>$E$174=MsgNotUsed</formula>
    </cfRule>
  </conditionalFormatting>
  <conditionalFormatting sqref="I175:S175">
    <cfRule type="expression" dxfId="670" priority="65">
      <formula>$E$175=MsgNotUsed</formula>
    </cfRule>
  </conditionalFormatting>
  <conditionalFormatting sqref="I176:S176">
    <cfRule type="expression" dxfId="669" priority="64">
      <formula>$E$176=MsgNotUsed</formula>
    </cfRule>
  </conditionalFormatting>
  <conditionalFormatting sqref="I177:S177">
    <cfRule type="expression" dxfId="668" priority="63">
      <formula>$E$177=MsgNotUsed</formula>
    </cfRule>
  </conditionalFormatting>
  <conditionalFormatting sqref="I178:S178">
    <cfRule type="expression" dxfId="667" priority="62">
      <formula>$E$178=MsgNotUsed</formula>
    </cfRule>
  </conditionalFormatting>
  <conditionalFormatting sqref="I179:S179">
    <cfRule type="expression" dxfId="666" priority="61">
      <formula>$E$179=MsgNotUsed</formula>
    </cfRule>
  </conditionalFormatting>
  <conditionalFormatting sqref="I180:S180">
    <cfRule type="expression" dxfId="665" priority="60">
      <formula>$E$180=MsgNotUsed</formula>
    </cfRule>
  </conditionalFormatting>
  <conditionalFormatting sqref="I181:S181">
    <cfRule type="expression" dxfId="664" priority="59">
      <formula>$E$181=MsgNotUsed</formula>
    </cfRule>
  </conditionalFormatting>
  <conditionalFormatting sqref="I182:S182">
    <cfRule type="expression" dxfId="663" priority="58">
      <formula>$E$182=MsgNotUsed</formula>
    </cfRule>
  </conditionalFormatting>
  <conditionalFormatting sqref="I183:S183">
    <cfRule type="expression" dxfId="662" priority="57">
      <formula>$E$183=MsgNotUsed</formula>
    </cfRule>
  </conditionalFormatting>
  <conditionalFormatting sqref="F121:U121">
    <cfRule type="expression" dxfId="661" priority="56">
      <formula>$E$121=""</formula>
    </cfRule>
  </conditionalFormatting>
  <conditionalFormatting sqref="F122:U122">
    <cfRule type="expression" dxfId="660" priority="55">
      <formula>$E$122=""</formula>
    </cfRule>
  </conditionalFormatting>
  <conditionalFormatting sqref="F123:U123">
    <cfRule type="expression" dxfId="659" priority="54">
      <formula>$E$123=""</formula>
    </cfRule>
  </conditionalFormatting>
  <conditionalFormatting sqref="F124:U124">
    <cfRule type="expression" dxfId="658" priority="53">
      <formula>$E$124=""</formula>
    </cfRule>
  </conditionalFormatting>
  <conditionalFormatting sqref="F125:U125">
    <cfRule type="expression" dxfId="657" priority="52">
      <formula>$E$125=""</formula>
    </cfRule>
  </conditionalFormatting>
  <conditionalFormatting sqref="F126:U126">
    <cfRule type="expression" dxfId="656" priority="51">
      <formula>$E$126=""</formula>
    </cfRule>
  </conditionalFormatting>
  <conditionalFormatting sqref="F127:U127">
    <cfRule type="expression" dxfId="655" priority="50">
      <formula>$E$127=""</formula>
    </cfRule>
  </conditionalFormatting>
  <conditionalFormatting sqref="F128:U128">
    <cfRule type="expression" dxfId="654" priority="49">
      <formula>$E$128=""</formula>
    </cfRule>
  </conditionalFormatting>
  <conditionalFormatting sqref="F129:U129">
    <cfRule type="expression" dxfId="653" priority="48">
      <formula>$E$129=""</formula>
    </cfRule>
  </conditionalFormatting>
  <conditionalFormatting sqref="F130:U130">
    <cfRule type="expression" dxfId="652" priority="47">
      <formula>$E$130=""</formula>
    </cfRule>
  </conditionalFormatting>
  <conditionalFormatting sqref="P111:U130">
    <cfRule type="expression" dxfId="651" priority="46">
      <formula>ScriptSourceCode &lt;&gt; 1</formula>
    </cfRule>
  </conditionalFormatting>
  <conditionalFormatting sqref="F139:H139">
    <cfRule type="expression" dxfId="650" priority="45">
      <formula>$E$139=""</formula>
    </cfRule>
  </conditionalFormatting>
  <conditionalFormatting sqref="F140:H140">
    <cfRule type="expression" dxfId="649" priority="44">
      <formula>$E$140=""</formula>
    </cfRule>
  </conditionalFormatting>
  <conditionalFormatting sqref="F141:H141">
    <cfRule type="expression" dxfId="648" priority="43">
      <formula>$E$141=""</formula>
    </cfRule>
  </conditionalFormatting>
  <conditionalFormatting sqref="F142:H142">
    <cfRule type="expression" dxfId="647" priority="42">
      <formula>$E$142=""</formula>
    </cfRule>
  </conditionalFormatting>
  <conditionalFormatting sqref="F143:H143">
    <cfRule type="expression" dxfId="646" priority="41">
      <formula>$E$143=""</formula>
    </cfRule>
  </conditionalFormatting>
  <conditionalFormatting sqref="F144:H144">
    <cfRule type="expression" dxfId="645" priority="40">
      <formula>$E$144=""</formula>
    </cfRule>
  </conditionalFormatting>
  <conditionalFormatting sqref="F145:H145">
    <cfRule type="expression" dxfId="644" priority="39">
      <formula>$E$145=""</formula>
    </cfRule>
  </conditionalFormatting>
  <conditionalFormatting sqref="F146:H146">
    <cfRule type="expression" dxfId="643" priority="38">
      <formula>$E$146=""</formula>
    </cfRule>
  </conditionalFormatting>
  <conditionalFormatting sqref="F147:H147">
    <cfRule type="expression" dxfId="642" priority="37">
      <formula>$E$147=""</formula>
    </cfRule>
  </conditionalFormatting>
  <conditionalFormatting sqref="F148:H148">
    <cfRule type="expression" dxfId="641" priority="36">
      <formula>$E$148=""</formula>
    </cfRule>
  </conditionalFormatting>
  <conditionalFormatting sqref="F149:H149">
    <cfRule type="expression" dxfId="640" priority="35">
      <formula>$E$149=""</formula>
    </cfRule>
  </conditionalFormatting>
  <conditionalFormatting sqref="F150:H150">
    <cfRule type="expression" dxfId="639" priority="34">
      <formula>$E$150=""</formula>
    </cfRule>
  </conditionalFormatting>
  <conditionalFormatting sqref="F151:H151">
    <cfRule type="expression" dxfId="638" priority="33">
      <formula>$E$151=""</formula>
    </cfRule>
  </conditionalFormatting>
  <conditionalFormatting sqref="F152:H152">
    <cfRule type="expression" dxfId="637" priority="32">
      <formula>$E$152=""</formula>
    </cfRule>
  </conditionalFormatting>
  <conditionalFormatting sqref="F153:H153">
    <cfRule type="expression" dxfId="636" priority="31">
      <formula>$E$153=""</formula>
    </cfRule>
  </conditionalFormatting>
  <conditionalFormatting sqref="F154:H154">
    <cfRule type="expression" dxfId="635" priority="30">
      <formula>$E$154=""</formula>
    </cfRule>
  </conditionalFormatting>
  <conditionalFormatting sqref="F155:H155">
    <cfRule type="expression" dxfId="634" priority="29">
      <formula>$E$155=""</formula>
    </cfRule>
  </conditionalFormatting>
  <conditionalFormatting sqref="F156:H156">
    <cfRule type="expression" dxfId="633" priority="28">
      <formula>$E$156=""</formula>
    </cfRule>
  </conditionalFormatting>
  <conditionalFormatting sqref="F157:H157">
    <cfRule type="expression" dxfId="632" priority="27">
      <formula>$E$157=""</formula>
    </cfRule>
  </conditionalFormatting>
  <conditionalFormatting sqref="F158:H158">
    <cfRule type="expression" dxfId="631" priority="26">
      <formula>$E$158=""</formula>
    </cfRule>
  </conditionalFormatting>
  <conditionalFormatting sqref="J139:L158">
    <cfRule type="notContainsBlanks" dxfId="630" priority="25">
      <formula>LEN(TRIM(J139))&gt;0</formula>
    </cfRule>
  </conditionalFormatting>
  <conditionalFormatting sqref="M164">
    <cfRule type="expression" dxfId="629" priority="24">
      <formula>$C$164&gt;1</formula>
    </cfRule>
  </conditionalFormatting>
  <conditionalFormatting sqref="M165">
    <cfRule type="expression" dxfId="628" priority="23">
      <formula>$C$165&gt;1</formula>
    </cfRule>
  </conditionalFormatting>
  <conditionalFormatting sqref="M166">
    <cfRule type="expression" dxfId="627" priority="22">
      <formula>$C$166&gt;1</formula>
    </cfRule>
  </conditionalFormatting>
  <conditionalFormatting sqref="M167">
    <cfRule type="expression" dxfId="626" priority="21">
      <formula>$C$167&gt;1</formula>
    </cfRule>
  </conditionalFormatting>
  <conditionalFormatting sqref="M168">
    <cfRule type="expression" dxfId="625" priority="20">
      <formula>$C$168&gt;1</formula>
    </cfRule>
  </conditionalFormatting>
  <conditionalFormatting sqref="M169">
    <cfRule type="expression" dxfId="624" priority="19">
      <formula>$C$169&gt;1</formula>
    </cfRule>
  </conditionalFormatting>
  <conditionalFormatting sqref="M170">
    <cfRule type="expression" dxfId="623" priority="18">
      <formula>$C$170&gt;1</formula>
    </cfRule>
  </conditionalFormatting>
  <conditionalFormatting sqref="M171">
    <cfRule type="expression" dxfId="622" priority="17">
      <formula>$C$171&gt;1</formula>
    </cfRule>
  </conditionalFormatting>
  <conditionalFormatting sqref="M172">
    <cfRule type="expression" dxfId="621" priority="16">
      <formula>$C$172&gt;1</formula>
    </cfRule>
  </conditionalFormatting>
  <conditionalFormatting sqref="M173">
    <cfRule type="expression" dxfId="620" priority="15">
      <formula>$C$173&gt;1</formula>
    </cfRule>
  </conditionalFormatting>
  <conditionalFormatting sqref="M174">
    <cfRule type="expression" dxfId="619" priority="14">
      <formula>$C$174&gt;1</formula>
    </cfRule>
  </conditionalFormatting>
  <conditionalFormatting sqref="M175">
    <cfRule type="expression" dxfId="618" priority="13">
      <formula>$C$175&gt;1</formula>
    </cfRule>
  </conditionalFormatting>
  <conditionalFormatting sqref="M176">
    <cfRule type="expression" dxfId="617" priority="12">
      <formula>$C$176&gt;1</formula>
    </cfRule>
  </conditionalFormatting>
  <conditionalFormatting sqref="M177">
    <cfRule type="expression" dxfId="616" priority="11">
      <formula>$C$177&gt;1</formula>
    </cfRule>
  </conditionalFormatting>
  <conditionalFormatting sqref="M178">
    <cfRule type="expression" dxfId="615" priority="10">
      <formula>$C$178&gt;1</formula>
    </cfRule>
  </conditionalFormatting>
  <conditionalFormatting sqref="M179">
    <cfRule type="expression" dxfId="614" priority="9">
      <formula>$C$179&gt;1</formula>
    </cfRule>
  </conditionalFormatting>
  <conditionalFormatting sqref="M180">
    <cfRule type="expression" dxfId="613" priority="8">
      <formula>$C$180&gt;1</formula>
    </cfRule>
  </conditionalFormatting>
  <conditionalFormatting sqref="M181">
    <cfRule type="expression" dxfId="612" priority="7">
      <formula>$C$181&gt;1</formula>
    </cfRule>
  </conditionalFormatting>
  <conditionalFormatting sqref="M182">
    <cfRule type="expression" dxfId="611" priority="6">
      <formula>$C$182&gt;1</formula>
    </cfRule>
  </conditionalFormatting>
  <conditionalFormatting sqref="M183">
    <cfRule type="expression" dxfId="610" priority="5">
      <formula>$C$183&gt;1</formula>
    </cfRule>
  </conditionalFormatting>
  <conditionalFormatting sqref="E139:E158">
    <cfRule type="duplicateValues" dxfId="609" priority="4"/>
  </conditionalFormatting>
  <conditionalFormatting sqref="O138">
    <cfRule type="notContainsBlanks" dxfId="608" priority="177">
      <formula>LEN(TRIM(O138))&gt;0</formula>
    </cfRule>
  </conditionalFormatting>
  <conditionalFormatting sqref="E137:H137">
    <cfRule type="notContainsBlanks" dxfId="607" priority="178">
      <formula>LEN(TRIM(E137))&gt;0</formula>
    </cfRule>
  </conditionalFormatting>
  <dataValidations count="25">
    <dataValidation type="list" allowBlank="1" showInputMessage="1" showErrorMessage="1" sqref="I111:I130">
      <formula1>TPShort</formula1>
    </dataValidation>
    <dataValidation type="list" allowBlank="1" showInputMessage="1" showErrorMessage="1" sqref="F139:H158">
      <formula1>NamesNewTx</formula1>
    </dataValidation>
    <dataValidation type="list" allowBlank="1" showInputMessage="1" showErrorMessage="1" sqref="M111:M130">
      <formula1>TimeUnit</formula1>
    </dataValidation>
    <dataValidation type="list" allowBlank="1" showInputMessage="1" showErrorMessage="1" sqref="Q111:Q130">
      <formula1>PxTxSource</formula1>
    </dataValidation>
    <dataValidation type="list" allowBlank="1" showInputMessage="1" showErrorMessage="1" sqref="R111:U111">
      <formula1>TxPopNew01</formula1>
    </dataValidation>
    <dataValidation type="list" allowBlank="1" showInputMessage="1" showErrorMessage="1" sqref="R112:U112">
      <formula1>TxPopNew02</formula1>
    </dataValidation>
    <dataValidation type="list" allowBlank="1" showInputMessage="1" showErrorMessage="1" sqref="R113:U113">
      <formula1>TxPopNew03</formula1>
    </dataValidation>
    <dataValidation type="list" allowBlank="1" showInputMessage="1" showErrorMessage="1" sqref="R114:U114">
      <formula1>TxPopNew04</formula1>
    </dataValidation>
    <dataValidation type="list" allowBlank="1" showInputMessage="1" showErrorMessage="1" sqref="R115:U115">
      <formula1>TxPopNew05</formula1>
    </dataValidation>
    <dataValidation type="list" allowBlank="1" showInputMessage="1" showErrorMessage="1" sqref="R116:U116">
      <formula1>TxPopNew06</formula1>
    </dataValidation>
    <dataValidation type="list" allowBlank="1" showInputMessage="1" showErrorMessage="1" sqref="R117:U117">
      <formula1>TxPopNew07</formula1>
    </dataValidation>
    <dataValidation type="list" allowBlank="1" showInputMessage="1" showErrorMessage="1" sqref="R118:U118">
      <formula1>TxPopNew08</formula1>
    </dataValidation>
    <dataValidation type="list" allowBlank="1" showInputMessage="1" showErrorMessage="1" sqref="R119:U119">
      <formula1>TxPopNew09</formula1>
    </dataValidation>
    <dataValidation type="list" allowBlank="1" showInputMessage="1" showErrorMessage="1" sqref="R120:U120">
      <formula1>TxPopNew10</formula1>
    </dataValidation>
    <dataValidation type="list" allowBlank="1" showInputMessage="1" showErrorMessage="1" sqref="R121:U121">
      <formula1>TxPopNew11</formula1>
    </dataValidation>
    <dataValidation type="list" allowBlank="1" showInputMessage="1" showErrorMessage="1" sqref="R122:U122">
      <formula1>TxPopNew12</formula1>
    </dataValidation>
    <dataValidation type="list" allowBlank="1" showInputMessage="1" showErrorMessage="1" sqref="R123:U123">
      <formula1>TxPopNew13</formula1>
    </dataValidation>
    <dataValidation type="list" allowBlank="1" showInputMessage="1" showErrorMessage="1" sqref="R124:U124">
      <formula1>TxPopNew14</formula1>
    </dataValidation>
    <dataValidation type="list" allowBlank="1" showInputMessage="1" showErrorMessage="1" sqref="R125:U125">
      <formula1>TxPopNew15</formula1>
    </dataValidation>
    <dataValidation type="list" allowBlank="1" showInputMessage="1" showErrorMessage="1" sqref="R126:U126">
      <formula1>TxPopNew16</formula1>
    </dataValidation>
    <dataValidation type="list" allowBlank="1" showInputMessage="1" showErrorMessage="1" sqref="R127:U127">
      <formula1>TxPopNew17</formula1>
    </dataValidation>
    <dataValidation type="list" allowBlank="1" showInputMessage="1" showErrorMessage="1" sqref="R128:U128">
      <formula1>TxPopNew18</formula1>
    </dataValidation>
    <dataValidation type="list" allowBlank="1" showInputMessage="1" showErrorMessage="1" sqref="R129:U129">
      <formula1>TxPopNew19</formula1>
    </dataValidation>
    <dataValidation type="list" allowBlank="1" showInputMessage="1" showErrorMessage="1" sqref="R130:U130">
      <formula1>TxPopNew20</formula1>
    </dataValidation>
    <dataValidation type="list" allowBlank="1" showInputMessage="1" showErrorMessage="1" sqref="E139:E158">
      <formula1>NamesScriptsChangedTx</formula1>
    </dataValidation>
  </dataValidations>
  <pageMargins left="0.25" right="0.25" top="0.75" bottom="0.75" header="0.3" footer="0.3"/>
  <pageSetup paperSize="8" scale="43" orientation="portrait" verticalDpi="300" r:id="rId1"/>
  <ignoredErrors>
    <ignoredError sqref="AI110 AI4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pageSetUpPr fitToPage="1"/>
  </sheetPr>
  <dimension ref="A1:S29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9.140625" customWidth="1"/>
    <col min="15" max="15" width="10.7109375" style="570" hidden="1" customWidth="1"/>
    <col min="16" max="17" width="15.7109375" hidden="1" customWidth="1"/>
    <col min="18" max="19" width="9.140625" hidden="1" customWidth="1"/>
  </cols>
  <sheetData>
    <row r="1" spans="1:13" ht="23.25" x14ac:dyDescent="0.2">
      <c r="A1" s="477">
        <f>IF((SUM(D24:I24)&lt;&gt;0),2,0)</f>
        <v>0</v>
      </c>
      <c r="B1" s="473"/>
      <c r="C1" s="474" t="s">
        <v>1020</v>
      </c>
      <c r="D1" s="474"/>
      <c r="E1" s="474"/>
      <c r="F1" s="473"/>
      <c r="G1" s="473"/>
      <c r="H1" s="473"/>
      <c r="I1" s="473"/>
      <c r="J1" s="473"/>
      <c r="K1" s="835" t="str">
        <f>IF(A1=0,MsgNotUsed,"")</f>
        <v>** NOT USED **</v>
      </c>
      <c r="L1" s="835"/>
      <c r="M1" s="835"/>
    </row>
    <row r="2" spans="1:13" ht="15.75" x14ac:dyDescent="0.2">
      <c r="A2" s="473"/>
      <c r="B2" s="473"/>
      <c r="C2" s="475" t="str">
        <f>CONCATENATE("Name of medicine: ", MedicineBrand)</f>
        <v>Name of medicine:  (®)</v>
      </c>
      <c r="D2" s="476"/>
      <c r="E2" s="476"/>
      <c r="F2" s="473"/>
      <c r="G2" s="473"/>
      <c r="H2" s="473"/>
      <c r="I2" s="473"/>
      <c r="J2" s="473"/>
      <c r="K2" s="473"/>
      <c r="L2" s="473"/>
      <c r="M2" s="473"/>
    </row>
    <row r="3" spans="1:13" ht="15.75" x14ac:dyDescent="0.2">
      <c r="A3" s="473"/>
      <c r="B3" s="473"/>
      <c r="C3" s="475" t="str">
        <f>CONCATENATE("Indication: ",Indication)</f>
        <v xml:space="preserve">Indication: </v>
      </c>
      <c r="D3" s="476"/>
      <c r="E3" s="476"/>
      <c r="F3" s="473"/>
      <c r="G3" s="473"/>
      <c r="H3" s="473"/>
      <c r="I3" s="473"/>
      <c r="J3" s="473"/>
      <c r="K3" s="473"/>
      <c r="L3" s="473"/>
      <c r="M3" s="473"/>
    </row>
    <row r="4" spans="1:13" s="575" customFormat="1" x14ac:dyDescent="0.2">
      <c r="A4" s="600"/>
      <c r="B4" s="600"/>
      <c r="C4" s="714"/>
      <c r="D4" s="714"/>
      <c r="E4" s="714"/>
      <c r="F4" s="600"/>
      <c r="G4" s="600"/>
      <c r="H4" s="600"/>
      <c r="I4" s="600"/>
      <c r="J4" s="600"/>
      <c r="K4" s="600"/>
      <c r="L4" s="600"/>
      <c r="M4" s="600"/>
    </row>
    <row r="5" spans="1:13" ht="15.75" x14ac:dyDescent="0.2">
      <c r="A5" s="173"/>
      <c r="B5" s="173"/>
      <c r="C5" s="174" t="s">
        <v>2</v>
      </c>
      <c r="D5" s="174"/>
      <c r="E5" s="174"/>
      <c r="F5" s="214"/>
      <c r="G5" s="178"/>
      <c r="H5" s="178"/>
      <c r="I5" s="178"/>
      <c r="J5" s="178"/>
      <c r="K5" s="178"/>
      <c r="L5" s="178"/>
      <c r="M5" s="178"/>
    </row>
    <row r="6" spans="1:13" ht="14.25" x14ac:dyDescent="0.2">
      <c r="A6" s="171"/>
      <c r="B6" s="171"/>
      <c r="C6" s="209"/>
      <c r="D6" s="209"/>
      <c r="E6" s="209"/>
      <c r="F6" s="215"/>
      <c r="G6" s="171"/>
      <c r="H6" s="171"/>
      <c r="I6" s="171"/>
      <c r="J6" s="171"/>
      <c r="K6" s="171"/>
      <c r="L6" s="171"/>
      <c r="M6" s="171"/>
    </row>
    <row r="7" spans="1:13" x14ac:dyDescent="0.2">
      <c r="A7" s="171"/>
      <c r="B7" s="171"/>
      <c r="C7" s="6" t="s">
        <v>896</v>
      </c>
      <c r="D7" s="6"/>
      <c r="E7" s="6"/>
      <c r="F7" s="121"/>
      <c r="G7" s="121"/>
      <c r="H7" s="121"/>
      <c r="I7" s="121"/>
      <c r="J7" s="121"/>
      <c r="K7" s="121"/>
      <c r="L7" s="121"/>
      <c r="M7" s="121"/>
    </row>
    <row r="8" spans="1:13" x14ac:dyDescent="0.2">
      <c r="A8" s="171"/>
      <c r="B8" s="171"/>
      <c r="C8" s="36"/>
      <c r="D8" s="36"/>
      <c r="E8" s="36"/>
      <c r="F8" s="229"/>
      <c r="G8" s="229"/>
      <c r="H8" s="229"/>
      <c r="I8" s="229"/>
      <c r="J8" s="229"/>
      <c r="K8" s="229"/>
      <c r="L8" s="229"/>
      <c r="M8" s="229"/>
    </row>
    <row r="9" spans="1:13" x14ac:dyDescent="0.2">
      <c r="A9" s="171"/>
      <c r="B9" s="171"/>
      <c r="C9" s="6"/>
      <c r="D9" s="6"/>
      <c r="E9" s="6"/>
      <c r="F9" s="6"/>
      <c r="G9" s="6"/>
      <c r="H9" s="6"/>
      <c r="I9" s="6"/>
      <c r="J9" s="6"/>
      <c r="K9" s="6"/>
      <c r="L9" s="6"/>
      <c r="M9" s="6"/>
    </row>
    <row r="10" spans="1:13" ht="15.75" x14ac:dyDescent="0.2">
      <c r="A10" s="176"/>
      <c r="B10" s="176"/>
      <c r="C10" s="174" t="s">
        <v>946</v>
      </c>
      <c r="D10" s="174"/>
      <c r="E10" s="174"/>
      <c r="F10" s="214"/>
      <c r="G10" s="178"/>
      <c r="H10" s="178"/>
      <c r="I10" s="178"/>
      <c r="J10" s="178"/>
      <c r="K10" s="178"/>
      <c r="L10" s="178"/>
      <c r="M10" s="178"/>
    </row>
    <row r="11" spans="1:13" ht="15.75" x14ac:dyDescent="0.2">
      <c r="A11" s="171"/>
      <c r="B11" s="171"/>
      <c r="C11" s="193"/>
      <c r="D11" s="193"/>
      <c r="E11" s="193"/>
      <c r="F11" s="215"/>
      <c r="G11" s="171"/>
      <c r="H11" s="171"/>
      <c r="I11" s="171"/>
      <c r="J11" s="171"/>
      <c r="K11" s="171"/>
      <c r="L11" s="171"/>
      <c r="M11" s="171"/>
    </row>
    <row r="12" spans="1:13" x14ac:dyDescent="0.2">
      <c r="A12" s="171"/>
      <c r="B12" s="171"/>
      <c r="C12" s="211" t="s">
        <v>897</v>
      </c>
      <c r="D12" s="211"/>
      <c r="E12" s="211"/>
      <c r="F12" s="211"/>
      <c r="G12" s="211"/>
      <c r="H12" s="211"/>
      <c r="I12" s="211"/>
      <c r="J12" s="211"/>
      <c r="K12" s="211"/>
      <c r="L12" s="211"/>
      <c r="M12" s="211"/>
    </row>
    <row r="13" spans="1:13" x14ac:dyDescent="0.2">
      <c r="A13" s="171"/>
      <c r="B13" s="171"/>
      <c r="C13" s="213"/>
      <c r="D13" s="213"/>
      <c r="E13" s="213"/>
      <c r="F13" s="171"/>
      <c r="G13" s="171"/>
      <c r="H13" s="171"/>
      <c r="I13" s="171"/>
      <c r="J13" s="171"/>
      <c r="K13" s="171"/>
      <c r="L13" s="171"/>
      <c r="M13" s="171"/>
    </row>
    <row r="14" spans="1:13" ht="15.75" x14ac:dyDescent="0.2">
      <c r="A14" s="171"/>
      <c r="B14" s="171"/>
      <c r="C14" s="193" t="s">
        <v>119</v>
      </c>
      <c r="D14" s="112">
        <f>FirstYear</f>
        <v>0</v>
      </c>
      <c r="E14" s="112">
        <f>D14+1</f>
        <v>1</v>
      </c>
      <c r="F14" s="112">
        <f>E14+1</f>
        <v>2</v>
      </c>
      <c r="G14" s="112">
        <f>F14+1</f>
        <v>3</v>
      </c>
      <c r="H14" s="112">
        <f>G14+1</f>
        <v>4</v>
      </c>
      <c r="I14" s="112">
        <f>H14+1</f>
        <v>5</v>
      </c>
      <c r="J14" s="171"/>
      <c r="K14" s="171"/>
      <c r="L14" s="171"/>
      <c r="M14" s="171"/>
    </row>
    <row r="15" spans="1:13" x14ac:dyDescent="0.2">
      <c r="A15" s="171"/>
      <c r="B15" s="171"/>
      <c r="C15" s="115" t="s">
        <v>104</v>
      </c>
      <c r="D15" s="397">
        <f>D31+D43+D55+D67+D79+D91+D103+D115+D127+D139+D151+D163+D175+D187+D199+D211+D223+D235+D247+D259</f>
        <v>0</v>
      </c>
      <c r="E15" s="397">
        <f t="shared" ref="E15:I16" si="0">E31+E43+E55+E67+E79+E91+E103+E115+E127+E139+E151+E163+E175+E187+E199+E211+E223+E235+E247+E259</f>
        <v>0</v>
      </c>
      <c r="F15" s="397">
        <f t="shared" si="0"/>
        <v>0</v>
      </c>
      <c r="G15" s="397">
        <f t="shared" si="0"/>
        <v>0</v>
      </c>
      <c r="H15" s="397">
        <f t="shared" si="0"/>
        <v>0</v>
      </c>
      <c r="I15" s="397">
        <f t="shared" si="0"/>
        <v>0</v>
      </c>
      <c r="J15" s="171"/>
      <c r="K15" s="171"/>
      <c r="L15" s="171"/>
      <c r="M15" s="171"/>
    </row>
    <row r="16" spans="1:13" x14ac:dyDescent="0.2">
      <c r="A16" s="171"/>
      <c r="B16" s="171"/>
      <c r="C16" s="374" t="s">
        <v>129</v>
      </c>
      <c r="D16" s="397">
        <f>D32+D44+D56+D68+D80+D92+D104+D116+D128+D140+D152+D164+D176+D188+D200+D212+D224+D236+D248+D260</f>
        <v>0</v>
      </c>
      <c r="E16" s="397">
        <f t="shared" si="0"/>
        <v>0</v>
      </c>
      <c r="F16" s="397">
        <f t="shared" si="0"/>
        <v>0</v>
      </c>
      <c r="G16" s="397">
        <f t="shared" si="0"/>
        <v>0</v>
      </c>
      <c r="H16" s="397">
        <f t="shared" si="0"/>
        <v>0</v>
      </c>
      <c r="I16" s="397">
        <f t="shared" si="0"/>
        <v>0</v>
      </c>
      <c r="J16" s="171"/>
      <c r="K16" s="171"/>
      <c r="L16" s="171"/>
      <c r="M16" s="171"/>
    </row>
    <row r="17" spans="1:13" x14ac:dyDescent="0.2">
      <c r="A17" s="171"/>
      <c r="B17" s="171"/>
      <c r="C17" s="11" t="s">
        <v>106</v>
      </c>
      <c r="D17" s="398">
        <f t="shared" ref="D17:I17" si="1">D15+D16</f>
        <v>0</v>
      </c>
      <c r="E17" s="398">
        <f t="shared" si="1"/>
        <v>0</v>
      </c>
      <c r="F17" s="398">
        <f t="shared" si="1"/>
        <v>0</v>
      </c>
      <c r="G17" s="398">
        <f t="shared" si="1"/>
        <v>0</v>
      </c>
      <c r="H17" s="398">
        <f t="shared" si="1"/>
        <v>0</v>
      </c>
      <c r="I17" s="398">
        <f t="shared" si="1"/>
        <v>0</v>
      </c>
      <c r="J17" s="171"/>
      <c r="K17" s="171"/>
      <c r="L17" s="171"/>
      <c r="M17" s="171"/>
    </row>
    <row r="18" spans="1:13" x14ac:dyDescent="0.2">
      <c r="A18" s="171"/>
      <c r="B18" s="171"/>
      <c r="C18" s="20"/>
      <c r="D18" s="20"/>
      <c r="E18" s="20"/>
      <c r="F18" s="19"/>
      <c r="G18" s="19"/>
      <c r="H18" s="19"/>
      <c r="I18" s="19"/>
      <c r="J18" s="19"/>
      <c r="K18" s="19"/>
      <c r="L18" s="19"/>
      <c r="M18" s="19"/>
    </row>
    <row r="19" spans="1:13" ht="15.75" x14ac:dyDescent="0.2">
      <c r="A19" s="171"/>
      <c r="B19" s="171"/>
      <c r="C19" s="193" t="s">
        <v>120</v>
      </c>
      <c r="D19" s="112">
        <f>FirstYear</f>
        <v>0</v>
      </c>
      <c r="E19" s="112">
        <f>D19+1</f>
        <v>1</v>
      </c>
      <c r="F19" s="112">
        <f>E19+1</f>
        <v>2</v>
      </c>
      <c r="G19" s="112">
        <f>F19+1</f>
        <v>3</v>
      </c>
      <c r="H19" s="112">
        <f>G19+1</f>
        <v>4</v>
      </c>
      <c r="I19" s="112">
        <f>H19+1</f>
        <v>5</v>
      </c>
      <c r="J19" s="149"/>
      <c r="K19" s="171"/>
      <c r="L19" s="171"/>
      <c r="M19" s="171"/>
    </row>
    <row r="20" spans="1:13" x14ac:dyDescent="0.2">
      <c r="A20" s="171"/>
      <c r="B20" s="171"/>
      <c r="C20" s="115" t="s">
        <v>105</v>
      </c>
      <c r="D20" s="396">
        <f>D36+D48+D60+D72+D84+D96+D108+D120+D132+D144+D156+D168+D180+D192+D204+D216+D228+D240+D252+D264</f>
        <v>0</v>
      </c>
      <c r="E20" s="396">
        <f t="shared" ref="E20:I21" si="2">E36+E48+E60+E72+E84+E96+E108+E120+E132+E144+E156+E168+E180+E192+E204+E216+E228+E240+E252+E264</f>
        <v>0</v>
      </c>
      <c r="F20" s="396">
        <f t="shared" si="2"/>
        <v>0</v>
      </c>
      <c r="G20" s="396">
        <f t="shared" si="2"/>
        <v>0</v>
      </c>
      <c r="H20" s="396">
        <f t="shared" si="2"/>
        <v>0</v>
      </c>
      <c r="I20" s="396">
        <f t="shared" si="2"/>
        <v>0</v>
      </c>
      <c r="J20" s="171"/>
      <c r="K20" s="171"/>
      <c r="L20" s="171"/>
      <c r="M20" s="171"/>
    </row>
    <row r="21" spans="1:13" x14ac:dyDescent="0.2">
      <c r="A21" s="171"/>
      <c r="B21" s="171"/>
      <c r="C21" s="11" t="s">
        <v>129</v>
      </c>
      <c r="D21" s="396">
        <f>D37+D49+D61+D73+D85+D97+D109+D121+D133+D145+D157+D169+D181+D193+D205+D217+D229+D241+D253+D265</f>
        <v>0</v>
      </c>
      <c r="E21" s="396">
        <f t="shared" si="2"/>
        <v>0</v>
      </c>
      <c r="F21" s="396">
        <f t="shared" si="2"/>
        <v>0</v>
      </c>
      <c r="G21" s="396">
        <f t="shared" si="2"/>
        <v>0</v>
      </c>
      <c r="H21" s="396">
        <f t="shared" si="2"/>
        <v>0</v>
      </c>
      <c r="I21" s="396">
        <f t="shared" si="2"/>
        <v>0</v>
      </c>
      <c r="J21" s="171"/>
      <c r="K21" s="171"/>
      <c r="L21" s="171"/>
      <c r="M21" s="171"/>
    </row>
    <row r="22" spans="1:13" x14ac:dyDescent="0.2">
      <c r="A22" s="171"/>
      <c r="B22" s="171"/>
      <c r="C22" s="11" t="s">
        <v>107</v>
      </c>
      <c r="D22" s="400">
        <f t="shared" ref="D22:I22" si="3">D20+D21</f>
        <v>0</v>
      </c>
      <c r="E22" s="400">
        <f t="shared" si="3"/>
        <v>0</v>
      </c>
      <c r="F22" s="400">
        <f t="shared" si="3"/>
        <v>0</v>
      </c>
      <c r="G22" s="400">
        <f t="shared" si="3"/>
        <v>0</v>
      </c>
      <c r="H22" s="400">
        <f t="shared" si="3"/>
        <v>0</v>
      </c>
      <c r="I22" s="400">
        <f t="shared" si="3"/>
        <v>0</v>
      </c>
      <c r="J22" s="171"/>
      <c r="K22" s="171"/>
      <c r="L22" s="171"/>
      <c r="M22" s="171"/>
    </row>
    <row r="23" spans="1:13" x14ac:dyDescent="0.2">
      <c r="A23" s="171"/>
      <c r="B23" s="171"/>
      <c r="C23" s="20"/>
      <c r="D23" s="20"/>
      <c r="E23" s="20"/>
      <c r="F23" s="19"/>
      <c r="G23" s="19"/>
      <c r="H23" s="19"/>
      <c r="I23" s="19"/>
      <c r="J23" s="19"/>
      <c r="K23" s="19"/>
      <c r="L23" s="19"/>
      <c r="M23" s="19"/>
    </row>
    <row r="24" spans="1:13" x14ac:dyDescent="0.2">
      <c r="A24" s="171"/>
      <c r="B24" s="171"/>
      <c r="C24" s="386" t="s">
        <v>919</v>
      </c>
      <c r="D24" s="399">
        <f>D22+D17</f>
        <v>0</v>
      </c>
      <c r="E24" s="399">
        <f t="shared" ref="E24:I24" si="4">E22+E17</f>
        <v>0</v>
      </c>
      <c r="F24" s="399">
        <f t="shared" si="4"/>
        <v>0</v>
      </c>
      <c r="G24" s="399">
        <f t="shared" si="4"/>
        <v>0</v>
      </c>
      <c r="H24" s="399">
        <f t="shared" si="4"/>
        <v>0</v>
      </c>
      <c r="I24" s="399">
        <f t="shared" si="4"/>
        <v>0</v>
      </c>
      <c r="J24" s="19"/>
      <c r="K24" s="19"/>
      <c r="L24" s="19"/>
      <c r="M24" s="19"/>
    </row>
    <row r="25" spans="1:13" x14ac:dyDescent="0.2">
      <c r="A25" s="171"/>
      <c r="B25" s="171"/>
      <c r="C25" s="20"/>
      <c r="D25" s="20"/>
      <c r="E25" s="20"/>
      <c r="F25" s="19"/>
      <c r="G25" s="19"/>
      <c r="H25" s="19"/>
      <c r="I25" s="19"/>
      <c r="J25" s="19"/>
      <c r="K25" s="19"/>
      <c r="L25" s="19"/>
      <c r="M25" s="19"/>
    </row>
    <row r="26" spans="1:13" ht="15.75" x14ac:dyDescent="0.2">
      <c r="A26" s="171"/>
      <c r="B26" s="171"/>
      <c r="C26" s="174" t="s">
        <v>947</v>
      </c>
      <c r="D26" s="174"/>
      <c r="E26" s="174"/>
      <c r="F26" s="188"/>
      <c r="G26" s="188"/>
      <c r="H26" s="188"/>
      <c r="I26" s="188"/>
      <c r="J26" s="188"/>
      <c r="K26" s="188"/>
      <c r="L26" s="188"/>
      <c r="M26" s="178"/>
    </row>
    <row r="27" spans="1:13" x14ac:dyDescent="0.2">
      <c r="A27" s="171"/>
      <c r="B27" s="171"/>
      <c r="C27" s="20"/>
      <c r="D27" s="20"/>
      <c r="E27" s="20"/>
      <c r="F27" s="19"/>
      <c r="G27" s="19"/>
      <c r="H27" s="19"/>
      <c r="I27" s="19"/>
      <c r="J27" s="19"/>
      <c r="K27" s="19"/>
      <c r="L27" s="19"/>
      <c r="M27" s="19"/>
    </row>
    <row r="28" spans="1:13" ht="15" x14ac:dyDescent="0.2">
      <c r="A28" s="171"/>
      <c r="B28" s="422">
        <v>1</v>
      </c>
      <c r="C28" s="221" t="str">
        <f>INDEX(PBSScriptsNew,B28,1)</f>
        <v>** NOT USED **</v>
      </c>
      <c r="D28" s="207"/>
      <c r="E28" s="207"/>
      <c r="F28" s="207"/>
      <c r="G28" s="207"/>
      <c r="H28" s="207"/>
      <c r="I28" s="188"/>
      <c r="J28" s="188"/>
      <c r="K28" s="188"/>
      <c r="L28" s="782" t="str">
        <f>IF(C28&lt;&gt;MsgNotUsed,"Co-payment group " &amp; INDEX(CoPayBandMS,B28),"")</f>
        <v/>
      </c>
      <c r="M28" s="782"/>
    </row>
    <row r="29" spans="1:13" outlineLevel="1" x14ac:dyDescent="0.2">
      <c r="A29" s="171"/>
      <c r="B29" s="352">
        <f>INDEX(SANew,B28,5)</f>
        <v>0</v>
      </c>
      <c r="C29" s="20"/>
      <c r="D29" s="419">
        <v>2</v>
      </c>
      <c r="E29" s="419">
        <v>3</v>
      </c>
      <c r="F29" s="201">
        <v>4</v>
      </c>
      <c r="G29" s="201">
        <v>5</v>
      </c>
      <c r="H29" s="201">
        <v>6</v>
      </c>
      <c r="I29" s="420">
        <v>7</v>
      </c>
      <c r="J29" s="19"/>
      <c r="K29" s="19"/>
      <c r="L29" s="19"/>
      <c r="M29" s="19"/>
    </row>
    <row r="30" spans="1:13" outlineLevel="1" x14ac:dyDescent="0.2">
      <c r="A30" s="171"/>
      <c r="B30" s="224"/>
      <c r="C30" s="171"/>
      <c r="D30" s="112">
        <f>FirstYear</f>
        <v>0</v>
      </c>
      <c r="E30" s="112">
        <f>D30+1</f>
        <v>1</v>
      </c>
      <c r="F30" s="112">
        <f>E30+1</f>
        <v>2</v>
      </c>
      <c r="G30" s="112">
        <f>F30+1</f>
        <v>3</v>
      </c>
      <c r="H30" s="112">
        <f>G30+1</f>
        <v>4</v>
      </c>
      <c r="I30" s="112">
        <f>H30+1</f>
        <v>5</v>
      </c>
      <c r="J30" s="171"/>
      <c r="K30" s="171"/>
      <c r="L30" s="171"/>
      <c r="M30" s="176"/>
    </row>
    <row r="31" spans="1:13" outlineLevel="1" x14ac:dyDescent="0.2">
      <c r="A31" s="171"/>
      <c r="B31" s="422">
        <v>1</v>
      </c>
      <c r="C31" s="115" t="s">
        <v>104</v>
      </c>
      <c r="D31" s="396">
        <f t="shared" ref="D31:I31" si="5">INDEX(PBSScriptsNew,$B28,D29)*INDEX(DPMQCoPayNewPub,$B28,$B31)</f>
        <v>0</v>
      </c>
      <c r="E31" s="396">
        <f t="shared" si="5"/>
        <v>0</v>
      </c>
      <c r="F31" s="396">
        <f t="shared" si="5"/>
        <v>0</v>
      </c>
      <c r="G31" s="396">
        <f t="shared" si="5"/>
        <v>0</v>
      </c>
      <c r="H31" s="396">
        <f t="shared" si="5"/>
        <v>0</v>
      </c>
      <c r="I31" s="396">
        <f t="shared" si="5"/>
        <v>0</v>
      </c>
      <c r="J31" s="171"/>
      <c r="K31" s="171"/>
      <c r="L31" s="171"/>
      <c r="M31" s="176"/>
    </row>
    <row r="32" spans="1:13" outlineLevel="1" x14ac:dyDescent="0.2">
      <c r="A32" s="171"/>
      <c r="B32" s="422">
        <v>3</v>
      </c>
      <c r="C32" s="374" t="s">
        <v>129</v>
      </c>
      <c r="D32" s="396">
        <f t="shared" ref="D32:I32" si="6">INDEX(PBSScriptsNew,$B28,D29)*(INDEX(DPMQCoPayNewPub,$B28,$B32)/INDEX(CoPayCountNew,$B28))</f>
        <v>0</v>
      </c>
      <c r="E32" s="396">
        <f t="shared" si="6"/>
        <v>0</v>
      </c>
      <c r="F32" s="396">
        <f t="shared" si="6"/>
        <v>0</v>
      </c>
      <c r="G32" s="396">
        <f t="shared" si="6"/>
        <v>0</v>
      </c>
      <c r="H32" s="396">
        <f t="shared" si="6"/>
        <v>0</v>
      </c>
      <c r="I32" s="396">
        <f t="shared" si="6"/>
        <v>0</v>
      </c>
      <c r="J32" s="171"/>
      <c r="K32" s="763" t="str">
        <f>IF(B29&lt;&gt;0,MsgNote&amp;IF(B29="Yes",INDEX(CoPayMethod,1),INDEX(CoPayMethod,2)),"")</f>
        <v/>
      </c>
      <c r="L32" s="763"/>
      <c r="M32" s="763"/>
    </row>
    <row r="33" spans="1:13" outlineLevel="1" x14ac:dyDescent="0.2">
      <c r="A33" s="171"/>
      <c r="B33" s="224"/>
      <c r="C33" s="11" t="s">
        <v>106</v>
      </c>
      <c r="D33" s="396">
        <f t="shared" ref="D33:I33" si="7">D31+D32</f>
        <v>0</v>
      </c>
      <c r="E33" s="396">
        <f t="shared" si="7"/>
        <v>0</v>
      </c>
      <c r="F33" s="396">
        <f t="shared" si="7"/>
        <v>0</v>
      </c>
      <c r="G33" s="396">
        <f t="shared" si="7"/>
        <v>0</v>
      </c>
      <c r="H33" s="396">
        <f t="shared" si="7"/>
        <v>0</v>
      </c>
      <c r="I33" s="396">
        <f t="shared" si="7"/>
        <v>0</v>
      </c>
      <c r="J33" s="171"/>
      <c r="K33" s="171"/>
      <c r="L33" s="171"/>
      <c r="M33" s="176"/>
    </row>
    <row r="34" spans="1:13" outlineLevel="1" x14ac:dyDescent="0.2">
      <c r="A34" s="172"/>
      <c r="B34" s="202"/>
      <c r="C34" s="172"/>
      <c r="D34" s="172"/>
      <c r="E34" s="172"/>
      <c r="F34" s="172"/>
      <c r="G34" s="172"/>
      <c r="H34" s="172"/>
      <c r="I34" s="172"/>
      <c r="J34" s="171"/>
      <c r="K34" s="171"/>
      <c r="L34" s="171"/>
      <c r="M34" s="176"/>
    </row>
    <row r="35" spans="1:13" ht="15.75" outlineLevel="1" x14ac:dyDescent="0.2">
      <c r="A35" s="172"/>
      <c r="B35" s="202"/>
      <c r="C35" s="193"/>
      <c r="D35" s="112">
        <f>FirstYear</f>
        <v>0</v>
      </c>
      <c r="E35" s="112">
        <f>D35+1</f>
        <v>1</v>
      </c>
      <c r="F35" s="112">
        <f>E35+1</f>
        <v>2</v>
      </c>
      <c r="G35" s="112">
        <f>F35+1</f>
        <v>3</v>
      </c>
      <c r="H35" s="112">
        <f>G35+1</f>
        <v>4</v>
      </c>
      <c r="I35" s="112">
        <f>H35+1</f>
        <v>5</v>
      </c>
      <c r="J35" s="171"/>
      <c r="K35" s="171"/>
      <c r="L35" s="171"/>
      <c r="M35" s="176"/>
    </row>
    <row r="36" spans="1:13" outlineLevel="1" x14ac:dyDescent="0.2">
      <c r="A36" s="172"/>
      <c r="B36" s="422">
        <v>1</v>
      </c>
      <c r="C36" s="115" t="s">
        <v>105</v>
      </c>
      <c r="D36" s="396">
        <f t="shared" ref="D36:I36" si="8">INDEX(RPBSScriptsNew,$B28,D29)*INDEX(DPMQCoPayNewPub,$B28,$B36)</f>
        <v>0</v>
      </c>
      <c r="E36" s="396">
        <f t="shared" si="8"/>
        <v>0</v>
      </c>
      <c r="F36" s="396">
        <f t="shared" si="8"/>
        <v>0</v>
      </c>
      <c r="G36" s="396">
        <f t="shared" si="8"/>
        <v>0</v>
      </c>
      <c r="H36" s="396">
        <f t="shared" si="8"/>
        <v>0</v>
      </c>
      <c r="I36" s="396">
        <f t="shared" si="8"/>
        <v>0</v>
      </c>
      <c r="J36" s="171"/>
      <c r="K36" s="171"/>
      <c r="L36" s="171"/>
      <c r="M36" s="176"/>
    </row>
    <row r="37" spans="1:13" outlineLevel="1" x14ac:dyDescent="0.2">
      <c r="A37" s="172"/>
      <c r="B37" s="422">
        <v>4</v>
      </c>
      <c r="C37" s="11" t="s">
        <v>129</v>
      </c>
      <c r="D37" s="396">
        <f t="shared" ref="D37:I37" si="9">INDEX(RPBSScriptsNew,$B28,D29)*(INDEX(DPMQCoPayNewPub,$B28,$B37)/INDEX(CoPayCountNew,$B28))</f>
        <v>0</v>
      </c>
      <c r="E37" s="396">
        <f t="shared" si="9"/>
        <v>0</v>
      </c>
      <c r="F37" s="396">
        <f t="shared" si="9"/>
        <v>0</v>
      </c>
      <c r="G37" s="396">
        <f t="shared" si="9"/>
        <v>0</v>
      </c>
      <c r="H37" s="396">
        <f t="shared" si="9"/>
        <v>0</v>
      </c>
      <c r="I37" s="396">
        <f t="shared" si="9"/>
        <v>0</v>
      </c>
      <c r="J37" s="171"/>
      <c r="K37" s="171"/>
      <c r="L37" s="171"/>
      <c r="M37" s="176"/>
    </row>
    <row r="38" spans="1:13" outlineLevel="1" x14ac:dyDescent="0.2">
      <c r="A38" s="172"/>
      <c r="B38" s="202"/>
      <c r="C38" s="11" t="s">
        <v>107</v>
      </c>
      <c r="D38" s="396">
        <f t="shared" ref="D38:I38" si="10">D36+D37</f>
        <v>0</v>
      </c>
      <c r="E38" s="396">
        <f t="shared" si="10"/>
        <v>0</v>
      </c>
      <c r="F38" s="396">
        <f t="shared" si="10"/>
        <v>0</v>
      </c>
      <c r="G38" s="396">
        <f t="shared" si="10"/>
        <v>0</v>
      </c>
      <c r="H38" s="396">
        <f t="shared" si="10"/>
        <v>0</v>
      </c>
      <c r="I38" s="396">
        <f t="shared" si="10"/>
        <v>0</v>
      </c>
      <c r="J38" s="171"/>
      <c r="K38" s="171"/>
      <c r="L38" s="171"/>
      <c r="M38" s="176"/>
    </row>
    <row r="39" spans="1:13" x14ac:dyDescent="0.2">
      <c r="A39" s="171"/>
      <c r="B39" s="224"/>
      <c r="C39" s="20"/>
      <c r="D39" s="20"/>
      <c r="E39" s="20"/>
      <c r="F39" s="19"/>
      <c r="G39" s="19"/>
      <c r="H39" s="19"/>
      <c r="I39" s="19"/>
      <c r="J39" s="19"/>
      <c r="K39" s="19"/>
      <c r="L39" s="19"/>
      <c r="M39" s="577"/>
    </row>
    <row r="40" spans="1:13" ht="15" x14ac:dyDescent="0.2">
      <c r="A40" s="171"/>
      <c r="B40" s="423">
        <v>2</v>
      </c>
      <c r="C40" s="221" t="str">
        <f>INDEX(PBSScriptsNew,B40,1)</f>
        <v>** NOT USED **</v>
      </c>
      <c r="D40" s="207"/>
      <c r="E40" s="207"/>
      <c r="F40" s="207"/>
      <c r="G40" s="207"/>
      <c r="H40" s="207"/>
      <c r="I40" s="188"/>
      <c r="J40" s="188"/>
      <c r="K40" s="188"/>
      <c r="L40" s="782" t="str">
        <f>IF(C40&lt;&gt;MsgNotUsed,"Co-payment group " &amp; INDEX(CoPayBandMS,B40),"")</f>
        <v/>
      </c>
      <c r="M40" s="782"/>
    </row>
    <row r="41" spans="1:13" outlineLevel="1" x14ac:dyDescent="0.2">
      <c r="A41" s="171"/>
      <c r="B41" s="352">
        <f>INDEX(SANew,B40,5)</f>
        <v>0</v>
      </c>
      <c r="C41" s="20"/>
      <c r="D41" s="419">
        <v>2</v>
      </c>
      <c r="E41" s="419">
        <v>3</v>
      </c>
      <c r="F41" s="201">
        <v>4</v>
      </c>
      <c r="G41" s="201">
        <v>5</v>
      </c>
      <c r="H41" s="201">
        <v>6</v>
      </c>
      <c r="I41" s="420">
        <v>7</v>
      </c>
      <c r="J41" s="19"/>
      <c r="K41" s="19"/>
      <c r="L41" s="19"/>
      <c r="M41" s="19"/>
    </row>
    <row r="42" spans="1:13" outlineLevel="1" x14ac:dyDescent="0.2">
      <c r="A42" s="171"/>
      <c r="B42" s="224"/>
      <c r="C42" s="171"/>
      <c r="D42" s="112">
        <f>FirstYear</f>
        <v>0</v>
      </c>
      <c r="E42" s="112">
        <f>D42+1</f>
        <v>1</v>
      </c>
      <c r="F42" s="112">
        <f>E42+1</f>
        <v>2</v>
      </c>
      <c r="G42" s="112">
        <f>F42+1</f>
        <v>3</v>
      </c>
      <c r="H42" s="112">
        <f>G42+1</f>
        <v>4</v>
      </c>
      <c r="I42" s="112">
        <f>H42+1</f>
        <v>5</v>
      </c>
      <c r="J42" s="171"/>
      <c r="K42" s="171"/>
      <c r="L42" s="171"/>
      <c r="M42" s="176"/>
    </row>
    <row r="43" spans="1:13" outlineLevel="1" x14ac:dyDescent="0.2">
      <c r="A43" s="171"/>
      <c r="B43" s="422">
        <v>1</v>
      </c>
      <c r="C43" s="115" t="s">
        <v>104</v>
      </c>
      <c r="D43" s="396">
        <f t="shared" ref="D43:I43" si="11">INDEX(PBSScriptsNew,$B40,D41)*INDEX(DPMQCoPayNewPub,$B40,$B43)</f>
        <v>0</v>
      </c>
      <c r="E43" s="396">
        <f t="shared" si="11"/>
        <v>0</v>
      </c>
      <c r="F43" s="396">
        <f t="shared" si="11"/>
        <v>0</v>
      </c>
      <c r="G43" s="396">
        <f t="shared" si="11"/>
        <v>0</v>
      </c>
      <c r="H43" s="396">
        <f t="shared" si="11"/>
        <v>0</v>
      </c>
      <c r="I43" s="396">
        <f t="shared" si="11"/>
        <v>0</v>
      </c>
      <c r="J43" s="171"/>
      <c r="K43" s="171"/>
      <c r="L43" s="171"/>
      <c r="M43" s="176"/>
    </row>
    <row r="44" spans="1:13" outlineLevel="1" x14ac:dyDescent="0.2">
      <c r="A44" s="171"/>
      <c r="B44" s="422">
        <v>3</v>
      </c>
      <c r="C44" s="11" t="s">
        <v>129</v>
      </c>
      <c r="D44" s="396">
        <f t="shared" ref="D44:I44" si="12">INDEX(PBSScriptsNew,$B40,D41)*(INDEX(DPMQCoPayNewPub,$B40,$B44)/INDEX(CoPayCountNew,$B40))</f>
        <v>0</v>
      </c>
      <c r="E44" s="396">
        <f t="shared" si="12"/>
        <v>0</v>
      </c>
      <c r="F44" s="396">
        <f t="shared" si="12"/>
        <v>0</v>
      </c>
      <c r="G44" s="396">
        <f t="shared" si="12"/>
        <v>0</v>
      </c>
      <c r="H44" s="396">
        <f t="shared" si="12"/>
        <v>0</v>
      </c>
      <c r="I44" s="396">
        <f t="shared" si="12"/>
        <v>0</v>
      </c>
      <c r="J44" s="171"/>
      <c r="K44" s="763" t="str">
        <f>IF(B41&lt;&gt;0,MsgNote&amp;IF(B41="Yes",INDEX(CoPayMethod,1),INDEX(CoPayMethod,2)),"")</f>
        <v/>
      </c>
      <c r="L44" s="763"/>
      <c r="M44" s="763"/>
    </row>
    <row r="45" spans="1:13" outlineLevel="1" x14ac:dyDescent="0.2">
      <c r="A45" s="171"/>
      <c r="B45" s="224"/>
      <c r="C45" s="11" t="s">
        <v>106</v>
      </c>
      <c r="D45" s="396">
        <f t="shared" ref="D45:I45" si="13">D43+D44</f>
        <v>0</v>
      </c>
      <c r="E45" s="396">
        <f t="shared" si="13"/>
        <v>0</v>
      </c>
      <c r="F45" s="396">
        <f t="shared" si="13"/>
        <v>0</v>
      </c>
      <c r="G45" s="396">
        <f t="shared" si="13"/>
        <v>0</v>
      </c>
      <c r="H45" s="396">
        <f t="shared" si="13"/>
        <v>0</v>
      </c>
      <c r="I45" s="396">
        <f t="shared" si="13"/>
        <v>0</v>
      </c>
      <c r="J45" s="171"/>
      <c r="K45" s="171"/>
      <c r="L45" s="171"/>
      <c r="M45" s="176"/>
    </row>
    <row r="46" spans="1:13" outlineLevel="1" x14ac:dyDescent="0.2">
      <c r="A46" s="171"/>
      <c r="B46" s="202"/>
      <c r="C46" s="19"/>
      <c r="D46" s="19"/>
      <c r="E46" s="19"/>
      <c r="F46" s="19"/>
      <c r="G46" s="19"/>
      <c r="H46" s="19"/>
      <c r="I46" s="19"/>
      <c r="J46" s="171"/>
      <c r="K46" s="171"/>
      <c r="L46" s="171"/>
      <c r="M46" s="176"/>
    </row>
    <row r="47" spans="1:13" ht="15.75" outlineLevel="1" x14ac:dyDescent="0.2">
      <c r="A47" s="171"/>
      <c r="B47" s="202"/>
      <c r="C47" s="193"/>
      <c r="D47" s="112">
        <f>FirstYear</f>
        <v>0</v>
      </c>
      <c r="E47" s="112">
        <f>D47+1</f>
        <v>1</v>
      </c>
      <c r="F47" s="112">
        <f>E47+1</f>
        <v>2</v>
      </c>
      <c r="G47" s="112">
        <f>F47+1</f>
        <v>3</v>
      </c>
      <c r="H47" s="112">
        <f>G47+1</f>
        <v>4</v>
      </c>
      <c r="I47" s="112">
        <f>H47+1</f>
        <v>5</v>
      </c>
      <c r="J47" s="171"/>
      <c r="K47" s="171"/>
      <c r="L47" s="171"/>
      <c r="M47" s="176"/>
    </row>
    <row r="48" spans="1:13" outlineLevel="1" x14ac:dyDescent="0.2">
      <c r="A48" s="171"/>
      <c r="B48" s="422">
        <v>1</v>
      </c>
      <c r="C48" s="115" t="s">
        <v>105</v>
      </c>
      <c r="D48" s="396">
        <f t="shared" ref="D48:I48" si="14">INDEX(RPBSScriptsNew,$B40,D41)*INDEX(DPMQCoPayNewPub,$B40,$B48)</f>
        <v>0</v>
      </c>
      <c r="E48" s="396">
        <f t="shared" si="14"/>
        <v>0</v>
      </c>
      <c r="F48" s="396">
        <f t="shared" si="14"/>
        <v>0</v>
      </c>
      <c r="G48" s="396">
        <f t="shared" si="14"/>
        <v>0</v>
      </c>
      <c r="H48" s="396">
        <f t="shared" si="14"/>
        <v>0</v>
      </c>
      <c r="I48" s="396">
        <f t="shared" si="14"/>
        <v>0</v>
      </c>
      <c r="J48" s="171"/>
      <c r="K48" s="171"/>
      <c r="L48" s="171"/>
      <c r="M48" s="176"/>
    </row>
    <row r="49" spans="1:13" outlineLevel="1" x14ac:dyDescent="0.2">
      <c r="A49" s="171"/>
      <c r="B49" s="422">
        <v>4</v>
      </c>
      <c r="C49" s="11" t="s">
        <v>129</v>
      </c>
      <c r="D49" s="396">
        <f t="shared" ref="D49:I49" si="15">INDEX(RPBSScriptsNew,$B40,D41)*(INDEX(DPMQCoPayNewPub,$B40,$B49)/INDEX(CoPayCountNew,$B40))</f>
        <v>0</v>
      </c>
      <c r="E49" s="396">
        <f t="shared" si="15"/>
        <v>0</v>
      </c>
      <c r="F49" s="396">
        <f t="shared" si="15"/>
        <v>0</v>
      </c>
      <c r="G49" s="396">
        <f t="shared" si="15"/>
        <v>0</v>
      </c>
      <c r="H49" s="396">
        <f t="shared" si="15"/>
        <v>0</v>
      </c>
      <c r="I49" s="396">
        <f t="shared" si="15"/>
        <v>0</v>
      </c>
      <c r="J49" s="171"/>
      <c r="K49" s="171"/>
      <c r="L49" s="171"/>
      <c r="M49" s="176"/>
    </row>
    <row r="50" spans="1:13" outlineLevel="1" x14ac:dyDescent="0.2">
      <c r="A50" s="171"/>
      <c r="B50" s="224"/>
      <c r="C50" s="11" t="s">
        <v>107</v>
      </c>
      <c r="D50" s="396">
        <f t="shared" ref="D50:I50" si="16">D48+D49</f>
        <v>0</v>
      </c>
      <c r="E50" s="396">
        <f t="shared" si="16"/>
        <v>0</v>
      </c>
      <c r="F50" s="396">
        <f t="shared" si="16"/>
        <v>0</v>
      </c>
      <c r="G50" s="396">
        <f t="shared" si="16"/>
        <v>0</v>
      </c>
      <c r="H50" s="396">
        <f t="shared" si="16"/>
        <v>0</v>
      </c>
      <c r="I50" s="396">
        <f t="shared" si="16"/>
        <v>0</v>
      </c>
      <c r="J50" s="171"/>
      <c r="K50" s="171"/>
      <c r="L50" s="171"/>
      <c r="M50" s="176"/>
    </row>
    <row r="51" spans="1:13" x14ac:dyDescent="0.2">
      <c r="A51" s="171"/>
      <c r="B51" s="224"/>
      <c r="C51" s="19"/>
      <c r="D51" s="19"/>
      <c r="E51" s="19"/>
      <c r="F51" s="19"/>
      <c r="G51" s="19"/>
      <c r="H51" s="19"/>
      <c r="I51" s="19"/>
      <c r="J51" s="19"/>
      <c r="K51" s="19"/>
      <c r="L51" s="19"/>
      <c r="M51" s="577"/>
    </row>
    <row r="52" spans="1:13" ht="15" x14ac:dyDescent="0.2">
      <c r="A52" s="171"/>
      <c r="B52" s="423">
        <v>3</v>
      </c>
      <c r="C52" s="221" t="str">
        <f>INDEX(PBSScriptsNew,B52,1)</f>
        <v>** NOT USED **</v>
      </c>
      <c r="D52" s="207"/>
      <c r="E52" s="207"/>
      <c r="F52" s="207"/>
      <c r="G52" s="207"/>
      <c r="H52" s="207"/>
      <c r="I52" s="188"/>
      <c r="J52" s="188"/>
      <c r="K52" s="188"/>
      <c r="L52" s="782" t="str">
        <f>IF(C52&lt;&gt;MsgNotUsed,"Co-payment group " &amp; INDEX(CoPayBandMS,B52),"")</f>
        <v/>
      </c>
      <c r="M52" s="782"/>
    </row>
    <row r="53" spans="1:13" outlineLevel="1" x14ac:dyDescent="0.2">
      <c r="A53" s="171"/>
      <c r="B53" s="352">
        <f>INDEX(SANew,B52,5)</f>
        <v>0</v>
      </c>
      <c r="C53" s="20"/>
      <c r="D53" s="419">
        <v>2</v>
      </c>
      <c r="E53" s="419">
        <v>3</v>
      </c>
      <c r="F53" s="201">
        <v>4</v>
      </c>
      <c r="G53" s="201">
        <v>5</v>
      </c>
      <c r="H53" s="201">
        <v>6</v>
      </c>
      <c r="I53" s="420">
        <v>7</v>
      </c>
      <c r="J53" s="19"/>
      <c r="K53" s="19"/>
      <c r="L53" s="19"/>
      <c r="M53" s="19"/>
    </row>
    <row r="54" spans="1:13" outlineLevel="1" x14ac:dyDescent="0.2">
      <c r="A54" s="171"/>
      <c r="B54" s="224"/>
      <c r="C54" s="171"/>
      <c r="D54" s="112">
        <f>FirstYear</f>
        <v>0</v>
      </c>
      <c r="E54" s="112">
        <f>D54+1</f>
        <v>1</v>
      </c>
      <c r="F54" s="112">
        <f>E54+1</f>
        <v>2</v>
      </c>
      <c r="G54" s="112">
        <f>F54+1</f>
        <v>3</v>
      </c>
      <c r="H54" s="112">
        <f>G54+1</f>
        <v>4</v>
      </c>
      <c r="I54" s="112">
        <f>H54+1</f>
        <v>5</v>
      </c>
      <c r="J54" s="171"/>
      <c r="K54" s="171"/>
      <c r="L54" s="171"/>
      <c r="M54" s="176"/>
    </row>
    <row r="55" spans="1:13" outlineLevel="1" x14ac:dyDescent="0.2">
      <c r="A55" s="171"/>
      <c r="B55" s="422">
        <v>1</v>
      </c>
      <c r="C55" s="115" t="s">
        <v>104</v>
      </c>
      <c r="D55" s="396">
        <f t="shared" ref="D55:I55" si="17">INDEX(PBSScriptsNew,$B52,D53)*INDEX(DPMQCoPayNewPub,$B52,$B55)</f>
        <v>0</v>
      </c>
      <c r="E55" s="396">
        <f t="shared" si="17"/>
        <v>0</v>
      </c>
      <c r="F55" s="396">
        <f t="shared" si="17"/>
        <v>0</v>
      </c>
      <c r="G55" s="396">
        <f t="shared" si="17"/>
        <v>0</v>
      </c>
      <c r="H55" s="396">
        <f t="shared" si="17"/>
        <v>0</v>
      </c>
      <c r="I55" s="396">
        <f t="shared" si="17"/>
        <v>0</v>
      </c>
      <c r="J55" s="171"/>
      <c r="K55" s="171"/>
      <c r="L55" s="171"/>
      <c r="M55" s="176"/>
    </row>
    <row r="56" spans="1:13" outlineLevel="1" x14ac:dyDescent="0.2">
      <c r="A56" s="171"/>
      <c r="B56" s="422">
        <v>3</v>
      </c>
      <c r="C56" s="11" t="s">
        <v>129</v>
      </c>
      <c r="D56" s="396">
        <f t="shared" ref="D56:I56" si="18">INDEX(PBSScriptsNew,$B52,D53)*(INDEX(DPMQCoPayNewPub,$B52,$B56)/INDEX(CoPayCountNew,$B52))</f>
        <v>0</v>
      </c>
      <c r="E56" s="396">
        <f t="shared" si="18"/>
        <v>0</v>
      </c>
      <c r="F56" s="396">
        <f t="shared" si="18"/>
        <v>0</v>
      </c>
      <c r="G56" s="396">
        <f t="shared" si="18"/>
        <v>0</v>
      </c>
      <c r="H56" s="396">
        <f t="shared" si="18"/>
        <v>0</v>
      </c>
      <c r="I56" s="396">
        <f t="shared" si="18"/>
        <v>0</v>
      </c>
      <c r="J56" s="171"/>
      <c r="K56" s="763" t="str">
        <f>IF(B53&lt;&gt;0,MsgNote&amp;IF(B53="Yes",INDEX(CoPayMethod,1),INDEX(CoPayMethod,2)),"")</f>
        <v/>
      </c>
      <c r="L56" s="763"/>
      <c r="M56" s="763"/>
    </row>
    <row r="57" spans="1:13" outlineLevel="1" x14ac:dyDescent="0.2">
      <c r="A57" s="171"/>
      <c r="B57" s="224"/>
      <c r="C57" s="11" t="s">
        <v>106</v>
      </c>
      <c r="D57" s="396">
        <f t="shared" ref="D57:I57" si="19">D55+D56</f>
        <v>0</v>
      </c>
      <c r="E57" s="396">
        <f t="shared" si="19"/>
        <v>0</v>
      </c>
      <c r="F57" s="396">
        <f t="shared" si="19"/>
        <v>0</v>
      </c>
      <c r="G57" s="396">
        <f t="shared" si="19"/>
        <v>0</v>
      </c>
      <c r="H57" s="396">
        <f t="shared" si="19"/>
        <v>0</v>
      </c>
      <c r="I57" s="396">
        <f t="shared" si="19"/>
        <v>0</v>
      </c>
      <c r="J57" s="171"/>
      <c r="K57" s="171"/>
      <c r="L57" s="171"/>
      <c r="M57" s="176"/>
    </row>
    <row r="58" spans="1:13" outlineLevel="1" x14ac:dyDescent="0.2">
      <c r="A58" s="172"/>
      <c r="B58" s="202"/>
      <c r="C58" s="172"/>
      <c r="D58" s="172"/>
      <c r="E58" s="172"/>
      <c r="F58" s="172"/>
      <c r="G58" s="172"/>
      <c r="H58" s="172"/>
      <c r="I58" s="172"/>
      <c r="J58" s="172"/>
      <c r="K58" s="172"/>
      <c r="L58" s="172"/>
      <c r="M58" s="176"/>
    </row>
    <row r="59" spans="1:13" ht="15.75" outlineLevel="1" x14ac:dyDescent="0.2">
      <c r="A59" s="172"/>
      <c r="B59" s="202"/>
      <c r="C59" s="193"/>
      <c r="D59" s="112">
        <f>FirstYear</f>
        <v>0</v>
      </c>
      <c r="E59" s="112">
        <f>D59+1</f>
        <v>1</v>
      </c>
      <c r="F59" s="112">
        <f>E59+1</f>
        <v>2</v>
      </c>
      <c r="G59" s="112">
        <f>F59+1</f>
        <v>3</v>
      </c>
      <c r="H59" s="112">
        <f>G59+1</f>
        <v>4</v>
      </c>
      <c r="I59" s="112">
        <f>H59+1</f>
        <v>5</v>
      </c>
      <c r="J59" s="172"/>
      <c r="K59" s="172"/>
      <c r="L59" s="172"/>
      <c r="M59" s="176"/>
    </row>
    <row r="60" spans="1:13" outlineLevel="1" x14ac:dyDescent="0.2">
      <c r="A60" s="172"/>
      <c r="B60" s="422">
        <v>1</v>
      </c>
      <c r="C60" s="115" t="s">
        <v>105</v>
      </c>
      <c r="D60" s="396">
        <f t="shared" ref="D60:I60" si="20">INDEX(RPBSScriptsNew,$B52,D53)*INDEX(DPMQCoPayNewPub,$B52,$B60)</f>
        <v>0</v>
      </c>
      <c r="E60" s="396">
        <f t="shared" si="20"/>
        <v>0</v>
      </c>
      <c r="F60" s="396">
        <f t="shared" si="20"/>
        <v>0</v>
      </c>
      <c r="G60" s="396">
        <f t="shared" si="20"/>
        <v>0</v>
      </c>
      <c r="H60" s="396">
        <f t="shared" si="20"/>
        <v>0</v>
      </c>
      <c r="I60" s="396">
        <f t="shared" si="20"/>
        <v>0</v>
      </c>
      <c r="J60" s="172"/>
      <c r="K60" s="172"/>
      <c r="L60" s="172"/>
      <c r="M60" s="176"/>
    </row>
    <row r="61" spans="1:13" outlineLevel="1" x14ac:dyDescent="0.2">
      <c r="A61" s="172"/>
      <c r="B61" s="422">
        <v>4</v>
      </c>
      <c r="C61" s="11" t="s">
        <v>129</v>
      </c>
      <c r="D61" s="396">
        <f t="shared" ref="D61:I61" si="21">INDEX(RPBSScriptsNew,$B52,D53)*(INDEX(DPMQCoPayNewPub,$B52,$B61)/INDEX(CoPayCountNew,$B52))</f>
        <v>0</v>
      </c>
      <c r="E61" s="396">
        <f t="shared" si="21"/>
        <v>0</v>
      </c>
      <c r="F61" s="396">
        <f t="shared" si="21"/>
        <v>0</v>
      </c>
      <c r="G61" s="396">
        <f t="shared" si="21"/>
        <v>0</v>
      </c>
      <c r="H61" s="396">
        <f t="shared" si="21"/>
        <v>0</v>
      </c>
      <c r="I61" s="396">
        <f t="shared" si="21"/>
        <v>0</v>
      </c>
      <c r="J61" s="172"/>
      <c r="K61" s="172"/>
      <c r="L61" s="172"/>
      <c r="M61" s="176"/>
    </row>
    <row r="62" spans="1:13" outlineLevel="1" x14ac:dyDescent="0.2">
      <c r="A62" s="172"/>
      <c r="B62" s="202"/>
      <c r="C62" s="11" t="s">
        <v>107</v>
      </c>
      <c r="D62" s="396">
        <f t="shared" ref="D62:I62" si="22">D60+D61</f>
        <v>0</v>
      </c>
      <c r="E62" s="396">
        <f t="shared" si="22"/>
        <v>0</v>
      </c>
      <c r="F62" s="396">
        <f t="shared" si="22"/>
        <v>0</v>
      </c>
      <c r="G62" s="396">
        <f t="shared" si="22"/>
        <v>0</v>
      </c>
      <c r="H62" s="396">
        <f t="shared" si="22"/>
        <v>0</v>
      </c>
      <c r="I62" s="396">
        <f t="shared" si="22"/>
        <v>0</v>
      </c>
      <c r="J62" s="172"/>
      <c r="K62" s="172"/>
      <c r="L62" s="172"/>
      <c r="M62" s="176"/>
    </row>
    <row r="63" spans="1:13" x14ac:dyDescent="0.2">
      <c r="A63" s="171"/>
      <c r="B63" s="224"/>
      <c r="C63" s="20"/>
      <c r="D63" s="20"/>
      <c r="E63" s="20"/>
      <c r="F63" s="19"/>
      <c r="G63" s="19"/>
      <c r="H63" s="19"/>
      <c r="I63" s="19"/>
      <c r="J63" s="19"/>
      <c r="K63" s="19"/>
      <c r="L63" s="19"/>
      <c r="M63" s="577"/>
    </row>
    <row r="64" spans="1:13" ht="15" x14ac:dyDescent="0.2">
      <c r="A64" s="171"/>
      <c r="B64" s="423">
        <v>4</v>
      </c>
      <c r="C64" s="221" t="str">
        <f>INDEX(PBSScriptsNew,B64,1)</f>
        <v>** NOT USED **</v>
      </c>
      <c r="D64" s="207"/>
      <c r="E64" s="207"/>
      <c r="F64" s="207"/>
      <c r="G64" s="207"/>
      <c r="H64" s="207"/>
      <c r="I64" s="188"/>
      <c r="J64" s="188"/>
      <c r="K64" s="188"/>
      <c r="L64" s="782" t="str">
        <f>IF(C64&lt;&gt;MsgNotUsed,"Co-payment group " &amp; INDEX(CoPayBandMS,B64),"")</f>
        <v/>
      </c>
      <c r="M64" s="782"/>
    </row>
    <row r="65" spans="1:13" outlineLevel="1" x14ac:dyDescent="0.2">
      <c r="A65" s="171"/>
      <c r="B65" s="352">
        <f>INDEX(SANew,B64,5)</f>
        <v>0</v>
      </c>
      <c r="C65" s="20"/>
      <c r="D65" s="419">
        <v>2</v>
      </c>
      <c r="E65" s="419">
        <v>3</v>
      </c>
      <c r="F65" s="201">
        <v>4</v>
      </c>
      <c r="G65" s="201">
        <v>5</v>
      </c>
      <c r="H65" s="201">
        <v>6</v>
      </c>
      <c r="I65" s="420">
        <v>7</v>
      </c>
      <c r="J65" s="19"/>
      <c r="K65" s="19"/>
      <c r="L65" s="19"/>
      <c r="M65" s="19"/>
    </row>
    <row r="66" spans="1:13" outlineLevel="1" x14ac:dyDescent="0.2">
      <c r="A66" s="171"/>
      <c r="B66" s="224"/>
      <c r="C66" s="171"/>
      <c r="D66" s="112">
        <f>FirstYear</f>
        <v>0</v>
      </c>
      <c r="E66" s="112">
        <f>D66+1</f>
        <v>1</v>
      </c>
      <c r="F66" s="112">
        <f>E66+1</f>
        <v>2</v>
      </c>
      <c r="G66" s="112">
        <f>F66+1</f>
        <v>3</v>
      </c>
      <c r="H66" s="112">
        <f>G66+1</f>
        <v>4</v>
      </c>
      <c r="I66" s="112">
        <f>H66+1</f>
        <v>5</v>
      </c>
      <c r="J66" s="171"/>
      <c r="K66" s="171"/>
      <c r="L66" s="171"/>
      <c r="M66" s="176"/>
    </row>
    <row r="67" spans="1:13" outlineLevel="1" x14ac:dyDescent="0.2">
      <c r="A67" s="171"/>
      <c r="B67" s="422">
        <v>1</v>
      </c>
      <c r="C67" s="115" t="s">
        <v>104</v>
      </c>
      <c r="D67" s="396">
        <f t="shared" ref="D67:I67" si="23">INDEX(PBSScriptsNew,$B64,D65)*INDEX(DPMQCoPayNewPub,$B64,$B67)</f>
        <v>0</v>
      </c>
      <c r="E67" s="396">
        <f t="shared" si="23"/>
        <v>0</v>
      </c>
      <c r="F67" s="396">
        <f t="shared" si="23"/>
        <v>0</v>
      </c>
      <c r="G67" s="396">
        <f t="shared" si="23"/>
        <v>0</v>
      </c>
      <c r="H67" s="396">
        <f t="shared" si="23"/>
        <v>0</v>
      </c>
      <c r="I67" s="396">
        <f t="shared" si="23"/>
        <v>0</v>
      </c>
      <c r="J67" s="171"/>
      <c r="K67" s="171"/>
      <c r="L67" s="171"/>
      <c r="M67" s="176"/>
    </row>
    <row r="68" spans="1:13" outlineLevel="1" x14ac:dyDescent="0.2">
      <c r="A68" s="171"/>
      <c r="B68" s="422">
        <v>3</v>
      </c>
      <c r="C68" s="11" t="s">
        <v>129</v>
      </c>
      <c r="D68" s="396">
        <f t="shared" ref="D68:I68" si="24">INDEX(PBSScriptsNew,$B64,D65)*(INDEX(DPMQCoPayNewPub,$B64,$B68)/INDEX(CoPayCountNew,$B64))</f>
        <v>0</v>
      </c>
      <c r="E68" s="396">
        <f t="shared" si="24"/>
        <v>0</v>
      </c>
      <c r="F68" s="396">
        <f t="shared" si="24"/>
        <v>0</v>
      </c>
      <c r="G68" s="396">
        <f t="shared" si="24"/>
        <v>0</v>
      </c>
      <c r="H68" s="396">
        <f t="shared" si="24"/>
        <v>0</v>
      </c>
      <c r="I68" s="396">
        <f t="shared" si="24"/>
        <v>0</v>
      </c>
      <c r="J68" s="171"/>
      <c r="K68" s="763" t="str">
        <f>IF(B65&lt;&gt;0,MsgNote&amp;IF(B65="Yes",INDEX(CoPayMethod,1),INDEX(CoPayMethod,2)),"")</f>
        <v/>
      </c>
      <c r="L68" s="763"/>
      <c r="M68" s="763"/>
    </row>
    <row r="69" spans="1:13" outlineLevel="1" x14ac:dyDescent="0.2">
      <c r="A69" s="171"/>
      <c r="B69" s="224"/>
      <c r="C69" s="11" t="s">
        <v>106</v>
      </c>
      <c r="D69" s="396">
        <f t="shared" ref="D69:I69" si="25">D67+D68</f>
        <v>0</v>
      </c>
      <c r="E69" s="396">
        <f t="shared" si="25"/>
        <v>0</v>
      </c>
      <c r="F69" s="396">
        <f t="shared" si="25"/>
        <v>0</v>
      </c>
      <c r="G69" s="396">
        <f t="shared" si="25"/>
        <v>0</v>
      </c>
      <c r="H69" s="396">
        <f t="shared" si="25"/>
        <v>0</v>
      </c>
      <c r="I69" s="396">
        <f t="shared" si="25"/>
        <v>0</v>
      </c>
      <c r="J69" s="171"/>
      <c r="K69" s="171"/>
      <c r="L69" s="171"/>
      <c r="M69" s="176"/>
    </row>
    <row r="70" spans="1:13" outlineLevel="1" x14ac:dyDescent="0.2">
      <c r="A70" s="171"/>
      <c r="B70" s="202"/>
      <c r="C70" s="19"/>
      <c r="D70" s="19"/>
      <c r="E70" s="19"/>
      <c r="F70" s="19"/>
      <c r="G70" s="19"/>
      <c r="H70" s="19"/>
      <c r="I70" s="19"/>
      <c r="J70" s="19"/>
      <c r="K70" s="19"/>
      <c r="L70" s="19"/>
      <c r="M70" s="51"/>
    </row>
    <row r="71" spans="1:13" ht="15.75" outlineLevel="1" x14ac:dyDescent="0.2">
      <c r="A71" s="171"/>
      <c r="B71" s="202"/>
      <c r="C71" s="193"/>
      <c r="D71" s="112">
        <f>FirstYear</f>
        <v>0</v>
      </c>
      <c r="E71" s="112">
        <f>D71+1</f>
        <v>1</v>
      </c>
      <c r="F71" s="112">
        <f>E71+1</f>
        <v>2</v>
      </c>
      <c r="G71" s="112">
        <f>F71+1</f>
        <v>3</v>
      </c>
      <c r="H71" s="112">
        <f>G71+1</f>
        <v>4</v>
      </c>
      <c r="I71" s="112">
        <f>H71+1</f>
        <v>5</v>
      </c>
      <c r="J71" s="19"/>
      <c r="K71" s="19"/>
      <c r="L71" s="19"/>
      <c r="M71" s="51"/>
    </row>
    <row r="72" spans="1:13" outlineLevel="1" x14ac:dyDescent="0.2">
      <c r="A72" s="171"/>
      <c r="B72" s="422">
        <v>1</v>
      </c>
      <c r="C72" s="115" t="s">
        <v>105</v>
      </c>
      <c r="D72" s="396">
        <f t="shared" ref="D72:I72" si="26">INDEX(RPBSScriptsNew,$B64,D65)*INDEX(DPMQCoPayNewPub,$B64,$B72)</f>
        <v>0</v>
      </c>
      <c r="E72" s="396">
        <f t="shared" si="26"/>
        <v>0</v>
      </c>
      <c r="F72" s="396">
        <f t="shared" si="26"/>
        <v>0</v>
      </c>
      <c r="G72" s="396">
        <f t="shared" si="26"/>
        <v>0</v>
      </c>
      <c r="H72" s="396">
        <f t="shared" si="26"/>
        <v>0</v>
      </c>
      <c r="I72" s="396">
        <f t="shared" si="26"/>
        <v>0</v>
      </c>
      <c r="J72" s="19"/>
      <c r="K72" s="19"/>
      <c r="L72" s="19"/>
      <c r="M72" s="51"/>
    </row>
    <row r="73" spans="1:13" outlineLevel="1" x14ac:dyDescent="0.2">
      <c r="A73" s="171"/>
      <c r="B73" s="422">
        <v>4</v>
      </c>
      <c r="C73" s="11" t="s">
        <v>129</v>
      </c>
      <c r="D73" s="396">
        <f t="shared" ref="D73:I73" si="27">INDEX(RPBSScriptsNew,$B64,D65)*(INDEX(DPMQCoPayNewPub,$B64,$B73)/INDEX(CoPayCountNew,$B64))</f>
        <v>0</v>
      </c>
      <c r="E73" s="396">
        <f t="shared" si="27"/>
        <v>0</v>
      </c>
      <c r="F73" s="396">
        <f t="shared" si="27"/>
        <v>0</v>
      </c>
      <c r="G73" s="396">
        <f t="shared" si="27"/>
        <v>0</v>
      </c>
      <c r="H73" s="396">
        <f t="shared" si="27"/>
        <v>0</v>
      </c>
      <c r="I73" s="396">
        <f t="shared" si="27"/>
        <v>0</v>
      </c>
      <c r="J73" s="19"/>
      <c r="K73" s="19"/>
      <c r="L73" s="19"/>
      <c r="M73" s="51"/>
    </row>
    <row r="74" spans="1:13" outlineLevel="1" x14ac:dyDescent="0.2">
      <c r="A74" s="171"/>
      <c r="B74" s="224"/>
      <c r="C74" s="11" t="s">
        <v>107</v>
      </c>
      <c r="D74" s="396">
        <f t="shared" ref="D74:I74" si="28">D72+D73</f>
        <v>0</v>
      </c>
      <c r="E74" s="396">
        <f t="shared" si="28"/>
        <v>0</v>
      </c>
      <c r="F74" s="396">
        <f t="shared" si="28"/>
        <v>0</v>
      </c>
      <c r="G74" s="396">
        <f t="shared" si="28"/>
        <v>0</v>
      </c>
      <c r="H74" s="396">
        <f t="shared" si="28"/>
        <v>0</v>
      </c>
      <c r="I74" s="396">
        <f t="shared" si="28"/>
        <v>0</v>
      </c>
      <c r="J74" s="19"/>
      <c r="K74" s="19"/>
      <c r="L74" s="19"/>
      <c r="M74" s="51"/>
    </row>
    <row r="75" spans="1:13" x14ac:dyDescent="0.2">
      <c r="A75" s="171"/>
      <c r="B75" s="224"/>
      <c r="C75" s="20"/>
      <c r="D75" s="20"/>
      <c r="E75" s="20"/>
      <c r="F75" s="19"/>
      <c r="G75" s="19"/>
      <c r="H75" s="19"/>
      <c r="I75" s="19"/>
      <c r="J75" s="19"/>
      <c r="K75" s="19"/>
      <c r="L75" s="19"/>
      <c r="M75" s="577"/>
    </row>
    <row r="76" spans="1:13" ht="15" x14ac:dyDescent="0.2">
      <c r="A76" s="171"/>
      <c r="B76" s="423">
        <v>5</v>
      </c>
      <c r="C76" s="221" t="str">
        <f>INDEX(PBSScriptsNew,B76,1)</f>
        <v>** NOT USED **</v>
      </c>
      <c r="D76" s="207"/>
      <c r="E76" s="207"/>
      <c r="F76" s="207"/>
      <c r="G76" s="207"/>
      <c r="H76" s="207"/>
      <c r="I76" s="188"/>
      <c r="J76" s="188"/>
      <c r="K76" s="188"/>
      <c r="L76" s="782" t="str">
        <f>IF(C76&lt;&gt;MsgNotUsed,"Co-payment group " &amp; INDEX(CoPayBandMS,B76),"")</f>
        <v/>
      </c>
      <c r="M76" s="782"/>
    </row>
    <row r="77" spans="1:13" outlineLevel="1" x14ac:dyDescent="0.2">
      <c r="A77" s="171"/>
      <c r="B77" s="352">
        <f>INDEX(SANew,B76,5)</f>
        <v>0</v>
      </c>
      <c r="C77" s="20"/>
      <c r="D77" s="419">
        <v>2</v>
      </c>
      <c r="E77" s="419">
        <v>3</v>
      </c>
      <c r="F77" s="201">
        <v>4</v>
      </c>
      <c r="G77" s="201">
        <v>5</v>
      </c>
      <c r="H77" s="201">
        <v>6</v>
      </c>
      <c r="I77" s="420">
        <v>7</v>
      </c>
      <c r="J77" s="19"/>
      <c r="K77" s="19"/>
      <c r="L77" s="19"/>
      <c r="M77" s="19"/>
    </row>
    <row r="78" spans="1:13" outlineLevel="1" x14ac:dyDescent="0.2">
      <c r="A78" s="171"/>
      <c r="B78" s="224"/>
      <c r="C78" s="171"/>
      <c r="D78" s="112">
        <f>FirstYear</f>
        <v>0</v>
      </c>
      <c r="E78" s="112">
        <f>D78+1</f>
        <v>1</v>
      </c>
      <c r="F78" s="112">
        <f>E78+1</f>
        <v>2</v>
      </c>
      <c r="G78" s="112">
        <f>F78+1</f>
        <v>3</v>
      </c>
      <c r="H78" s="112">
        <f>G78+1</f>
        <v>4</v>
      </c>
      <c r="I78" s="112">
        <f>H78+1</f>
        <v>5</v>
      </c>
      <c r="J78" s="171"/>
      <c r="K78" s="171"/>
      <c r="L78" s="171"/>
      <c r="M78" s="176"/>
    </row>
    <row r="79" spans="1:13" outlineLevel="1" x14ac:dyDescent="0.2">
      <c r="A79" s="171"/>
      <c r="B79" s="422">
        <v>1</v>
      </c>
      <c r="C79" s="115" t="s">
        <v>104</v>
      </c>
      <c r="D79" s="396">
        <f t="shared" ref="D79:I79" si="29">INDEX(PBSScriptsNew,$B76,D77)*INDEX(DPMQCoPayNewPub,$B76,$B79)</f>
        <v>0</v>
      </c>
      <c r="E79" s="396">
        <f t="shared" si="29"/>
        <v>0</v>
      </c>
      <c r="F79" s="396">
        <f t="shared" si="29"/>
        <v>0</v>
      </c>
      <c r="G79" s="396">
        <f t="shared" si="29"/>
        <v>0</v>
      </c>
      <c r="H79" s="396">
        <f t="shared" si="29"/>
        <v>0</v>
      </c>
      <c r="I79" s="396">
        <f t="shared" si="29"/>
        <v>0</v>
      </c>
      <c r="J79" s="171"/>
      <c r="K79" s="171"/>
      <c r="L79" s="171"/>
      <c r="M79" s="176"/>
    </row>
    <row r="80" spans="1:13" outlineLevel="1" x14ac:dyDescent="0.2">
      <c r="A80" s="171"/>
      <c r="B80" s="422">
        <v>3</v>
      </c>
      <c r="C80" s="11" t="s">
        <v>129</v>
      </c>
      <c r="D80" s="396">
        <f t="shared" ref="D80:I80" si="30">INDEX(PBSScriptsNew,$B76,D77)*(INDEX(DPMQCoPayNewPub,$B76,$B80)/INDEX(CoPayCountNew,$B76))</f>
        <v>0</v>
      </c>
      <c r="E80" s="396">
        <f t="shared" si="30"/>
        <v>0</v>
      </c>
      <c r="F80" s="396">
        <f t="shared" si="30"/>
        <v>0</v>
      </c>
      <c r="G80" s="396">
        <f t="shared" si="30"/>
        <v>0</v>
      </c>
      <c r="H80" s="396">
        <f t="shared" si="30"/>
        <v>0</v>
      </c>
      <c r="I80" s="396">
        <f t="shared" si="30"/>
        <v>0</v>
      </c>
      <c r="J80" s="171"/>
      <c r="K80" s="763" t="str">
        <f>IF(B77&lt;&gt;0,MsgNote&amp;IF(B77="Yes",INDEX(CoPayMethod,1),INDEX(CoPayMethod,2)),"")</f>
        <v/>
      </c>
      <c r="L80" s="763"/>
      <c r="M80" s="763"/>
    </row>
    <row r="81" spans="1:13" outlineLevel="1" x14ac:dyDescent="0.2">
      <c r="A81" s="171"/>
      <c r="B81" s="224"/>
      <c r="C81" s="11" t="s">
        <v>106</v>
      </c>
      <c r="D81" s="396">
        <f t="shared" ref="D81:I81" si="31">D79+D80</f>
        <v>0</v>
      </c>
      <c r="E81" s="396">
        <f t="shared" si="31"/>
        <v>0</v>
      </c>
      <c r="F81" s="396">
        <f t="shared" si="31"/>
        <v>0</v>
      </c>
      <c r="G81" s="396">
        <f t="shared" si="31"/>
        <v>0</v>
      </c>
      <c r="H81" s="396">
        <f t="shared" si="31"/>
        <v>0</v>
      </c>
      <c r="I81" s="396">
        <f t="shared" si="31"/>
        <v>0</v>
      </c>
      <c r="J81" s="171"/>
      <c r="K81" s="19"/>
      <c r="L81" s="19"/>
      <c r="M81" s="51"/>
    </row>
    <row r="82" spans="1:13" outlineLevel="1" x14ac:dyDescent="0.2">
      <c r="A82" s="171"/>
      <c r="B82" s="202"/>
      <c r="C82" s="20"/>
      <c r="D82" s="20"/>
      <c r="E82" s="20"/>
      <c r="F82" s="19"/>
      <c r="G82" s="19"/>
      <c r="H82" s="19"/>
      <c r="I82" s="19"/>
      <c r="J82" s="19"/>
      <c r="K82" s="19"/>
      <c r="L82" s="19"/>
      <c r="M82" s="51"/>
    </row>
    <row r="83" spans="1:13" ht="15.75" outlineLevel="1" x14ac:dyDescent="0.2">
      <c r="A83" s="171"/>
      <c r="B83" s="202"/>
      <c r="C83" s="193"/>
      <c r="D83" s="112">
        <f>FirstYear</f>
        <v>0</v>
      </c>
      <c r="E83" s="112">
        <f>D83+1</f>
        <v>1</v>
      </c>
      <c r="F83" s="112">
        <f>E83+1</f>
        <v>2</v>
      </c>
      <c r="G83" s="112">
        <f>F83+1</f>
        <v>3</v>
      </c>
      <c r="H83" s="112">
        <f>G83+1</f>
        <v>4</v>
      </c>
      <c r="I83" s="112">
        <f>H83+1</f>
        <v>5</v>
      </c>
      <c r="J83" s="19"/>
      <c r="K83" s="19"/>
      <c r="L83" s="19"/>
      <c r="M83" s="51"/>
    </row>
    <row r="84" spans="1:13" outlineLevel="1" x14ac:dyDescent="0.2">
      <c r="A84" s="171"/>
      <c r="B84" s="422">
        <v>1</v>
      </c>
      <c r="C84" s="115" t="s">
        <v>105</v>
      </c>
      <c r="D84" s="396">
        <f t="shared" ref="D84:I84" si="32">INDEX(RPBSScriptsNew,$B76,D77)*INDEX(DPMQCoPayNewPub,$B76,$B84)</f>
        <v>0</v>
      </c>
      <c r="E84" s="396">
        <f t="shared" si="32"/>
        <v>0</v>
      </c>
      <c r="F84" s="396">
        <f t="shared" si="32"/>
        <v>0</v>
      </c>
      <c r="G84" s="396">
        <f t="shared" si="32"/>
        <v>0</v>
      </c>
      <c r="H84" s="396">
        <f t="shared" si="32"/>
        <v>0</v>
      </c>
      <c r="I84" s="396">
        <f t="shared" si="32"/>
        <v>0</v>
      </c>
      <c r="J84" s="19"/>
      <c r="K84" s="19"/>
      <c r="L84" s="19"/>
      <c r="M84" s="51"/>
    </row>
    <row r="85" spans="1:13" outlineLevel="1" x14ac:dyDescent="0.2">
      <c r="A85" s="171"/>
      <c r="B85" s="422">
        <v>4</v>
      </c>
      <c r="C85" s="11" t="s">
        <v>129</v>
      </c>
      <c r="D85" s="396">
        <f t="shared" ref="D85:I85" si="33">INDEX(RPBSScriptsNew,$B76,D77)*(INDEX(DPMQCoPayNewPub,$B76,$B85)/INDEX(CoPayCountNew,$B76))</f>
        <v>0</v>
      </c>
      <c r="E85" s="396">
        <f t="shared" si="33"/>
        <v>0</v>
      </c>
      <c r="F85" s="396">
        <f t="shared" si="33"/>
        <v>0</v>
      </c>
      <c r="G85" s="396">
        <f t="shared" si="33"/>
        <v>0</v>
      </c>
      <c r="H85" s="396">
        <f t="shared" si="33"/>
        <v>0</v>
      </c>
      <c r="I85" s="396">
        <f t="shared" si="33"/>
        <v>0</v>
      </c>
      <c r="J85" s="19"/>
      <c r="K85" s="19"/>
      <c r="L85" s="19"/>
      <c r="M85" s="51"/>
    </row>
    <row r="86" spans="1:13" outlineLevel="1" x14ac:dyDescent="0.2">
      <c r="A86" s="171"/>
      <c r="B86" s="224"/>
      <c r="C86" s="11" t="s">
        <v>107</v>
      </c>
      <c r="D86" s="396">
        <f t="shared" ref="D86:I86" si="34">D84+D85</f>
        <v>0</v>
      </c>
      <c r="E86" s="396">
        <f t="shared" si="34"/>
        <v>0</v>
      </c>
      <c r="F86" s="396">
        <f t="shared" si="34"/>
        <v>0</v>
      </c>
      <c r="G86" s="396">
        <f t="shared" si="34"/>
        <v>0</v>
      </c>
      <c r="H86" s="396">
        <f t="shared" si="34"/>
        <v>0</v>
      </c>
      <c r="I86" s="396">
        <f t="shared" si="34"/>
        <v>0</v>
      </c>
      <c r="J86" s="19"/>
      <c r="K86" s="19"/>
      <c r="L86" s="19"/>
      <c r="M86" s="51"/>
    </row>
    <row r="87" spans="1:13" x14ac:dyDescent="0.2">
      <c r="A87" s="171"/>
      <c r="B87" s="224"/>
      <c r="C87" s="171"/>
      <c r="D87" s="171"/>
      <c r="E87" s="171"/>
      <c r="F87" s="171"/>
      <c r="G87" s="171"/>
      <c r="H87" s="171"/>
      <c r="I87" s="171"/>
      <c r="J87" s="171"/>
      <c r="K87" s="171"/>
      <c r="L87" s="171"/>
      <c r="M87" s="577"/>
    </row>
    <row r="88" spans="1:13" ht="15" x14ac:dyDescent="0.2">
      <c r="A88" s="171"/>
      <c r="B88" s="423">
        <v>6</v>
      </c>
      <c r="C88" s="221" t="str">
        <f>INDEX(PBSScriptsNew,B88,1)</f>
        <v>** NOT USED **</v>
      </c>
      <c r="D88" s="207"/>
      <c r="E88" s="207"/>
      <c r="F88" s="207"/>
      <c r="G88" s="207"/>
      <c r="H88" s="207"/>
      <c r="I88" s="188"/>
      <c r="J88" s="188"/>
      <c r="K88" s="188"/>
      <c r="L88" s="782" t="str">
        <f>IF(C88&lt;&gt;MsgNotUsed,"Co-payment group " &amp; INDEX(CoPayBandMS,B88),"")</f>
        <v/>
      </c>
      <c r="M88" s="782"/>
    </row>
    <row r="89" spans="1:13" outlineLevel="1" x14ac:dyDescent="0.2">
      <c r="A89" s="171"/>
      <c r="B89" s="352">
        <f>INDEX(SANew,B88,5)</f>
        <v>0</v>
      </c>
      <c r="C89" s="20"/>
      <c r="D89" s="419">
        <v>2</v>
      </c>
      <c r="E89" s="419">
        <v>3</v>
      </c>
      <c r="F89" s="201">
        <v>4</v>
      </c>
      <c r="G89" s="201">
        <v>5</v>
      </c>
      <c r="H89" s="201">
        <v>6</v>
      </c>
      <c r="I89" s="420">
        <v>7</v>
      </c>
      <c r="J89" s="19"/>
      <c r="K89" s="19"/>
      <c r="L89" s="19"/>
      <c r="M89" s="19"/>
    </row>
    <row r="90" spans="1:13" outlineLevel="1" x14ac:dyDescent="0.2">
      <c r="A90" s="171"/>
      <c r="B90" s="224"/>
      <c r="C90" s="171"/>
      <c r="D90" s="112">
        <f>FirstYear</f>
        <v>0</v>
      </c>
      <c r="E90" s="112">
        <f>D90+1</f>
        <v>1</v>
      </c>
      <c r="F90" s="112">
        <f>E90+1</f>
        <v>2</v>
      </c>
      <c r="G90" s="112">
        <f>F90+1</f>
        <v>3</v>
      </c>
      <c r="H90" s="112">
        <f>G90+1</f>
        <v>4</v>
      </c>
      <c r="I90" s="112">
        <f>H90+1</f>
        <v>5</v>
      </c>
      <c r="J90" s="171"/>
      <c r="K90" s="171"/>
      <c r="L90" s="171"/>
      <c r="M90" s="176"/>
    </row>
    <row r="91" spans="1:13" outlineLevel="1" x14ac:dyDescent="0.2">
      <c r="A91" s="171"/>
      <c r="B91" s="422">
        <v>1</v>
      </c>
      <c r="C91" s="115" t="s">
        <v>104</v>
      </c>
      <c r="D91" s="396">
        <f t="shared" ref="D91:I91" si="35">INDEX(PBSScriptsNew,$B88,D89)*INDEX(DPMQCoPayNewPub,$B88,$B91)</f>
        <v>0</v>
      </c>
      <c r="E91" s="396">
        <f t="shared" si="35"/>
        <v>0</v>
      </c>
      <c r="F91" s="396">
        <f t="shared" si="35"/>
        <v>0</v>
      </c>
      <c r="G91" s="396">
        <f t="shared" si="35"/>
        <v>0</v>
      </c>
      <c r="H91" s="396">
        <f t="shared" si="35"/>
        <v>0</v>
      </c>
      <c r="I91" s="396">
        <f t="shared" si="35"/>
        <v>0</v>
      </c>
      <c r="J91" s="171"/>
      <c r="K91" s="171"/>
      <c r="L91" s="171"/>
      <c r="M91" s="176"/>
    </row>
    <row r="92" spans="1:13" outlineLevel="1" x14ac:dyDescent="0.2">
      <c r="A92" s="171"/>
      <c r="B92" s="422">
        <v>3</v>
      </c>
      <c r="C92" s="11" t="s">
        <v>129</v>
      </c>
      <c r="D92" s="396">
        <f t="shared" ref="D92:I92" si="36">INDEX(PBSScriptsNew,$B88,D89)*(INDEX(DPMQCoPayNewPub,$B88,$B92)/INDEX(CoPayCountNew,$B88))</f>
        <v>0</v>
      </c>
      <c r="E92" s="396">
        <f t="shared" si="36"/>
        <v>0</v>
      </c>
      <c r="F92" s="396">
        <f t="shared" si="36"/>
        <v>0</v>
      </c>
      <c r="G92" s="396">
        <f t="shared" si="36"/>
        <v>0</v>
      </c>
      <c r="H92" s="396">
        <f t="shared" si="36"/>
        <v>0</v>
      </c>
      <c r="I92" s="396">
        <f t="shared" si="36"/>
        <v>0</v>
      </c>
      <c r="J92" s="171"/>
      <c r="K92" s="763" t="str">
        <f>IF(B89&lt;&gt;0,MsgNote&amp;IF(B89="Yes",INDEX(CoPayMethod,1),INDEX(CoPayMethod,2)),"")</f>
        <v/>
      </c>
      <c r="L92" s="763"/>
      <c r="M92" s="763"/>
    </row>
    <row r="93" spans="1:13" outlineLevel="1" x14ac:dyDescent="0.2">
      <c r="A93" s="171"/>
      <c r="B93" s="224"/>
      <c r="C93" s="11" t="s">
        <v>106</v>
      </c>
      <c r="D93" s="396">
        <f t="shared" ref="D93:I93" si="37">D91+D92</f>
        <v>0</v>
      </c>
      <c r="E93" s="396">
        <f t="shared" si="37"/>
        <v>0</v>
      </c>
      <c r="F93" s="396">
        <f t="shared" si="37"/>
        <v>0</v>
      </c>
      <c r="G93" s="396">
        <f t="shared" si="37"/>
        <v>0</v>
      </c>
      <c r="H93" s="396">
        <f t="shared" si="37"/>
        <v>0</v>
      </c>
      <c r="I93" s="396">
        <f t="shared" si="37"/>
        <v>0</v>
      </c>
      <c r="J93" s="171"/>
      <c r="K93" s="171"/>
      <c r="L93" s="171"/>
      <c r="M93" s="176"/>
    </row>
    <row r="94" spans="1:13" outlineLevel="1" x14ac:dyDescent="0.2">
      <c r="A94" s="171"/>
      <c r="B94" s="202"/>
      <c r="C94" s="171"/>
      <c r="D94" s="171"/>
      <c r="E94" s="171"/>
      <c r="F94" s="171"/>
      <c r="G94" s="171"/>
      <c r="H94" s="171"/>
      <c r="I94" s="171"/>
      <c r="J94" s="171"/>
      <c r="K94" s="171"/>
      <c r="L94" s="171"/>
      <c r="M94" s="176"/>
    </row>
    <row r="95" spans="1:13" ht="15.75" outlineLevel="1" x14ac:dyDescent="0.2">
      <c r="A95" s="171"/>
      <c r="B95" s="202"/>
      <c r="C95" s="193"/>
      <c r="D95" s="112">
        <f>FirstYear</f>
        <v>0</v>
      </c>
      <c r="E95" s="112">
        <f>D95+1</f>
        <v>1</v>
      </c>
      <c r="F95" s="112">
        <f>E95+1</f>
        <v>2</v>
      </c>
      <c r="G95" s="112">
        <f>F95+1</f>
        <v>3</v>
      </c>
      <c r="H95" s="112">
        <f>G95+1</f>
        <v>4</v>
      </c>
      <c r="I95" s="112">
        <f>H95+1</f>
        <v>5</v>
      </c>
      <c r="J95" s="171"/>
      <c r="K95" s="171"/>
      <c r="L95" s="171"/>
      <c r="M95" s="176"/>
    </row>
    <row r="96" spans="1:13" outlineLevel="1" x14ac:dyDescent="0.2">
      <c r="A96" s="171"/>
      <c r="B96" s="422">
        <v>1</v>
      </c>
      <c r="C96" s="115" t="s">
        <v>105</v>
      </c>
      <c r="D96" s="396">
        <f t="shared" ref="D96:I96" si="38">INDEX(RPBSScriptsNew,$B88,D89)*INDEX(DPMQCoPayNewPub,$B88,$B96)</f>
        <v>0</v>
      </c>
      <c r="E96" s="396">
        <f t="shared" si="38"/>
        <v>0</v>
      </c>
      <c r="F96" s="396">
        <f t="shared" si="38"/>
        <v>0</v>
      </c>
      <c r="G96" s="396">
        <f t="shared" si="38"/>
        <v>0</v>
      </c>
      <c r="H96" s="396">
        <f t="shared" si="38"/>
        <v>0</v>
      </c>
      <c r="I96" s="396">
        <f t="shared" si="38"/>
        <v>0</v>
      </c>
      <c r="J96" s="171"/>
      <c r="K96" s="171"/>
      <c r="L96" s="171"/>
      <c r="M96" s="176"/>
    </row>
    <row r="97" spans="1:13" outlineLevel="1" x14ac:dyDescent="0.2">
      <c r="A97" s="171"/>
      <c r="B97" s="422">
        <v>4</v>
      </c>
      <c r="C97" s="11" t="s">
        <v>129</v>
      </c>
      <c r="D97" s="396">
        <f t="shared" ref="D97:I97" si="39">INDEX(RPBSScriptsNew,$B88,D89)*(INDEX(DPMQCoPayNewPub,$B88,$B97)/INDEX(CoPayCountNew,$B88))</f>
        <v>0</v>
      </c>
      <c r="E97" s="396">
        <f t="shared" si="39"/>
        <v>0</v>
      </c>
      <c r="F97" s="396">
        <f t="shared" si="39"/>
        <v>0</v>
      </c>
      <c r="G97" s="396">
        <f t="shared" si="39"/>
        <v>0</v>
      </c>
      <c r="H97" s="396">
        <f t="shared" si="39"/>
        <v>0</v>
      </c>
      <c r="I97" s="396">
        <f t="shared" si="39"/>
        <v>0</v>
      </c>
      <c r="J97" s="171"/>
      <c r="K97" s="171"/>
      <c r="L97" s="171"/>
      <c r="M97" s="176"/>
    </row>
    <row r="98" spans="1:13" outlineLevel="1" x14ac:dyDescent="0.2">
      <c r="A98" s="171"/>
      <c r="B98" s="224"/>
      <c r="C98" s="11" t="s">
        <v>107</v>
      </c>
      <c r="D98" s="396">
        <f t="shared" ref="D98:I98" si="40">D96+D97</f>
        <v>0</v>
      </c>
      <c r="E98" s="396">
        <f t="shared" si="40"/>
        <v>0</v>
      </c>
      <c r="F98" s="396">
        <f t="shared" si="40"/>
        <v>0</v>
      </c>
      <c r="G98" s="396">
        <f t="shared" si="40"/>
        <v>0</v>
      </c>
      <c r="H98" s="396">
        <f t="shared" si="40"/>
        <v>0</v>
      </c>
      <c r="I98" s="396">
        <f t="shared" si="40"/>
        <v>0</v>
      </c>
      <c r="J98" s="171"/>
      <c r="K98" s="171"/>
      <c r="L98" s="171"/>
      <c r="M98" s="176"/>
    </row>
    <row r="99" spans="1:13" x14ac:dyDescent="0.2">
      <c r="A99" s="171"/>
      <c r="B99" s="224"/>
      <c r="C99" s="171"/>
      <c r="D99" s="171"/>
      <c r="E99" s="171"/>
      <c r="F99" s="171"/>
      <c r="G99" s="171"/>
      <c r="H99" s="171"/>
      <c r="I99" s="171"/>
      <c r="J99" s="171"/>
      <c r="K99" s="171"/>
      <c r="L99" s="171"/>
      <c r="M99" s="577"/>
    </row>
    <row r="100" spans="1:13" ht="15" x14ac:dyDescent="0.2">
      <c r="A100" s="171"/>
      <c r="B100" s="423">
        <v>7</v>
      </c>
      <c r="C100" s="221" t="str">
        <f>INDEX(PBSScriptsNew,B100,1)</f>
        <v>** NOT USED **</v>
      </c>
      <c r="D100" s="207"/>
      <c r="E100" s="207"/>
      <c r="F100" s="207"/>
      <c r="G100" s="207"/>
      <c r="H100" s="207"/>
      <c r="I100" s="188"/>
      <c r="J100" s="188"/>
      <c r="K100" s="188"/>
      <c r="L100" s="782" t="str">
        <f>IF(C100&lt;&gt;MsgNotUsed,"Co-payment group " &amp; INDEX(CoPayBandMS,B100),"")</f>
        <v/>
      </c>
      <c r="M100" s="782"/>
    </row>
    <row r="101" spans="1:13" outlineLevel="1" x14ac:dyDescent="0.2">
      <c r="A101" s="171"/>
      <c r="B101" s="352">
        <f>INDEX(SANew,B100,5)</f>
        <v>0</v>
      </c>
      <c r="C101" s="20"/>
      <c r="D101" s="419">
        <v>2</v>
      </c>
      <c r="E101" s="419">
        <v>3</v>
      </c>
      <c r="F101" s="201">
        <v>4</v>
      </c>
      <c r="G101" s="201">
        <v>5</v>
      </c>
      <c r="H101" s="201">
        <v>6</v>
      </c>
      <c r="I101" s="420">
        <v>7</v>
      </c>
      <c r="J101" s="19"/>
      <c r="K101" s="19"/>
      <c r="L101" s="19"/>
      <c r="M101" s="19"/>
    </row>
    <row r="102" spans="1:13" outlineLevel="1" x14ac:dyDescent="0.2">
      <c r="A102" s="171"/>
      <c r="B102" s="224"/>
      <c r="C102" s="171"/>
      <c r="D102" s="112">
        <f>FirstYear</f>
        <v>0</v>
      </c>
      <c r="E102" s="112">
        <f>D102+1</f>
        <v>1</v>
      </c>
      <c r="F102" s="112">
        <f>E102+1</f>
        <v>2</v>
      </c>
      <c r="G102" s="112">
        <f>F102+1</f>
        <v>3</v>
      </c>
      <c r="H102" s="112">
        <f>G102+1</f>
        <v>4</v>
      </c>
      <c r="I102" s="112">
        <f>H102+1</f>
        <v>5</v>
      </c>
      <c r="J102" s="171"/>
      <c r="K102" s="171"/>
      <c r="L102" s="171"/>
      <c r="M102" s="176"/>
    </row>
    <row r="103" spans="1:13" outlineLevel="1" x14ac:dyDescent="0.2">
      <c r="A103" s="171"/>
      <c r="B103" s="422">
        <v>1</v>
      </c>
      <c r="C103" s="115" t="s">
        <v>104</v>
      </c>
      <c r="D103" s="396">
        <f t="shared" ref="D103:I103" si="41">INDEX(PBSScriptsNew,$B100,D101)*INDEX(DPMQCoPayNewPub,$B100,$B103)</f>
        <v>0</v>
      </c>
      <c r="E103" s="396">
        <f t="shared" si="41"/>
        <v>0</v>
      </c>
      <c r="F103" s="396">
        <f t="shared" si="41"/>
        <v>0</v>
      </c>
      <c r="G103" s="396">
        <f t="shared" si="41"/>
        <v>0</v>
      </c>
      <c r="H103" s="396">
        <f t="shared" si="41"/>
        <v>0</v>
      </c>
      <c r="I103" s="396">
        <f t="shared" si="41"/>
        <v>0</v>
      </c>
      <c r="J103" s="171"/>
      <c r="K103" s="171"/>
      <c r="L103" s="171"/>
      <c r="M103" s="176"/>
    </row>
    <row r="104" spans="1:13" outlineLevel="1" x14ac:dyDescent="0.2">
      <c r="A104" s="171"/>
      <c r="B104" s="422">
        <v>3</v>
      </c>
      <c r="C104" s="11" t="s">
        <v>129</v>
      </c>
      <c r="D104" s="396">
        <f t="shared" ref="D104:I104" si="42">INDEX(PBSScriptsNew,$B100,D101)*(INDEX(DPMQCoPayNewPub,$B100,$B104)/INDEX(CoPayCountNew,$B100))</f>
        <v>0</v>
      </c>
      <c r="E104" s="396">
        <f t="shared" si="42"/>
        <v>0</v>
      </c>
      <c r="F104" s="396">
        <f t="shared" si="42"/>
        <v>0</v>
      </c>
      <c r="G104" s="396">
        <f t="shared" si="42"/>
        <v>0</v>
      </c>
      <c r="H104" s="396">
        <f t="shared" si="42"/>
        <v>0</v>
      </c>
      <c r="I104" s="396">
        <f t="shared" si="42"/>
        <v>0</v>
      </c>
      <c r="J104" s="171"/>
      <c r="K104" s="763" t="str">
        <f>IF(B101&lt;&gt;0,MsgNote&amp;IF(B101="Yes",INDEX(CoPayMethod,1),INDEX(CoPayMethod,2)),"")</f>
        <v/>
      </c>
      <c r="L104" s="763"/>
      <c r="M104" s="763"/>
    </row>
    <row r="105" spans="1:13" outlineLevel="1" x14ac:dyDescent="0.2">
      <c r="A105" s="171"/>
      <c r="B105" s="224"/>
      <c r="C105" s="11" t="s">
        <v>106</v>
      </c>
      <c r="D105" s="396">
        <f t="shared" ref="D105:I105" si="43">D103+D104</f>
        <v>0</v>
      </c>
      <c r="E105" s="396">
        <f t="shared" si="43"/>
        <v>0</v>
      </c>
      <c r="F105" s="396">
        <f t="shared" si="43"/>
        <v>0</v>
      </c>
      <c r="G105" s="396">
        <f t="shared" si="43"/>
        <v>0</v>
      </c>
      <c r="H105" s="396">
        <f t="shared" si="43"/>
        <v>0</v>
      </c>
      <c r="I105" s="396">
        <f t="shared" si="43"/>
        <v>0</v>
      </c>
      <c r="J105" s="171"/>
      <c r="K105" s="171"/>
      <c r="L105" s="171"/>
      <c r="M105" s="176"/>
    </row>
    <row r="106" spans="1:13" outlineLevel="1" x14ac:dyDescent="0.2">
      <c r="A106" s="171"/>
      <c r="B106" s="202"/>
      <c r="C106" s="171"/>
      <c r="D106" s="171"/>
      <c r="E106" s="171"/>
      <c r="F106" s="171"/>
      <c r="G106" s="171"/>
      <c r="H106" s="171"/>
      <c r="I106" s="171"/>
      <c r="J106" s="171"/>
      <c r="K106" s="171"/>
      <c r="L106" s="171"/>
      <c r="M106" s="176"/>
    </row>
    <row r="107" spans="1:13" ht="15.75" outlineLevel="1" x14ac:dyDescent="0.2">
      <c r="A107" s="171"/>
      <c r="B107" s="202"/>
      <c r="C107" s="193"/>
      <c r="D107" s="112">
        <f>FirstYear</f>
        <v>0</v>
      </c>
      <c r="E107" s="112">
        <f>D107+1</f>
        <v>1</v>
      </c>
      <c r="F107" s="112">
        <f>E107+1</f>
        <v>2</v>
      </c>
      <c r="G107" s="112">
        <f>F107+1</f>
        <v>3</v>
      </c>
      <c r="H107" s="112">
        <f>G107+1</f>
        <v>4</v>
      </c>
      <c r="I107" s="112">
        <f>H107+1</f>
        <v>5</v>
      </c>
      <c r="J107" s="171"/>
      <c r="K107" s="171"/>
      <c r="L107" s="171"/>
      <c r="M107" s="176"/>
    </row>
    <row r="108" spans="1:13" outlineLevel="1" x14ac:dyDescent="0.2">
      <c r="A108" s="171"/>
      <c r="B108" s="422">
        <v>1</v>
      </c>
      <c r="C108" s="115" t="s">
        <v>105</v>
      </c>
      <c r="D108" s="396">
        <f t="shared" ref="D108:I108" si="44">INDEX(RPBSScriptsNew,$B100,D101)*INDEX(DPMQCoPayNewPub,$B100,$B108)</f>
        <v>0</v>
      </c>
      <c r="E108" s="396">
        <f t="shared" si="44"/>
        <v>0</v>
      </c>
      <c r="F108" s="396">
        <f t="shared" si="44"/>
        <v>0</v>
      </c>
      <c r="G108" s="396">
        <f t="shared" si="44"/>
        <v>0</v>
      </c>
      <c r="H108" s="396">
        <f t="shared" si="44"/>
        <v>0</v>
      </c>
      <c r="I108" s="396">
        <f t="shared" si="44"/>
        <v>0</v>
      </c>
      <c r="J108" s="171"/>
      <c r="K108" s="171"/>
      <c r="L108" s="171"/>
      <c r="M108" s="176"/>
    </row>
    <row r="109" spans="1:13" outlineLevel="1" x14ac:dyDescent="0.2">
      <c r="A109" s="171"/>
      <c r="B109" s="422">
        <v>4</v>
      </c>
      <c r="C109" s="11" t="s">
        <v>129</v>
      </c>
      <c r="D109" s="396">
        <f t="shared" ref="D109:I109" si="45">INDEX(RPBSScriptsNew,$B100,D101)*(INDEX(DPMQCoPayNewPub,$B100,$B109)/INDEX(CoPayCountNew,$B100))</f>
        <v>0</v>
      </c>
      <c r="E109" s="396">
        <f t="shared" si="45"/>
        <v>0</v>
      </c>
      <c r="F109" s="396">
        <f t="shared" si="45"/>
        <v>0</v>
      </c>
      <c r="G109" s="396">
        <f t="shared" si="45"/>
        <v>0</v>
      </c>
      <c r="H109" s="396">
        <f t="shared" si="45"/>
        <v>0</v>
      </c>
      <c r="I109" s="396">
        <f t="shared" si="45"/>
        <v>0</v>
      </c>
      <c r="J109" s="171"/>
      <c r="K109" s="171"/>
      <c r="L109" s="171"/>
      <c r="M109" s="176"/>
    </row>
    <row r="110" spans="1:13" outlineLevel="1" x14ac:dyDescent="0.2">
      <c r="A110" s="171"/>
      <c r="B110" s="224"/>
      <c r="C110" s="11" t="s">
        <v>107</v>
      </c>
      <c r="D110" s="396">
        <f t="shared" ref="D110:I110" si="46">D108+D109</f>
        <v>0</v>
      </c>
      <c r="E110" s="396">
        <f t="shared" si="46"/>
        <v>0</v>
      </c>
      <c r="F110" s="396">
        <f t="shared" si="46"/>
        <v>0</v>
      </c>
      <c r="G110" s="396">
        <f t="shared" si="46"/>
        <v>0</v>
      </c>
      <c r="H110" s="396">
        <f t="shared" si="46"/>
        <v>0</v>
      </c>
      <c r="I110" s="396">
        <f t="shared" si="46"/>
        <v>0</v>
      </c>
      <c r="J110" s="171"/>
      <c r="K110" s="171"/>
      <c r="L110" s="171"/>
      <c r="M110" s="176"/>
    </row>
    <row r="111" spans="1:13" x14ac:dyDescent="0.2">
      <c r="A111" s="171"/>
      <c r="B111" s="224"/>
      <c r="C111" s="171"/>
      <c r="D111" s="171"/>
      <c r="E111" s="171"/>
      <c r="F111" s="171"/>
      <c r="G111" s="171"/>
      <c r="H111" s="171"/>
      <c r="I111" s="171"/>
      <c r="J111" s="171"/>
      <c r="K111" s="171"/>
      <c r="L111" s="171"/>
      <c r="M111" s="577"/>
    </row>
    <row r="112" spans="1:13" ht="15" x14ac:dyDescent="0.2">
      <c r="A112" s="171"/>
      <c r="B112" s="423">
        <v>8</v>
      </c>
      <c r="C112" s="221" t="str">
        <f>INDEX(PBSScriptsNew,B112,1)</f>
        <v>** NOT USED **</v>
      </c>
      <c r="D112" s="207"/>
      <c r="E112" s="207"/>
      <c r="F112" s="207"/>
      <c r="G112" s="207"/>
      <c r="H112" s="207"/>
      <c r="I112" s="188"/>
      <c r="J112" s="188"/>
      <c r="K112" s="188"/>
      <c r="L112" s="782" t="str">
        <f>IF(C112&lt;&gt;MsgNotUsed,"Co-payment group " &amp; INDEX(CoPayBandMS,B112),"")</f>
        <v/>
      </c>
      <c r="M112" s="782"/>
    </row>
    <row r="113" spans="1:13" outlineLevel="1" x14ac:dyDescent="0.2">
      <c r="A113" s="171"/>
      <c r="B113" s="352">
        <f>INDEX(SANew,B112,5)</f>
        <v>0</v>
      </c>
      <c r="C113" s="20"/>
      <c r="D113" s="419">
        <v>2</v>
      </c>
      <c r="E113" s="419">
        <v>3</v>
      </c>
      <c r="F113" s="201">
        <v>4</v>
      </c>
      <c r="G113" s="201">
        <v>5</v>
      </c>
      <c r="H113" s="201">
        <v>6</v>
      </c>
      <c r="I113" s="420">
        <v>7</v>
      </c>
      <c r="J113" s="19"/>
      <c r="K113" s="19"/>
      <c r="L113" s="19"/>
      <c r="M113" s="19"/>
    </row>
    <row r="114" spans="1:13" outlineLevel="1" x14ac:dyDescent="0.2">
      <c r="A114" s="171"/>
      <c r="B114" s="224"/>
      <c r="C114" s="171"/>
      <c r="D114" s="112">
        <f>FirstYear</f>
        <v>0</v>
      </c>
      <c r="E114" s="112">
        <f>D114+1</f>
        <v>1</v>
      </c>
      <c r="F114" s="112">
        <f>E114+1</f>
        <v>2</v>
      </c>
      <c r="G114" s="112">
        <f>F114+1</f>
        <v>3</v>
      </c>
      <c r="H114" s="112">
        <f>G114+1</f>
        <v>4</v>
      </c>
      <c r="I114" s="112">
        <f>H114+1</f>
        <v>5</v>
      </c>
      <c r="J114" s="171"/>
      <c r="K114" s="171"/>
      <c r="L114" s="171"/>
      <c r="M114" s="176"/>
    </row>
    <row r="115" spans="1:13" outlineLevel="1" x14ac:dyDescent="0.2">
      <c r="A115" s="171"/>
      <c r="B115" s="422">
        <v>1</v>
      </c>
      <c r="C115" s="115" t="s">
        <v>104</v>
      </c>
      <c r="D115" s="396">
        <f t="shared" ref="D115:I115" si="47">INDEX(PBSScriptsNew,$B112,D113)*INDEX(DPMQCoPayNewPub,$B112,$B115)</f>
        <v>0</v>
      </c>
      <c r="E115" s="396">
        <f t="shared" si="47"/>
        <v>0</v>
      </c>
      <c r="F115" s="396">
        <f t="shared" si="47"/>
        <v>0</v>
      </c>
      <c r="G115" s="396">
        <f t="shared" si="47"/>
        <v>0</v>
      </c>
      <c r="H115" s="396">
        <f t="shared" si="47"/>
        <v>0</v>
      </c>
      <c r="I115" s="396">
        <f t="shared" si="47"/>
        <v>0</v>
      </c>
      <c r="J115" s="171"/>
      <c r="K115" s="171"/>
      <c r="L115" s="171"/>
      <c r="M115" s="176"/>
    </row>
    <row r="116" spans="1:13" outlineLevel="1" x14ac:dyDescent="0.2">
      <c r="A116" s="171"/>
      <c r="B116" s="422">
        <v>3</v>
      </c>
      <c r="C116" s="11" t="s">
        <v>129</v>
      </c>
      <c r="D116" s="396">
        <f t="shared" ref="D116:I116" si="48">INDEX(PBSScriptsNew,$B112,D113)*(INDEX(DPMQCoPayNewPub,$B112,$B116)/INDEX(CoPayCountNew,$B112))</f>
        <v>0</v>
      </c>
      <c r="E116" s="396">
        <f t="shared" si="48"/>
        <v>0</v>
      </c>
      <c r="F116" s="396">
        <f t="shared" si="48"/>
        <v>0</v>
      </c>
      <c r="G116" s="396">
        <f t="shared" si="48"/>
        <v>0</v>
      </c>
      <c r="H116" s="396">
        <f t="shared" si="48"/>
        <v>0</v>
      </c>
      <c r="I116" s="396">
        <f t="shared" si="48"/>
        <v>0</v>
      </c>
      <c r="J116" s="171"/>
      <c r="K116" s="763" t="str">
        <f>IF(B113&lt;&gt;0,MsgNote&amp;IF(B113="Yes",INDEX(CoPayMethod,1),INDEX(CoPayMethod,2)),"")</f>
        <v/>
      </c>
      <c r="L116" s="763"/>
      <c r="M116" s="763"/>
    </row>
    <row r="117" spans="1:13" outlineLevel="1" x14ac:dyDescent="0.2">
      <c r="A117" s="171"/>
      <c r="B117" s="224"/>
      <c r="C117" s="11" t="s">
        <v>106</v>
      </c>
      <c r="D117" s="396">
        <f t="shared" ref="D117:I117" si="49">D115+D116</f>
        <v>0</v>
      </c>
      <c r="E117" s="396">
        <f t="shared" si="49"/>
        <v>0</v>
      </c>
      <c r="F117" s="396">
        <f t="shared" si="49"/>
        <v>0</v>
      </c>
      <c r="G117" s="396">
        <f t="shared" si="49"/>
        <v>0</v>
      </c>
      <c r="H117" s="396">
        <f t="shared" si="49"/>
        <v>0</v>
      </c>
      <c r="I117" s="396">
        <f t="shared" si="49"/>
        <v>0</v>
      </c>
      <c r="J117" s="171"/>
      <c r="K117" s="171"/>
      <c r="L117" s="171"/>
      <c r="M117" s="176"/>
    </row>
    <row r="118" spans="1:13" outlineLevel="1" x14ac:dyDescent="0.2">
      <c r="A118" s="171"/>
      <c r="B118" s="202"/>
      <c r="C118" s="171"/>
      <c r="D118" s="171"/>
      <c r="E118" s="171"/>
      <c r="F118" s="171"/>
      <c r="G118" s="171"/>
      <c r="H118" s="171"/>
      <c r="I118" s="171"/>
      <c r="J118" s="171"/>
      <c r="K118" s="171"/>
      <c r="L118" s="171"/>
      <c r="M118" s="176"/>
    </row>
    <row r="119" spans="1:13" ht="15.75" outlineLevel="1" x14ac:dyDescent="0.2">
      <c r="A119" s="171"/>
      <c r="B119" s="202"/>
      <c r="C119" s="193"/>
      <c r="D119" s="112">
        <f>FirstYear</f>
        <v>0</v>
      </c>
      <c r="E119" s="112">
        <f>D119+1</f>
        <v>1</v>
      </c>
      <c r="F119" s="112">
        <f>E119+1</f>
        <v>2</v>
      </c>
      <c r="G119" s="112">
        <f>F119+1</f>
        <v>3</v>
      </c>
      <c r="H119" s="112">
        <f>G119+1</f>
        <v>4</v>
      </c>
      <c r="I119" s="112">
        <f>H119+1</f>
        <v>5</v>
      </c>
      <c r="J119" s="171"/>
      <c r="K119" s="171"/>
      <c r="L119" s="171"/>
      <c r="M119" s="176"/>
    </row>
    <row r="120" spans="1:13" outlineLevel="1" x14ac:dyDescent="0.2">
      <c r="A120" s="171"/>
      <c r="B120" s="422">
        <v>1</v>
      </c>
      <c r="C120" s="115" t="s">
        <v>105</v>
      </c>
      <c r="D120" s="396">
        <f t="shared" ref="D120:I120" si="50">INDEX(RPBSScriptsNew,$B112,D113)*INDEX(DPMQCoPayNewPub,$B112,$B120)</f>
        <v>0</v>
      </c>
      <c r="E120" s="396">
        <f t="shared" si="50"/>
        <v>0</v>
      </c>
      <c r="F120" s="396">
        <f t="shared" si="50"/>
        <v>0</v>
      </c>
      <c r="G120" s="396">
        <f t="shared" si="50"/>
        <v>0</v>
      </c>
      <c r="H120" s="396">
        <f t="shared" si="50"/>
        <v>0</v>
      </c>
      <c r="I120" s="396">
        <f t="shared" si="50"/>
        <v>0</v>
      </c>
      <c r="J120" s="171"/>
      <c r="K120" s="171"/>
      <c r="L120" s="171"/>
      <c r="M120" s="176"/>
    </row>
    <row r="121" spans="1:13" outlineLevel="1" x14ac:dyDescent="0.2">
      <c r="A121" s="171"/>
      <c r="B121" s="422">
        <v>4</v>
      </c>
      <c r="C121" s="11" t="s">
        <v>129</v>
      </c>
      <c r="D121" s="396">
        <f t="shared" ref="D121:I121" si="51">INDEX(RPBSScriptsNew,$B112,D113)*(INDEX(DPMQCoPayNewPub,$B112,$B121)/INDEX(CoPayCountNew,$B112))</f>
        <v>0</v>
      </c>
      <c r="E121" s="396">
        <f t="shared" si="51"/>
        <v>0</v>
      </c>
      <c r="F121" s="396">
        <f t="shared" si="51"/>
        <v>0</v>
      </c>
      <c r="G121" s="396">
        <f t="shared" si="51"/>
        <v>0</v>
      </c>
      <c r="H121" s="396">
        <f t="shared" si="51"/>
        <v>0</v>
      </c>
      <c r="I121" s="396">
        <f t="shared" si="51"/>
        <v>0</v>
      </c>
      <c r="J121" s="171"/>
      <c r="K121" s="171"/>
      <c r="L121" s="171"/>
      <c r="M121" s="176"/>
    </row>
    <row r="122" spans="1:13" outlineLevel="1" x14ac:dyDescent="0.2">
      <c r="A122" s="171"/>
      <c r="B122" s="224"/>
      <c r="C122" s="11" t="s">
        <v>107</v>
      </c>
      <c r="D122" s="396">
        <f t="shared" ref="D122:I122" si="52">D120+D121</f>
        <v>0</v>
      </c>
      <c r="E122" s="396">
        <f t="shared" si="52"/>
        <v>0</v>
      </c>
      <c r="F122" s="396">
        <f t="shared" si="52"/>
        <v>0</v>
      </c>
      <c r="G122" s="396">
        <f t="shared" si="52"/>
        <v>0</v>
      </c>
      <c r="H122" s="396">
        <f t="shared" si="52"/>
        <v>0</v>
      </c>
      <c r="I122" s="396">
        <f t="shared" si="52"/>
        <v>0</v>
      </c>
      <c r="J122" s="171"/>
      <c r="K122" s="171"/>
      <c r="L122" s="171"/>
      <c r="M122" s="176"/>
    </row>
    <row r="123" spans="1:13" x14ac:dyDescent="0.2">
      <c r="A123" s="171"/>
      <c r="B123" s="224"/>
      <c r="C123" s="171"/>
      <c r="D123" s="171"/>
      <c r="E123" s="171"/>
      <c r="F123" s="171"/>
      <c r="G123" s="171"/>
      <c r="H123" s="171"/>
      <c r="I123" s="171"/>
      <c r="J123" s="171"/>
      <c r="K123" s="171"/>
      <c r="L123" s="171"/>
      <c r="M123" s="577"/>
    </row>
    <row r="124" spans="1:13" ht="15" x14ac:dyDescent="0.2">
      <c r="A124" s="171"/>
      <c r="B124" s="423">
        <v>9</v>
      </c>
      <c r="C124" s="221" t="str">
        <f>INDEX(PBSScriptsNew,B124,1)</f>
        <v>** NOT USED **</v>
      </c>
      <c r="D124" s="207"/>
      <c r="E124" s="207"/>
      <c r="F124" s="207"/>
      <c r="G124" s="207"/>
      <c r="H124" s="207"/>
      <c r="I124" s="188"/>
      <c r="J124" s="188"/>
      <c r="K124" s="188"/>
      <c r="L124" s="782" t="str">
        <f>IF(C124&lt;&gt;MsgNotUsed,"Co-payment group " &amp; INDEX(CoPayBandMS,B124),"")</f>
        <v/>
      </c>
      <c r="M124" s="782"/>
    </row>
    <row r="125" spans="1:13" outlineLevel="1" x14ac:dyDescent="0.2">
      <c r="A125" s="171"/>
      <c r="B125" s="352">
        <f>INDEX(SANew,B124,5)</f>
        <v>0</v>
      </c>
      <c r="C125" s="20"/>
      <c r="D125" s="419">
        <v>2</v>
      </c>
      <c r="E125" s="419">
        <v>3</v>
      </c>
      <c r="F125" s="201">
        <v>4</v>
      </c>
      <c r="G125" s="201">
        <v>5</v>
      </c>
      <c r="H125" s="201">
        <v>6</v>
      </c>
      <c r="I125" s="420">
        <v>7</v>
      </c>
      <c r="J125" s="19"/>
      <c r="K125" s="19"/>
      <c r="L125" s="19"/>
      <c r="M125" s="19"/>
    </row>
    <row r="126" spans="1:13" outlineLevel="1" x14ac:dyDescent="0.2">
      <c r="A126" s="171"/>
      <c r="B126" s="224"/>
      <c r="C126" s="171"/>
      <c r="D126" s="112">
        <f>FirstYear</f>
        <v>0</v>
      </c>
      <c r="E126" s="112">
        <f>D126+1</f>
        <v>1</v>
      </c>
      <c r="F126" s="112">
        <f>E126+1</f>
        <v>2</v>
      </c>
      <c r="G126" s="112">
        <f>F126+1</f>
        <v>3</v>
      </c>
      <c r="H126" s="112">
        <f>G126+1</f>
        <v>4</v>
      </c>
      <c r="I126" s="112">
        <f>H126+1</f>
        <v>5</v>
      </c>
      <c r="J126" s="171"/>
      <c r="K126" s="171"/>
      <c r="L126" s="171"/>
      <c r="M126" s="171"/>
    </row>
    <row r="127" spans="1:13" outlineLevel="1" x14ac:dyDescent="0.2">
      <c r="A127" s="171"/>
      <c r="B127" s="422">
        <v>1</v>
      </c>
      <c r="C127" s="115" t="s">
        <v>104</v>
      </c>
      <c r="D127" s="396">
        <f t="shared" ref="D127:I127" si="53">INDEX(PBSScriptsNew,$B124,D125)*INDEX(DPMQCoPayNewPub,$B124,$B127)</f>
        <v>0</v>
      </c>
      <c r="E127" s="396">
        <f t="shared" si="53"/>
        <v>0</v>
      </c>
      <c r="F127" s="396">
        <f t="shared" si="53"/>
        <v>0</v>
      </c>
      <c r="G127" s="396">
        <f t="shared" si="53"/>
        <v>0</v>
      </c>
      <c r="H127" s="396">
        <f t="shared" si="53"/>
        <v>0</v>
      </c>
      <c r="I127" s="396">
        <f t="shared" si="53"/>
        <v>0</v>
      </c>
      <c r="J127" s="171"/>
      <c r="K127" s="171"/>
      <c r="L127" s="171"/>
      <c r="M127" s="171"/>
    </row>
    <row r="128" spans="1:13" outlineLevel="1" x14ac:dyDescent="0.2">
      <c r="A128" s="171"/>
      <c r="B128" s="422">
        <v>3</v>
      </c>
      <c r="C128" s="11" t="s">
        <v>129</v>
      </c>
      <c r="D128" s="396">
        <f t="shared" ref="D128:I128" si="54">INDEX(PBSScriptsNew,$B124,D125)*(INDEX(DPMQCoPayNewPub,$B124,$B128)/INDEX(CoPayCountNew,$B124))</f>
        <v>0</v>
      </c>
      <c r="E128" s="396">
        <f t="shared" si="54"/>
        <v>0</v>
      </c>
      <c r="F128" s="396">
        <f t="shared" si="54"/>
        <v>0</v>
      </c>
      <c r="G128" s="396">
        <f t="shared" si="54"/>
        <v>0</v>
      </c>
      <c r="H128" s="396">
        <f t="shared" si="54"/>
        <v>0</v>
      </c>
      <c r="I128" s="396">
        <f t="shared" si="54"/>
        <v>0</v>
      </c>
      <c r="J128" s="171"/>
      <c r="K128" s="763" t="str">
        <f>IF(B125&lt;&gt;0,MsgNote&amp;IF(B125="Yes",INDEX(CoPayMethod,1),INDEX(CoPayMethod,2)),"")</f>
        <v/>
      </c>
      <c r="L128" s="763"/>
      <c r="M128" s="763"/>
    </row>
    <row r="129" spans="1:13" outlineLevel="1" x14ac:dyDescent="0.2">
      <c r="A129" s="171"/>
      <c r="B129" s="224"/>
      <c r="C129" s="11" t="s">
        <v>106</v>
      </c>
      <c r="D129" s="396">
        <f t="shared" ref="D129:I129" si="55">D127+D128</f>
        <v>0</v>
      </c>
      <c r="E129" s="396">
        <f t="shared" si="55"/>
        <v>0</v>
      </c>
      <c r="F129" s="396">
        <f t="shared" si="55"/>
        <v>0</v>
      </c>
      <c r="G129" s="396">
        <f t="shared" si="55"/>
        <v>0</v>
      </c>
      <c r="H129" s="396">
        <f t="shared" si="55"/>
        <v>0</v>
      </c>
      <c r="I129" s="396">
        <f t="shared" si="55"/>
        <v>0</v>
      </c>
      <c r="J129" s="171"/>
      <c r="K129" s="171"/>
      <c r="L129" s="171"/>
      <c r="M129" s="171"/>
    </row>
    <row r="130" spans="1:13" outlineLevel="1" x14ac:dyDescent="0.2">
      <c r="A130" s="171"/>
      <c r="B130" s="202"/>
      <c r="C130" s="171"/>
      <c r="D130" s="171"/>
      <c r="E130" s="171"/>
      <c r="F130" s="171"/>
      <c r="G130" s="171"/>
      <c r="H130" s="171"/>
      <c r="I130" s="171"/>
      <c r="J130" s="171"/>
      <c r="K130" s="171"/>
      <c r="L130" s="171"/>
      <c r="M130" s="171"/>
    </row>
    <row r="131" spans="1:13" ht="15.75" outlineLevel="1" x14ac:dyDescent="0.2">
      <c r="A131" s="171"/>
      <c r="B131" s="202"/>
      <c r="C131" s="193"/>
      <c r="D131" s="112">
        <f>FirstYear</f>
        <v>0</v>
      </c>
      <c r="E131" s="112">
        <f>D131+1</f>
        <v>1</v>
      </c>
      <c r="F131" s="112">
        <f>E131+1</f>
        <v>2</v>
      </c>
      <c r="G131" s="112">
        <f>F131+1</f>
        <v>3</v>
      </c>
      <c r="H131" s="112">
        <f>G131+1</f>
        <v>4</v>
      </c>
      <c r="I131" s="112">
        <f>H131+1</f>
        <v>5</v>
      </c>
      <c r="J131" s="171"/>
      <c r="K131" s="171"/>
      <c r="L131" s="171"/>
      <c r="M131" s="171"/>
    </row>
    <row r="132" spans="1:13" outlineLevel="1" x14ac:dyDescent="0.2">
      <c r="A132" s="171"/>
      <c r="B132" s="422">
        <v>1</v>
      </c>
      <c r="C132" s="115" t="s">
        <v>105</v>
      </c>
      <c r="D132" s="396">
        <f t="shared" ref="D132:I132" si="56">INDEX(RPBSScriptsNew,$B124,D125)*INDEX(DPMQCoPayNewPub,$B124,$B132)</f>
        <v>0</v>
      </c>
      <c r="E132" s="396">
        <f t="shared" si="56"/>
        <v>0</v>
      </c>
      <c r="F132" s="396">
        <f t="shared" si="56"/>
        <v>0</v>
      </c>
      <c r="G132" s="396">
        <f t="shared" si="56"/>
        <v>0</v>
      </c>
      <c r="H132" s="396">
        <f t="shared" si="56"/>
        <v>0</v>
      </c>
      <c r="I132" s="396">
        <f t="shared" si="56"/>
        <v>0</v>
      </c>
      <c r="J132" s="171"/>
      <c r="K132" s="171"/>
      <c r="L132" s="171"/>
      <c r="M132" s="171"/>
    </row>
    <row r="133" spans="1:13" outlineLevel="1" x14ac:dyDescent="0.2">
      <c r="A133" s="171"/>
      <c r="B133" s="422">
        <v>4</v>
      </c>
      <c r="C133" s="11" t="s">
        <v>129</v>
      </c>
      <c r="D133" s="396">
        <f t="shared" ref="D133:I133" si="57">INDEX(RPBSScriptsNew,$B124,D125)*(INDEX(DPMQCoPayNewPub,$B124,$B133)/INDEX(CoPayCountNew,$B124))</f>
        <v>0</v>
      </c>
      <c r="E133" s="396">
        <f t="shared" si="57"/>
        <v>0</v>
      </c>
      <c r="F133" s="396">
        <f t="shared" si="57"/>
        <v>0</v>
      </c>
      <c r="G133" s="396">
        <f t="shared" si="57"/>
        <v>0</v>
      </c>
      <c r="H133" s="396">
        <f t="shared" si="57"/>
        <v>0</v>
      </c>
      <c r="I133" s="396">
        <f t="shared" si="57"/>
        <v>0</v>
      </c>
      <c r="J133" s="171"/>
      <c r="K133" s="171"/>
      <c r="L133" s="171"/>
      <c r="M133" s="171"/>
    </row>
    <row r="134" spans="1:13" outlineLevel="1" x14ac:dyDescent="0.2">
      <c r="A134" s="171"/>
      <c r="B134" s="224"/>
      <c r="C134" s="11" t="s">
        <v>107</v>
      </c>
      <c r="D134" s="396">
        <f t="shared" ref="D134:I134" si="58">D132+D133</f>
        <v>0</v>
      </c>
      <c r="E134" s="396">
        <f t="shared" si="58"/>
        <v>0</v>
      </c>
      <c r="F134" s="396">
        <f t="shared" si="58"/>
        <v>0</v>
      </c>
      <c r="G134" s="396">
        <f t="shared" si="58"/>
        <v>0</v>
      </c>
      <c r="H134" s="396">
        <f t="shared" si="58"/>
        <v>0</v>
      </c>
      <c r="I134" s="396">
        <f t="shared" si="58"/>
        <v>0</v>
      </c>
      <c r="J134" s="171"/>
      <c r="K134" s="171"/>
      <c r="L134" s="171"/>
      <c r="M134" s="171"/>
    </row>
    <row r="135" spans="1:13" x14ac:dyDescent="0.2">
      <c r="A135" s="171"/>
      <c r="B135" s="224"/>
      <c r="C135" s="171"/>
      <c r="D135" s="171"/>
      <c r="E135" s="171"/>
      <c r="F135" s="171"/>
      <c r="G135" s="171"/>
      <c r="H135" s="171"/>
      <c r="I135" s="171"/>
      <c r="J135" s="171"/>
      <c r="K135" s="171"/>
      <c r="L135" s="171"/>
      <c r="M135" s="577"/>
    </row>
    <row r="136" spans="1:13" ht="15" x14ac:dyDescent="0.2">
      <c r="A136" s="171"/>
      <c r="B136" s="423">
        <v>10</v>
      </c>
      <c r="C136" s="221" t="str">
        <f>INDEX(PBSScriptsNew,B136,1)</f>
        <v>** NOT USED **</v>
      </c>
      <c r="D136" s="207"/>
      <c r="E136" s="207"/>
      <c r="F136" s="207"/>
      <c r="G136" s="207"/>
      <c r="H136" s="207"/>
      <c r="I136" s="188"/>
      <c r="J136" s="188"/>
      <c r="K136" s="188"/>
      <c r="L136" s="782" t="str">
        <f>IF(C136&lt;&gt;MsgNotUsed,"Co-payment group " &amp; INDEX(CoPayBandMS,B136),"")</f>
        <v/>
      </c>
      <c r="M136" s="782"/>
    </row>
    <row r="137" spans="1:13" outlineLevel="1" x14ac:dyDescent="0.2">
      <c r="A137" s="171"/>
      <c r="B137" s="352">
        <f>INDEX(SANew,B136,5)</f>
        <v>0</v>
      </c>
      <c r="C137" s="20"/>
      <c r="D137" s="419">
        <v>2</v>
      </c>
      <c r="E137" s="419">
        <v>3</v>
      </c>
      <c r="F137" s="201">
        <v>4</v>
      </c>
      <c r="G137" s="201">
        <v>5</v>
      </c>
      <c r="H137" s="201">
        <v>6</v>
      </c>
      <c r="I137" s="420">
        <v>7</v>
      </c>
      <c r="J137" s="19"/>
      <c r="K137" s="19"/>
      <c r="L137" s="19"/>
      <c r="M137" s="19"/>
    </row>
    <row r="138" spans="1:13" outlineLevel="1" x14ac:dyDescent="0.2">
      <c r="A138" s="171"/>
      <c r="B138" s="224"/>
      <c r="C138" s="171"/>
      <c r="D138" s="112">
        <f>FirstYear</f>
        <v>0</v>
      </c>
      <c r="E138" s="112">
        <f>D138+1</f>
        <v>1</v>
      </c>
      <c r="F138" s="112">
        <f>E138+1</f>
        <v>2</v>
      </c>
      <c r="G138" s="112">
        <f>F138+1</f>
        <v>3</v>
      </c>
      <c r="H138" s="112">
        <f>G138+1</f>
        <v>4</v>
      </c>
      <c r="I138" s="112">
        <f>H138+1</f>
        <v>5</v>
      </c>
      <c r="J138" s="171"/>
      <c r="K138" s="171"/>
      <c r="L138" s="171"/>
      <c r="M138" s="171"/>
    </row>
    <row r="139" spans="1:13" outlineLevel="1" x14ac:dyDescent="0.2">
      <c r="A139" s="171"/>
      <c r="B139" s="422">
        <v>1</v>
      </c>
      <c r="C139" s="115" t="s">
        <v>104</v>
      </c>
      <c r="D139" s="396">
        <f t="shared" ref="D139:I139" si="59">INDEX(PBSScriptsNew,$B136,D137)*INDEX(DPMQCoPayNewPub,$B136,$B139)</f>
        <v>0</v>
      </c>
      <c r="E139" s="396">
        <f t="shared" si="59"/>
        <v>0</v>
      </c>
      <c r="F139" s="396">
        <f t="shared" si="59"/>
        <v>0</v>
      </c>
      <c r="G139" s="396">
        <f t="shared" si="59"/>
        <v>0</v>
      </c>
      <c r="H139" s="396">
        <f t="shared" si="59"/>
        <v>0</v>
      </c>
      <c r="I139" s="396">
        <f t="shared" si="59"/>
        <v>0</v>
      </c>
      <c r="J139" s="171"/>
      <c r="K139" s="171"/>
      <c r="L139" s="171"/>
      <c r="M139" s="171"/>
    </row>
    <row r="140" spans="1:13" outlineLevel="1" x14ac:dyDescent="0.2">
      <c r="A140" s="171"/>
      <c r="B140" s="422">
        <v>3</v>
      </c>
      <c r="C140" s="11" t="s">
        <v>129</v>
      </c>
      <c r="D140" s="396">
        <f t="shared" ref="D140:I140" si="60">INDEX(PBSScriptsNew,$B136,D137)*(INDEX(DPMQCoPayNewPub,$B136,$B140)/INDEX(CoPayCountNew,$B136))</f>
        <v>0</v>
      </c>
      <c r="E140" s="396">
        <f t="shared" si="60"/>
        <v>0</v>
      </c>
      <c r="F140" s="396">
        <f t="shared" si="60"/>
        <v>0</v>
      </c>
      <c r="G140" s="396">
        <f t="shared" si="60"/>
        <v>0</v>
      </c>
      <c r="H140" s="396">
        <f t="shared" si="60"/>
        <v>0</v>
      </c>
      <c r="I140" s="396">
        <f t="shared" si="60"/>
        <v>0</v>
      </c>
      <c r="J140" s="171"/>
      <c r="K140" s="763" t="str">
        <f>IF(B137&lt;&gt;0,MsgNote&amp;IF(B137="Yes",INDEX(CoPayMethod,1),INDEX(CoPayMethod,2)),"")</f>
        <v/>
      </c>
      <c r="L140" s="763"/>
      <c r="M140" s="763"/>
    </row>
    <row r="141" spans="1:13" outlineLevel="1" x14ac:dyDescent="0.2">
      <c r="A141" s="171"/>
      <c r="B141" s="224"/>
      <c r="C141" s="11" t="s">
        <v>106</v>
      </c>
      <c r="D141" s="396">
        <f t="shared" ref="D141:I141" si="61">D139+D140</f>
        <v>0</v>
      </c>
      <c r="E141" s="396">
        <f t="shared" si="61"/>
        <v>0</v>
      </c>
      <c r="F141" s="396">
        <f t="shared" si="61"/>
        <v>0</v>
      </c>
      <c r="G141" s="396">
        <f t="shared" si="61"/>
        <v>0</v>
      </c>
      <c r="H141" s="396">
        <f t="shared" si="61"/>
        <v>0</v>
      </c>
      <c r="I141" s="396">
        <f t="shared" si="61"/>
        <v>0</v>
      </c>
      <c r="J141" s="171"/>
      <c r="K141" s="171"/>
      <c r="L141" s="171"/>
      <c r="M141" s="171"/>
    </row>
    <row r="142" spans="1:13" outlineLevel="1" x14ac:dyDescent="0.2">
      <c r="A142" s="171"/>
      <c r="B142" s="202"/>
      <c r="C142" s="171"/>
      <c r="D142" s="171"/>
      <c r="E142" s="171"/>
      <c r="F142" s="171"/>
      <c r="G142" s="171"/>
      <c r="H142" s="171"/>
      <c r="I142" s="171"/>
      <c r="J142" s="171"/>
      <c r="K142" s="171"/>
      <c r="L142" s="171"/>
      <c r="M142" s="171"/>
    </row>
    <row r="143" spans="1:13" ht="15.75" outlineLevel="1" x14ac:dyDescent="0.2">
      <c r="A143" s="171"/>
      <c r="B143" s="202"/>
      <c r="C143" s="193"/>
      <c r="D143" s="112">
        <f>FirstYear</f>
        <v>0</v>
      </c>
      <c r="E143" s="112">
        <f>D143+1</f>
        <v>1</v>
      </c>
      <c r="F143" s="112">
        <f>E143+1</f>
        <v>2</v>
      </c>
      <c r="G143" s="112">
        <f>F143+1</f>
        <v>3</v>
      </c>
      <c r="H143" s="112">
        <f>G143+1</f>
        <v>4</v>
      </c>
      <c r="I143" s="112">
        <f>H143+1</f>
        <v>5</v>
      </c>
      <c r="J143" s="171"/>
      <c r="K143" s="171"/>
      <c r="L143" s="171"/>
      <c r="M143" s="171"/>
    </row>
    <row r="144" spans="1:13" outlineLevel="1" x14ac:dyDescent="0.2">
      <c r="A144" s="171"/>
      <c r="B144" s="422">
        <v>1</v>
      </c>
      <c r="C144" s="115" t="s">
        <v>105</v>
      </c>
      <c r="D144" s="396">
        <f t="shared" ref="D144:I144" si="62">INDEX(RPBSScriptsNew,$B136,D137)*INDEX(DPMQCoPayNewPub,$B136,$B144)</f>
        <v>0</v>
      </c>
      <c r="E144" s="396">
        <f t="shared" si="62"/>
        <v>0</v>
      </c>
      <c r="F144" s="396">
        <f t="shared" si="62"/>
        <v>0</v>
      </c>
      <c r="G144" s="396">
        <f t="shared" si="62"/>
        <v>0</v>
      </c>
      <c r="H144" s="396">
        <f t="shared" si="62"/>
        <v>0</v>
      </c>
      <c r="I144" s="396">
        <f t="shared" si="62"/>
        <v>0</v>
      </c>
      <c r="J144" s="171"/>
      <c r="K144" s="171"/>
      <c r="L144" s="171"/>
      <c r="M144" s="171"/>
    </row>
    <row r="145" spans="1:13" outlineLevel="1" x14ac:dyDescent="0.2">
      <c r="A145" s="171"/>
      <c r="B145" s="422">
        <v>4</v>
      </c>
      <c r="C145" s="11" t="s">
        <v>129</v>
      </c>
      <c r="D145" s="396">
        <f t="shared" ref="D145:I145" si="63">INDEX(RPBSScriptsNew,$B136,D137)*(INDEX(DPMQCoPayNewPub,$B136,$B145)/INDEX(CoPayCountNew,$B136))</f>
        <v>0</v>
      </c>
      <c r="E145" s="396">
        <f t="shared" si="63"/>
        <v>0</v>
      </c>
      <c r="F145" s="396">
        <f t="shared" si="63"/>
        <v>0</v>
      </c>
      <c r="G145" s="396">
        <f t="shared" si="63"/>
        <v>0</v>
      </c>
      <c r="H145" s="396">
        <f t="shared" si="63"/>
        <v>0</v>
      </c>
      <c r="I145" s="396">
        <f t="shared" si="63"/>
        <v>0</v>
      </c>
      <c r="J145" s="171"/>
      <c r="K145" s="171"/>
      <c r="L145" s="171"/>
      <c r="M145" s="171"/>
    </row>
    <row r="146" spans="1:13" outlineLevel="1" x14ac:dyDescent="0.2">
      <c r="A146" s="171"/>
      <c r="B146" s="224"/>
      <c r="C146" s="11" t="s">
        <v>107</v>
      </c>
      <c r="D146" s="396">
        <f t="shared" ref="D146:I146" si="64">D144+D145</f>
        <v>0</v>
      </c>
      <c r="E146" s="396">
        <f t="shared" si="64"/>
        <v>0</v>
      </c>
      <c r="F146" s="396">
        <f t="shared" si="64"/>
        <v>0</v>
      </c>
      <c r="G146" s="396">
        <f t="shared" si="64"/>
        <v>0</v>
      </c>
      <c r="H146" s="396">
        <f t="shared" si="64"/>
        <v>0</v>
      </c>
      <c r="I146" s="396">
        <f t="shared" si="64"/>
        <v>0</v>
      </c>
      <c r="J146" s="171"/>
      <c r="K146" s="171"/>
      <c r="L146" s="171"/>
      <c r="M146" s="171"/>
    </row>
    <row r="147" spans="1:13" x14ac:dyDescent="0.2">
      <c r="A147" s="171"/>
      <c r="B147" s="224"/>
      <c r="C147" s="171"/>
      <c r="D147" s="171"/>
      <c r="E147" s="171"/>
      <c r="F147" s="171"/>
      <c r="G147" s="171"/>
      <c r="H147" s="171"/>
      <c r="I147" s="171"/>
      <c r="J147" s="171"/>
      <c r="K147" s="171"/>
      <c r="L147" s="171"/>
      <c r="M147" s="171"/>
    </row>
    <row r="148" spans="1:13" ht="15" x14ac:dyDescent="0.2">
      <c r="A148" s="171"/>
      <c r="B148" s="423">
        <v>11</v>
      </c>
      <c r="C148" s="221" t="str">
        <f>INDEX(PBSScriptsNew,B148,1)</f>
        <v>** NOT USED **</v>
      </c>
      <c r="D148" s="207"/>
      <c r="E148" s="207"/>
      <c r="F148" s="207"/>
      <c r="G148" s="207"/>
      <c r="H148" s="207"/>
      <c r="I148" s="188"/>
      <c r="J148" s="188"/>
      <c r="K148" s="188"/>
      <c r="L148" s="782" t="str">
        <f>IF(C148&lt;&gt;MsgNotUsed,"Co-payment group " &amp; INDEX(CoPayBandMS,B148),"")</f>
        <v/>
      </c>
      <c r="M148" s="782"/>
    </row>
    <row r="149" spans="1:13" outlineLevel="1" x14ac:dyDescent="0.2">
      <c r="A149" s="171"/>
      <c r="B149" s="352">
        <f>INDEX(SANew,B148,5)</f>
        <v>0</v>
      </c>
      <c r="C149" s="20"/>
      <c r="D149" s="419">
        <v>2</v>
      </c>
      <c r="E149" s="419">
        <v>3</v>
      </c>
      <c r="F149" s="201">
        <v>4</v>
      </c>
      <c r="G149" s="201">
        <v>5</v>
      </c>
      <c r="H149" s="201">
        <v>6</v>
      </c>
      <c r="I149" s="420">
        <v>7</v>
      </c>
      <c r="J149" s="19"/>
      <c r="K149" s="19"/>
      <c r="L149" s="19"/>
      <c r="M149" s="19"/>
    </row>
    <row r="150" spans="1:13" outlineLevel="1" x14ac:dyDescent="0.2">
      <c r="A150" s="171"/>
      <c r="B150" s="224"/>
      <c r="C150" s="171"/>
      <c r="D150" s="411">
        <f>FirstYear</f>
        <v>0</v>
      </c>
      <c r="E150" s="411">
        <f>D150+1</f>
        <v>1</v>
      </c>
      <c r="F150" s="411">
        <f>E150+1</f>
        <v>2</v>
      </c>
      <c r="G150" s="411">
        <f>F150+1</f>
        <v>3</v>
      </c>
      <c r="H150" s="411">
        <f>G150+1</f>
        <v>4</v>
      </c>
      <c r="I150" s="411">
        <f>H150+1</f>
        <v>5</v>
      </c>
      <c r="J150" s="171"/>
      <c r="K150" s="171"/>
      <c r="L150" s="171"/>
      <c r="M150" s="171"/>
    </row>
    <row r="151" spans="1:13" outlineLevel="1" x14ac:dyDescent="0.2">
      <c r="A151" s="171"/>
      <c r="B151" s="422">
        <v>1</v>
      </c>
      <c r="C151" s="413" t="s">
        <v>104</v>
      </c>
      <c r="D151" s="396">
        <f t="shared" ref="D151:I151" si="65">INDEX(PBSScriptsNew,$B148,D149)*INDEX(DPMQCoPayNewPub,$B148,$B151)</f>
        <v>0</v>
      </c>
      <c r="E151" s="396">
        <f t="shared" si="65"/>
        <v>0</v>
      </c>
      <c r="F151" s="396">
        <f t="shared" si="65"/>
        <v>0</v>
      </c>
      <c r="G151" s="396">
        <f t="shared" si="65"/>
        <v>0</v>
      </c>
      <c r="H151" s="396">
        <f t="shared" si="65"/>
        <v>0</v>
      </c>
      <c r="I151" s="396">
        <f t="shared" si="65"/>
        <v>0</v>
      </c>
      <c r="J151" s="171"/>
      <c r="K151" s="171"/>
      <c r="L151" s="171"/>
      <c r="M151" s="171"/>
    </row>
    <row r="152" spans="1:13" outlineLevel="1" x14ac:dyDescent="0.2">
      <c r="A152" s="171"/>
      <c r="B152" s="422">
        <v>3</v>
      </c>
      <c r="C152" s="11" t="s">
        <v>129</v>
      </c>
      <c r="D152" s="396">
        <f t="shared" ref="D152:I152" si="66">INDEX(PBSScriptsNew,$B148,D149)*(INDEX(DPMQCoPayNewPub,$B148,$B152)/INDEX(CoPayCountNew,$B148))</f>
        <v>0</v>
      </c>
      <c r="E152" s="396">
        <f t="shared" si="66"/>
        <v>0</v>
      </c>
      <c r="F152" s="396">
        <f t="shared" si="66"/>
        <v>0</v>
      </c>
      <c r="G152" s="396">
        <f t="shared" si="66"/>
        <v>0</v>
      </c>
      <c r="H152" s="396">
        <f t="shared" si="66"/>
        <v>0</v>
      </c>
      <c r="I152" s="396">
        <f t="shared" si="66"/>
        <v>0</v>
      </c>
      <c r="J152" s="171"/>
      <c r="K152" s="763" t="str">
        <f>IF(B149&lt;&gt;0,MsgNote&amp;IF(B149="Yes",INDEX(CoPayMethod,1),INDEX(CoPayMethod,2)),"")</f>
        <v/>
      </c>
      <c r="L152" s="763"/>
      <c r="M152" s="763"/>
    </row>
    <row r="153" spans="1:13" outlineLevel="1" x14ac:dyDescent="0.2">
      <c r="A153" s="171"/>
      <c r="B153" s="224"/>
      <c r="C153" s="11" t="s">
        <v>106</v>
      </c>
      <c r="D153" s="396">
        <f t="shared" ref="D153:I153" si="67">D151+D152</f>
        <v>0</v>
      </c>
      <c r="E153" s="396">
        <f t="shared" si="67"/>
        <v>0</v>
      </c>
      <c r="F153" s="396">
        <f t="shared" si="67"/>
        <v>0</v>
      </c>
      <c r="G153" s="396">
        <f t="shared" si="67"/>
        <v>0</v>
      </c>
      <c r="H153" s="396">
        <f t="shared" si="67"/>
        <v>0</v>
      </c>
      <c r="I153" s="396">
        <f t="shared" si="67"/>
        <v>0</v>
      </c>
      <c r="J153" s="171"/>
      <c r="K153" s="171"/>
      <c r="L153" s="171"/>
      <c r="M153" s="171"/>
    </row>
    <row r="154" spans="1:13" outlineLevel="1" x14ac:dyDescent="0.2">
      <c r="A154" s="171"/>
      <c r="B154" s="202"/>
      <c r="C154" s="171"/>
      <c r="D154" s="171"/>
      <c r="E154" s="171"/>
      <c r="F154" s="171"/>
      <c r="G154" s="171"/>
      <c r="H154" s="171"/>
      <c r="I154" s="171"/>
      <c r="J154" s="171"/>
      <c r="K154" s="171"/>
      <c r="L154" s="171"/>
      <c r="M154" s="171"/>
    </row>
    <row r="155" spans="1:13" ht="15.75" outlineLevel="1" x14ac:dyDescent="0.2">
      <c r="A155" s="171"/>
      <c r="B155" s="202"/>
      <c r="C155" s="193"/>
      <c r="D155" s="411">
        <f>FirstYear</f>
        <v>0</v>
      </c>
      <c r="E155" s="411">
        <f>D155+1</f>
        <v>1</v>
      </c>
      <c r="F155" s="411">
        <f>E155+1</f>
        <v>2</v>
      </c>
      <c r="G155" s="411">
        <f>F155+1</f>
        <v>3</v>
      </c>
      <c r="H155" s="411">
        <f>G155+1</f>
        <v>4</v>
      </c>
      <c r="I155" s="411">
        <f>H155+1</f>
        <v>5</v>
      </c>
      <c r="J155" s="171"/>
      <c r="K155" s="171"/>
      <c r="L155" s="171"/>
      <c r="M155" s="171"/>
    </row>
    <row r="156" spans="1:13" outlineLevel="1" x14ac:dyDescent="0.2">
      <c r="A156" s="171"/>
      <c r="B156" s="422">
        <v>1</v>
      </c>
      <c r="C156" s="413" t="s">
        <v>105</v>
      </c>
      <c r="D156" s="396">
        <f t="shared" ref="D156:I156" si="68">INDEX(RPBSScriptsNew,$B148,D149)*INDEX(DPMQCoPayNewPub,$B148,$B156)</f>
        <v>0</v>
      </c>
      <c r="E156" s="396">
        <f t="shared" si="68"/>
        <v>0</v>
      </c>
      <c r="F156" s="396">
        <f t="shared" si="68"/>
        <v>0</v>
      </c>
      <c r="G156" s="396">
        <f t="shared" si="68"/>
        <v>0</v>
      </c>
      <c r="H156" s="396">
        <f t="shared" si="68"/>
        <v>0</v>
      </c>
      <c r="I156" s="396">
        <f t="shared" si="68"/>
        <v>0</v>
      </c>
      <c r="J156" s="171"/>
      <c r="K156" s="171"/>
      <c r="L156" s="171"/>
      <c r="M156" s="171"/>
    </row>
    <row r="157" spans="1:13" outlineLevel="1" x14ac:dyDescent="0.2">
      <c r="A157" s="171"/>
      <c r="B157" s="422">
        <v>4</v>
      </c>
      <c r="C157" s="11" t="s">
        <v>129</v>
      </c>
      <c r="D157" s="396">
        <f t="shared" ref="D157:I157" si="69">INDEX(RPBSScriptsNew,$B148,D149)*(INDEX(DPMQCoPayNewPub,$B148,$B157)/INDEX(CoPayCountNew,$B148))</f>
        <v>0</v>
      </c>
      <c r="E157" s="396">
        <f t="shared" si="69"/>
        <v>0</v>
      </c>
      <c r="F157" s="396">
        <f t="shared" si="69"/>
        <v>0</v>
      </c>
      <c r="G157" s="396">
        <f t="shared" si="69"/>
        <v>0</v>
      </c>
      <c r="H157" s="396">
        <f t="shared" si="69"/>
        <v>0</v>
      </c>
      <c r="I157" s="396">
        <f t="shared" si="69"/>
        <v>0</v>
      </c>
      <c r="J157" s="171"/>
      <c r="K157" s="171"/>
      <c r="L157" s="171"/>
      <c r="M157" s="171"/>
    </row>
    <row r="158" spans="1:13" outlineLevel="1" x14ac:dyDescent="0.2">
      <c r="A158" s="171"/>
      <c r="B158" s="224"/>
      <c r="C158" s="11" t="s">
        <v>107</v>
      </c>
      <c r="D158" s="396">
        <f t="shared" ref="D158:I158" si="70">D156+D157</f>
        <v>0</v>
      </c>
      <c r="E158" s="396">
        <f t="shared" si="70"/>
        <v>0</v>
      </c>
      <c r="F158" s="396">
        <f t="shared" si="70"/>
        <v>0</v>
      </c>
      <c r="G158" s="396">
        <f t="shared" si="70"/>
        <v>0</v>
      </c>
      <c r="H158" s="396">
        <f t="shared" si="70"/>
        <v>0</v>
      </c>
      <c r="I158" s="396">
        <f t="shared" si="70"/>
        <v>0</v>
      </c>
      <c r="J158" s="171"/>
      <c r="K158" s="171"/>
      <c r="L158" s="171"/>
      <c r="M158" s="171"/>
    </row>
    <row r="159" spans="1:13" x14ac:dyDescent="0.2">
      <c r="A159" s="171"/>
      <c r="B159" s="224"/>
      <c r="C159" s="171"/>
      <c r="D159" s="171"/>
      <c r="E159" s="171"/>
      <c r="F159" s="171"/>
      <c r="G159" s="171"/>
      <c r="H159" s="171"/>
      <c r="I159" s="171"/>
      <c r="J159" s="171"/>
      <c r="K159" s="171"/>
      <c r="L159" s="171"/>
      <c r="M159" s="171"/>
    </row>
    <row r="160" spans="1:13" ht="15" x14ac:dyDescent="0.2">
      <c r="A160" s="171"/>
      <c r="B160" s="423">
        <v>12</v>
      </c>
      <c r="C160" s="221" t="str">
        <f>INDEX(PBSScriptsNew,B160,1)</f>
        <v>** NOT USED **</v>
      </c>
      <c r="D160" s="207"/>
      <c r="E160" s="207"/>
      <c r="F160" s="207"/>
      <c r="G160" s="207"/>
      <c r="H160" s="207"/>
      <c r="I160" s="188"/>
      <c r="J160" s="188"/>
      <c r="K160" s="188"/>
      <c r="L160" s="782" t="str">
        <f>IF(C160&lt;&gt;MsgNotUsed,"Co-payment group " &amp; INDEX(CoPayBandMS,B160),"")</f>
        <v/>
      </c>
      <c r="M160" s="782"/>
    </row>
    <row r="161" spans="1:13" outlineLevel="1" x14ac:dyDescent="0.2">
      <c r="A161" s="171"/>
      <c r="B161" s="352">
        <f>INDEX(SANew,B160,5)</f>
        <v>0</v>
      </c>
      <c r="C161" s="20"/>
      <c r="D161" s="419">
        <v>2</v>
      </c>
      <c r="E161" s="419">
        <v>3</v>
      </c>
      <c r="F161" s="201">
        <v>4</v>
      </c>
      <c r="G161" s="201">
        <v>5</v>
      </c>
      <c r="H161" s="201">
        <v>6</v>
      </c>
      <c r="I161" s="420">
        <v>7</v>
      </c>
      <c r="J161" s="19"/>
      <c r="K161" s="19"/>
      <c r="L161" s="19"/>
      <c r="M161" s="19"/>
    </row>
    <row r="162" spans="1:13" outlineLevel="1" x14ac:dyDescent="0.2">
      <c r="A162" s="171"/>
      <c r="B162" s="224"/>
      <c r="C162" s="171"/>
      <c r="D162" s="411">
        <f>FirstYear</f>
        <v>0</v>
      </c>
      <c r="E162" s="411">
        <f>D162+1</f>
        <v>1</v>
      </c>
      <c r="F162" s="411">
        <f>E162+1</f>
        <v>2</v>
      </c>
      <c r="G162" s="411">
        <f>F162+1</f>
        <v>3</v>
      </c>
      <c r="H162" s="411">
        <f>G162+1</f>
        <v>4</v>
      </c>
      <c r="I162" s="411">
        <f>H162+1</f>
        <v>5</v>
      </c>
      <c r="J162" s="171"/>
      <c r="K162" s="171"/>
      <c r="L162" s="171"/>
      <c r="M162" s="171"/>
    </row>
    <row r="163" spans="1:13" outlineLevel="1" x14ac:dyDescent="0.2">
      <c r="A163" s="171"/>
      <c r="B163" s="422">
        <v>1</v>
      </c>
      <c r="C163" s="413" t="s">
        <v>104</v>
      </c>
      <c r="D163" s="396">
        <f t="shared" ref="D163:I163" si="71">INDEX(PBSScriptsNew,$B160,D161)*INDEX(DPMQCoPayNewPub,$B160,$B163)</f>
        <v>0</v>
      </c>
      <c r="E163" s="396">
        <f t="shared" si="71"/>
        <v>0</v>
      </c>
      <c r="F163" s="396">
        <f t="shared" si="71"/>
        <v>0</v>
      </c>
      <c r="G163" s="396">
        <f t="shared" si="71"/>
        <v>0</v>
      </c>
      <c r="H163" s="396">
        <f t="shared" si="71"/>
        <v>0</v>
      </c>
      <c r="I163" s="396">
        <f t="shared" si="71"/>
        <v>0</v>
      </c>
      <c r="J163" s="171"/>
      <c r="K163" s="171"/>
      <c r="L163" s="171"/>
      <c r="M163" s="171"/>
    </row>
    <row r="164" spans="1:13" outlineLevel="1" x14ac:dyDescent="0.2">
      <c r="A164" s="171"/>
      <c r="B164" s="422">
        <v>3</v>
      </c>
      <c r="C164" s="11" t="s">
        <v>129</v>
      </c>
      <c r="D164" s="396">
        <f t="shared" ref="D164:I164" si="72">INDEX(PBSScriptsNew,$B160,D161)*(INDEX(DPMQCoPayNewPub,$B160,$B164)/INDEX(CoPayCountNew,$B160))</f>
        <v>0</v>
      </c>
      <c r="E164" s="396">
        <f t="shared" si="72"/>
        <v>0</v>
      </c>
      <c r="F164" s="396">
        <f t="shared" si="72"/>
        <v>0</v>
      </c>
      <c r="G164" s="396">
        <f t="shared" si="72"/>
        <v>0</v>
      </c>
      <c r="H164" s="396">
        <f t="shared" si="72"/>
        <v>0</v>
      </c>
      <c r="I164" s="396">
        <f t="shared" si="72"/>
        <v>0</v>
      </c>
      <c r="J164" s="171"/>
      <c r="K164" s="763" t="str">
        <f>IF(B161&lt;&gt;0,MsgNote&amp;IF(B161="Yes",INDEX(CoPayMethod,1),INDEX(CoPayMethod,2)),"")</f>
        <v/>
      </c>
      <c r="L164" s="763"/>
      <c r="M164" s="763"/>
    </row>
    <row r="165" spans="1:13" outlineLevel="1" x14ac:dyDescent="0.2">
      <c r="A165" s="171"/>
      <c r="B165" s="224"/>
      <c r="C165" s="11" t="s">
        <v>106</v>
      </c>
      <c r="D165" s="396">
        <f t="shared" ref="D165:I165" si="73">D163+D164</f>
        <v>0</v>
      </c>
      <c r="E165" s="396">
        <f t="shared" si="73"/>
        <v>0</v>
      </c>
      <c r="F165" s="396">
        <f t="shared" si="73"/>
        <v>0</v>
      </c>
      <c r="G165" s="396">
        <f t="shared" si="73"/>
        <v>0</v>
      </c>
      <c r="H165" s="396">
        <f t="shared" si="73"/>
        <v>0</v>
      </c>
      <c r="I165" s="396">
        <f t="shared" si="73"/>
        <v>0</v>
      </c>
      <c r="J165" s="171"/>
      <c r="K165" s="171"/>
      <c r="L165" s="171"/>
      <c r="M165" s="171"/>
    </row>
    <row r="166" spans="1:13" outlineLevel="1" x14ac:dyDescent="0.2">
      <c r="A166" s="171"/>
      <c r="B166" s="202"/>
      <c r="C166" s="171"/>
      <c r="D166" s="171"/>
      <c r="E166" s="171"/>
      <c r="F166" s="171"/>
      <c r="G166" s="171"/>
      <c r="H166" s="171"/>
      <c r="I166" s="171"/>
      <c r="J166" s="171"/>
      <c r="K166" s="171"/>
      <c r="L166" s="171"/>
      <c r="M166" s="171"/>
    </row>
    <row r="167" spans="1:13" ht="15.75" outlineLevel="1" x14ac:dyDescent="0.2">
      <c r="A167" s="171"/>
      <c r="B167" s="202"/>
      <c r="C167" s="193"/>
      <c r="D167" s="411">
        <f>FirstYear</f>
        <v>0</v>
      </c>
      <c r="E167" s="411">
        <f>D167+1</f>
        <v>1</v>
      </c>
      <c r="F167" s="411">
        <f>E167+1</f>
        <v>2</v>
      </c>
      <c r="G167" s="411">
        <f>F167+1</f>
        <v>3</v>
      </c>
      <c r="H167" s="411">
        <f>G167+1</f>
        <v>4</v>
      </c>
      <c r="I167" s="411">
        <f>H167+1</f>
        <v>5</v>
      </c>
      <c r="J167" s="171"/>
      <c r="K167" s="171"/>
      <c r="L167" s="171"/>
      <c r="M167" s="171"/>
    </row>
    <row r="168" spans="1:13" outlineLevel="1" x14ac:dyDescent="0.2">
      <c r="A168" s="171"/>
      <c r="B168" s="422">
        <v>1</v>
      </c>
      <c r="C168" s="413" t="s">
        <v>105</v>
      </c>
      <c r="D168" s="396">
        <f t="shared" ref="D168:I168" si="74">INDEX(RPBSScriptsNew,$B160,D161)*INDEX(DPMQCoPayNewPub,$B160,$B168)</f>
        <v>0</v>
      </c>
      <c r="E168" s="396">
        <f t="shared" si="74"/>
        <v>0</v>
      </c>
      <c r="F168" s="396">
        <f t="shared" si="74"/>
        <v>0</v>
      </c>
      <c r="G168" s="396">
        <f t="shared" si="74"/>
        <v>0</v>
      </c>
      <c r="H168" s="396">
        <f t="shared" si="74"/>
        <v>0</v>
      </c>
      <c r="I168" s="396">
        <f t="shared" si="74"/>
        <v>0</v>
      </c>
      <c r="J168" s="171"/>
      <c r="K168" s="171"/>
      <c r="L168" s="171"/>
      <c r="M168" s="171"/>
    </row>
    <row r="169" spans="1:13" outlineLevel="1" x14ac:dyDescent="0.2">
      <c r="A169" s="171"/>
      <c r="B169" s="422">
        <v>4</v>
      </c>
      <c r="C169" s="11" t="s">
        <v>129</v>
      </c>
      <c r="D169" s="396">
        <f t="shared" ref="D169:I169" si="75">INDEX(RPBSScriptsNew,$B160,D161)*(INDEX(DPMQCoPayNewPub,$B160,$B169)/INDEX(CoPayCountNew,$B160))</f>
        <v>0</v>
      </c>
      <c r="E169" s="396">
        <f t="shared" si="75"/>
        <v>0</v>
      </c>
      <c r="F169" s="396">
        <f t="shared" si="75"/>
        <v>0</v>
      </c>
      <c r="G169" s="396">
        <f t="shared" si="75"/>
        <v>0</v>
      </c>
      <c r="H169" s="396">
        <f t="shared" si="75"/>
        <v>0</v>
      </c>
      <c r="I169" s="396">
        <f t="shared" si="75"/>
        <v>0</v>
      </c>
      <c r="J169" s="171"/>
      <c r="K169" s="171"/>
      <c r="L169" s="171"/>
      <c r="M169" s="171"/>
    </row>
    <row r="170" spans="1:13" outlineLevel="1" x14ac:dyDescent="0.2">
      <c r="A170" s="171"/>
      <c r="B170" s="224"/>
      <c r="C170" s="11" t="s">
        <v>107</v>
      </c>
      <c r="D170" s="396">
        <f t="shared" ref="D170:I170" si="76">D168+D169</f>
        <v>0</v>
      </c>
      <c r="E170" s="396">
        <f t="shared" si="76"/>
        <v>0</v>
      </c>
      <c r="F170" s="396">
        <f t="shared" si="76"/>
        <v>0</v>
      </c>
      <c r="G170" s="396">
        <f t="shared" si="76"/>
        <v>0</v>
      </c>
      <c r="H170" s="396">
        <f t="shared" si="76"/>
        <v>0</v>
      </c>
      <c r="I170" s="396">
        <f t="shared" si="76"/>
        <v>0</v>
      </c>
      <c r="J170" s="171"/>
      <c r="K170" s="171"/>
      <c r="L170" s="171"/>
      <c r="M170" s="171"/>
    </row>
    <row r="171" spans="1:13" x14ac:dyDescent="0.2">
      <c r="A171" s="171"/>
      <c r="B171" s="224"/>
      <c r="C171" s="171"/>
      <c r="D171" s="171"/>
      <c r="E171" s="171"/>
      <c r="F171" s="171"/>
      <c r="G171" s="171"/>
      <c r="H171" s="171"/>
      <c r="I171" s="171"/>
      <c r="J171" s="171"/>
      <c r="K171" s="171"/>
      <c r="L171" s="171"/>
      <c r="M171" s="171"/>
    </row>
    <row r="172" spans="1:13" ht="15" x14ac:dyDescent="0.2">
      <c r="A172" s="171"/>
      <c r="B172" s="423">
        <v>13</v>
      </c>
      <c r="C172" s="221" t="str">
        <f>INDEX(PBSScriptsNew,B172,1)</f>
        <v>** NOT USED **</v>
      </c>
      <c r="D172" s="207"/>
      <c r="E172" s="207"/>
      <c r="F172" s="207"/>
      <c r="G172" s="207"/>
      <c r="H172" s="207"/>
      <c r="I172" s="188"/>
      <c r="J172" s="188"/>
      <c r="K172" s="188"/>
      <c r="L172" s="782" t="str">
        <f>IF(C172&lt;&gt;MsgNotUsed,"Co-payment group " &amp; INDEX(CoPayBandMS,B172),"")</f>
        <v/>
      </c>
      <c r="M172" s="782"/>
    </row>
    <row r="173" spans="1:13" outlineLevel="1" x14ac:dyDescent="0.2">
      <c r="A173" s="171"/>
      <c r="B173" s="352">
        <f>INDEX(SANew,B172,5)</f>
        <v>0</v>
      </c>
      <c r="C173" s="20"/>
      <c r="D173" s="419">
        <v>2</v>
      </c>
      <c r="E173" s="419">
        <v>3</v>
      </c>
      <c r="F173" s="201">
        <v>4</v>
      </c>
      <c r="G173" s="201">
        <v>5</v>
      </c>
      <c r="H173" s="201">
        <v>6</v>
      </c>
      <c r="I173" s="420">
        <v>7</v>
      </c>
      <c r="J173" s="19"/>
      <c r="K173" s="19"/>
      <c r="L173" s="19"/>
      <c r="M173" s="19"/>
    </row>
    <row r="174" spans="1:13" outlineLevel="1" x14ac:dyDescent="0.2">
      <c r="A174" s="171"/>
      <c r="B174" s="224"/>
      <c r="C174" s="171"/>
      <c r="D174" s="411">
        <f>FirstYear</f>
        <v>0</v>
      </c>
      <c r="E174" s="411">
        <f>D174+1</f>
        <v>1</v>
      </c>
      <c r="F174" s="411">
        <f>E174+1</f>
        <v>2</v>
      </c>
      <c r="G174" s="411">
        <f>F174+1</f>
        <v>3</v>
      </c>
      <c r="H174" s="411">
        <f>G174+1</f>
        <v>4</v>
      </c>
      <c r="I174" s="411">
        <f>H174+1</f>
        <v>5</v>
      </c>
      <c r="J174" s="171"/>
      <c r="K174" s="171"/>
      <c r="L174" s="171"/>
      <c r="M174" s="171"/>
    </row>
    <row r="175" spans="1:13" outlineLevel="1" x14ac:dyDescent="0.2">
      <c r="A175" s="171"/>
      <c r="B175" s="422">
        <v>1</v>
      </c>
      <c r="C175" s="413" t="s">
        <v>104</v>
      </c>
      <c r="D175" s="396">
        <f t="shared" ref="D175:I175" si="77">INDEX(PBSScriptsNew,$B172,D173)*INDEX(DPMQCoPayNewPub,$B172,$B175)</f>
        <v>0</v>
      </c>
      <c r="E175" s="396">
        <f t="shared" si="77"/>
        <v>0</v>
      </c>
      <c r="F175" s="396">
        <f t="shared" si="77"/>
        <v>0</v>
      </c>
      <c r="G175" s="396">
        <f t="shared" si="77"/>
        <v>0</v>
      </c>
      <c r="H175" s="396">
        <f t="shared" si="77"/>
        <v>0</v>
      </c>
      <c r="I175" s="396">
        <f t="shared" si="77"/>
        <v>0</v>
      </c>
      <c r="J175" s="171"/>
      <c r="K175" s="171"/>
      <c r="L175" s="171"/>
      <c r="M175" s="171"/>
    </row>
    <row r="176" spans="1:13" outlineLevel="1" x14ac:dyDescent="0.2">
      <c r="A176" s="171"/>
      <c r="B176" s="422">
        <v>3</v>
      </c>
      <c r="C176" s="11" t="s">
        <v>129</v>
      </c>
      <c r="D176" s="396">
        <f t="shared" ref="D176:I176" si="78">INDEX(PBSScriptsNew,$B172,D173)*(INDEX(DPMQCoPayNewPub,$B172,$B176)/INDEX(CoPayCountNew,$B172))</f>
        <v>0</v>
      </c>
      <c r="E176" s="396">
        <f t="shared" si="78"/>
        <v>0</v>
      </c>
      <c r="F176" s="396">
        <f t="shared" si="78"/>
        <v>0</v>
      </c>
      <c r="G176" s="396">
        <f t="shared" si="78"/>
        <v>0</v>
      </c>
      <c r="H176" s="396">
        <f t="shared" si="78"/>
        <v>0</v>
      </c>
      <c r="I176" s="396">
        <f t="shared" si="78"/>
        <v>0</v>
      </c>
      <c r="J176" s="171"/>
      <c r="K176" s="763" t="str">
        <f>IF(B173&lt;&gt;0,MsgNote&amp;IF(B173="Yes",INDEX(CoPayMethod,1),INDEX(CoPayMethod,2)),"")</f>
        <v/>
      </c>
      <c r="L176" s="763"/>
      <c r="M176" s="763"/>
    </row>
    <row r="177" spans="1:13" outlineLevel="1" x14ac:dyDescent="0.2">
      <c r="A177" s="171"/>
      <c r="B177" s="224"/>
      <c r="C177" s="11" t="s">
        <v>106</v>
      </c>
      <c r="D177" s="396">
        <f t="shared" ref="D177:I177" si="79">D175+D176</f>
        <v>0</v>
      </c>
      <c r="E177" s="396">
        <f t="shared" si="79"/>
        <v>0</v>
      </c>
      <c r="F177" s="396">
        <f t="shared" si="79"/>
        <v>0</v>
      </c>
      <c r="G177" s="396">
        <f t="shared" si="79"/>
        <v>0</v>
      </c>
      <c r="H177" s="396">
        <f t="shared" si="79"/>
        <v>0</v>
      </c>
      <c r="I177" s="396">
        <f t="shared" si="79"/>
        <v>0</v>
      </c>
      <c r="J177" s="171"/>
      <c r="K177" s="171"/>
      <c r="L177" s="171"/>
      <c r="M177" s="171"/>
    </row>
    <row r="178" spans="1:13" outlineLevel="1" x14ac:dyDescent="0.2">
      <c r="A178" s="171"/>
      <c r="B178" s="202"/>
      <c r="C178" s="171"/>
      <c r="D178" s="171"/>
      <c r="E178" s="171"/>
      <c r="F178" s="171"/>
      <c r="G178" s="171"/>
      <c r="H178" s="171"/>
      <c r="I178" s="171"/>
      <c r="J178" s="171"/>
      <c r="K178" s="171"/>
      <c r="L178" s="171"/>
      <c r="M178" s="171"/>
    </row>
    <row r="179" spans="1:13" ht="15.75" outlineLevel="1" x14ac:dyDescent="0.2">
      <c r="A179" s="171"/>
      <c r="B179" s="202"/>
      <c r="C179" s="193"/>
      <c r="D179" s="411">
        <f>FirstYear</f>
        <v>0</v>
      </c>
      <c r="E179" s="411">
        <f>D179+1</f>
        <v>1</v>
      </c>
      <c r="F179" s="411">
        <f>E179+1</f>
        <v>2</v>
      </c>
      <c r="G179" s="411">
        <f>F179+1</f>
        <v>3</v>
      </c>
      <c r="H179" s="411">
        <f>G179+1</f>
        <v>4</v>
      </c>
      <c r="I179" s="411">
        <f>H179+1</f>
        <v>5</v>
      </c>
      <c r="J179" s="171"/>
      <c r="K179" s="171"/>
      <c r="L179" s="171"/>
      <c r="M179" s="171"/>
    </row>
    <row r="180" spans="1:13" outlineLevel="1" x14ac:dyDescent="0.2">
      <c r="A180" s="171"/>
      <c r="B180" s="422">
        <v>1</v>
      </c>
      <c r="C180" s="413" t="s">
        <v>105</v>
      </c>
      <c r="D180" s="396">
        <f t="shared" ref="D180:I180" si="80">INDEX(RPBSScriptsNew,$B172,D173)*INDEX(DPMQCoPayNewPub,$B172,$B180)</f>
        <v>0</v>
      </c>
      <c r="E180" s="396">
        <f t="shared" si="80"/>
        <v>0</v>
      </c>
      <c r="F180" s="396">
        <f t="shared" si="80"/>
        <v>0</v>
      </c>
      <c r="G180" s="396">
        <f t="shared" si="80"/>
        <v>0</v>
      </c>
      <c r="H180" s="396">
        <f t="shared" si="80"/>
        <v>0</v>
      </c>
      <c r="I180" s="396">
        <f t="shared" si="80"/>
        <v>0</v>
      </c>
      <c r="J180" s="171"/>
      <c r="K180" s="171"/>
      <c r="L180" s="171"/>
      <c r="M180" s="171"/>
    </row>
    <row r="181" spans="1:13" outlineLevel="1" x14ac:dyDescent="0.2">
      <c r="A181" s="171"/>
      <c r="B181" s="422">
        <v>4</v>
      </c>
      <c r="C181" s="11" t="s">
        <v>129</v>
      </c>
      <c r="D181" s="396">
        <f t="shared" ref="D181:I181" si="81">INDEX(RPBSScriptsNew,$B172,D173)*(INDEX(DPMQCoPayNewPub,$B172,$B181)/INDEX(CoPayCountNew,$B172))</f>
        <v>0</v>
      </c>
      <c r="E181" s="396">
        <f t="shared" si="81"/>
        <v>0</v>
      </c>
      <c r="F181" s="396">
        <f t="shared" si="81"/>
        <v>0</v>
      </c>
      <c r="G181" s="396">
        <f t="shared" si="81"/>
        <v>0</v>
      </c>
      <c r="H181" s="396">
        <f t="shared" si="81"/>
        <v>0</v>
      </c>
      <c r="I181" s="396">
        <f t="shared" si="81"/>
        <v>0</v>
      </c>
      <c r="J181" s="171"/>
      <c r="K181" s="171"/>
      <c r="L181" s="171"/>
      <c r="M181" s="171"/>
    </row>
    <row r="182" spans="1:13" outlineLevel="1" x14ac:dyDescent="0.2">
      <c r="A182" s="171"/>
      <c r="B182" s="224"/>
      <c r="C182" s="11" t="s">
        <v>107</v>
      </c>
      <c r="D182" s="396">
        <f t="shared" ref="D182:I182" si="82">D180+D181</f>
        <v>0</v>
      </c>
      <c r="E182" s="396">
        <f t="shared" si="82"/>
        <v>0</v>
      </c>
      <c r="F182" s="396">
        <f t="shared" si="82"/>
        <v>0</v>
      </c>
      <c r="G182" s="396">
        <f t="shared" si="82"/>
        <v>0</v>
      </c>
      <c r="H182" s="396">
        <f t="shared" si="82"/>
        <v>0</v>
      </c>
      <c r="I182" s="396">
        <f t="shared" si="82"/>
        <v>0</v>
      </c>
      <c r="J182" s="171"/>
      <c r="K182" s="171"/>
      <c r="L182" s="171"/>
      <c r="M182" s="171"/>
    </row>
    <row r="183" spans="1:13" x14ac:dyDescent="0.2">
      <c r="A183" s="171"/>
      <c r="B183" s="224"/>
      <c r="C183" s="171"/>
      <c r="D183" s="171"/>
      <c r="E183" s="171"/>
      <c r="F183" s="171"/>
      <c r="G183" s="171"/>
      <c r="H183" s="171"/>
      <c r="I183" s="171"/>
      <c r="J183" s="171"/>
      <c r="K183" s="171"/>
      <c r="L183" s="171"/>
      <c r="M183" s="171"/>
    </row>
    <row r="184" spans="1:13" ht="15" x14ac:dyDescent="0.2">
      <c r="A184" s="171"/>
      <c r="B184" s="423">
        <v>14</v>
      </c>
      <c r="C184" s="221" t="str">
        <f>INDEX(PBSScriptsNew,B184,1)</f>
        <v>** NOT USED **</v>
      </c>
      <c r="D184" s="207"/>
      <c r="E184" s="207"/>
      <c r="F184" s="207"/>
      <c r="G184" s="207"/>
      <c r="H184" s="207"/>
      <c r="I184" s="188"/>
      <c r="J184" s="188"/>
      <c r="K184" s="188"/>
      <c r="L184" s="782" t="str">
        <f>IF(C184&lt;&gt;MsgNotUsed,"Co-payment group " &amp; INDEX(CoPayBandMS,B184),"")</f>
        <v/>
      </c>
      <c r="M184" s="782"/>
    </row>
    <row r="185" spans="1:13" outlineLevel="1" x14ac:dyDescent="0.2">
      <c r="A185" s="171"/>
      <c r="B185" s="352">
        <f>INDEX(SANew,B184,5)</f>
        <v>0</v>
      </c>
      <c r="C185" s="20"/>
      <c r="D185" s="419">
        <v>2</v>
      </c>
      <c r="E185" s="419">
        <v>3</v>
      </c>
      <c r="F185" s="201">
        <v>4</v>
      </c>
      <c r="G185" s="201">
        <v>5</v>
      </c>
      <c r="H185" s="201">
        <v>6</v>
      </c>
      <c r="I185" s="420">
        <v>7</v>
      </c>
      <c r="J185" s="19"/>
      <c r="K185" s="19"/>
      <c r="L185" s="19"/>
      <c r="M185" s="19"/>
    </row>
    <row r="186" spans="1:13" outlineLevel="1" x14ac:dyDescent="0.2">
      <c r="A186" s="171"/>
      <c r="B186" s="224"/>
      <c r="C186" s="171"/>
      <c r="D186" s="411">
        <f>FirstYear</f>
        <v>0</v>
      </c>
      <c r="E186" s="411">
        <f>D186+1</f>
        <v>1</v>
      </c>
      <c r="F186" s="411">
        <f>E186+1</f>
        <v>2</v>
      </c>
      <c r="G186" s="411">
        <f>F186+1</f>
        <v>3</v>
      </c>
      <c r="H186" s="411">
        <f>G186+1</f>
        <v>4</v>
      </c>
      <c r="I186" s="411">
        <f>H186+1</f>
        <v>5</v>
      </c>
      <c r="J186" s="171"/>
      <c r="K186" s="171"/>
      <c r="L186" s="171"/>
      <c r="M186" s="171"/>
    </row>
    <row r="187" spans="1:13" outlineLevel="1" x14ac:dyDescent="0.2">
      <c r="A187" s="171"/>
      <c r="B187" s="422">
        <v>1</v>
      </c>
      <c r="C187" s="413" t="s">
        <v>104</v>
      </c>
      <c r="D187" s="396">
        <f t="shared" ref="D187:I187" si="83">INDEX(PBSScriptsNew,$B184,D185)*INDEX(DPMQCoPayNewPub,$B184,$B187)</f>
        <v>0</v>
      </c>
      <c r="E187" s="396">
        <f t="shared" si="83"/>
        <v>0</v>
      </c>
      <c r="F187" s="396">
        <f t="shared" si="83"/>
        <v>0</v>
      </c>
      <c r="G187" s="396">
        <f t="shared" si="83"/>
        <v>0</v>
      </c>
      <c r="H187" s="396">
        <f t="shared" si="83"/>
        <v>0</v>
      </c>
      <c r="I187" s="396">
        <f t="shared" si="83"/>
        <v>0</v>
      </c>
      <c r="J187" s="171"/>
      <c r="K187" s="171"/>
      <c r="L187" s="171"/>
      <c r="M187" s="171"/>
    </row>
    <row r="188" spans="1:13" outlineLevel="1" x14ac:dyDescent="0.2">
      <c r="A188" s="171"/>
      <c r="B188" s="422">
        <v>3</v>
      </c>
      <c r="C188" s="11" t="s">
        <v>129</v>
      </c>
      <c r="D188" s="396">
        <f t="shared" ref="D188:I188" si="84">INDEX(PBSScriptsNew,$B184,D185)*(INDEX(DPMQCoPayNewPub,$B184,$B188)/INDEX(CoPayCountNew,$B184))</f>
        <v>0</v>
      </c>
      <c r="E188" s="396">
        <f t="shared" si="84"/>
        <v>0</v>
      </c>
      <c r="F188" s="396">
        <f t="shared" si="84"/>
        <v>0</v>
      </c>
      <c r="G188" s="396">
        <f t="shared" si="84"/>
        <v>0</v>
      </c>
      <c r="H188" s="396">
        <f t="shared" si="84"/>
        <v>0</v>
      </c>
      <c r="I188" s="396">
        <f t="shared" si="84"/>
        <v>0</v>
      </c>
      <c r="J188" s="171"/>
      <c r="K188" s="763" t="str">
        <f>IF(B185&lt;&gt;0,MsgNote&amp;IF(B185="Yes",INDEX(CoPayMethod,1),INDEX(CoPayMethod,2)),"")</f>
        <v/>
      </c>
      <c r="L188" s="763"/>
      <c r="M188" s="763"/>
    </row>
    <row r="189" spans="1:13" outlineLevel="1" x14ac:dyDescent="0.2">
      <c r="A189" s="171"/>
      <c r="B189" s="224"/>
      <c r="C189" s="11" t="s">
        <v>106</v>
      </c>
      <c r="D189" s="396">
        <f t="shared" ref="D189:I189" si="85">D187+D188</f>
        <v>0</v>
      </c>
      <c r="E189" s="396">
        <f t="shared" si="85"/>
        <v>0</v>
      </c>
      <c r="F189" s="396">
        <f t="shared" si="85"/>
        <v>0</v>
      </c>
      <c r="G189" s="396">
        <f t="shared" si="85"/>
        <v>0</v>
      </c>
      <c r="H189" s="396">
        <f t="shared" si="85"/>
        <v>0</v>
      </c>
      <c r="I189" s="396">
        <f t="shared" si="85"/>
        <v>0</v>
      </c>
      <c r="J189" s="171"/>
      <c r="K189" s="171"/>
      <c r="L189" s="171"/>
      <c r="M189" s="171"/>
    </row>
    <row r="190" spans="1:13" outlineLevel="1" x14ac:dyDescent="0.2">
      <c r="A190" s="171"/>
      <c r="B190" s="202"/>
      <c r="C190" s="171"/>
      <c r="D190" s="171"/>
      <c r="E190" s="171"/>
      <c r="F190" s="171"/>
      <c r="G190" s="171"/>
      <c r="H190" s="171"/>
      <c r="I190" s="171"/>
      <c r="J190" s="171"/>
      <c r="K190" s="171"/>
      <c r="L190" s="171"/>
      <c r="M190" s="171"/>
    </row>
    <row r="191" spans="1:13" ht="15.75" outlineLevel="1" x14ac:dyDescent="0.2">
      <c r="A191" s="171"/>
      <c r="B191" s="202"/>
      <c r="C191" s="193"/>
      <c r="D191" s="411">
        <f>FirstYear</f>
        <v>0</v>
      </c>
      <c r="E191" s="411">
        <f>D191+1</f>
        <v>1</v>
      </c>
      <c r="F191" s="411">
        <f>E191+1</f>
        <v>2</v>
      </c>
      <c r="G191" s="411">
        <f>F191+1</f>
        <v>3</v>
      </c>
      <c r="H191" s="411">
        <f>G191+1</f>
        <v>4</v>
      </c>
      <c r="I191" s="411">
        <f>H191+1</f>
        <v>5</v>
      </c>
      <c r="J191" s="171"/>
      <c r="K191" s="171"/>
      <c r="L191" s="171"/>
      <c r="M191" s="171"/>
    </row>
    <row r="192" spans="1:13" outlineLevel="1" x14ac:dyDescent="0.2">
      <c r="A192" s="171"/>
      <c r="B192" s="422">
        <v>1</v>
      </c>
      <c r="C192" s="413" t="s">
        <v>105</v>
      </c>
      <c r="D192" s="396">
        <f t="shared" ref="D192:I192" si="86">INDEX(RPBSScriptsNew,$B184,D185)*INDEX(DPMQCoPayNewPub,$B184,$B192)</f>
        <v>0</v>
      </c>
      <c r="E192" s="396">
        <f t="shared" si="86"/>
        <v>0</v>
      </c>
      <c r="F192" s="396">
        <f t="shared" si="86"/>
        <v>0</v>
      </c>
      <c r="G192" s="396">
        <f t="shared" si="86"/>
        <v>0</v>
      </c>
      <c r="H192" s="396">
        <f t="shared" si="86"/>
        <v>0</v>
      </c>
      <c r="I192" s="396">
        <f t="shared" si="86"/>
        <v>0</v>
      </c>
      <c r="J192" s="171"/>
      <c r="K192" s="171"/>
      <c r="L192" s="171"/>
      <c r="M192" s="171"/>
    </row>
    <row r="193" spans="1:13" outlineLevel="1" x14ac:dyDescent="0.2">
      <c r="A193" s="171"/>
      <c r="B193" s="422">
        <v>4</v>
      </c>
      <c r="C193" s="11" t="s">
        <v>129</v>
      </c>
      <c r="D193" s="396">
        <f t="shared" ref="D193:I193" si="87">INDEX(RPBSScriptsNew,$B184,D185)*(INDEX(DPMQCoPayNewPub,$B184,$B193)/INDEX(CoPayCountNew,$B184))</f>
        <v>0</v>
      </c>
      <c r="E193" s="396">
        <f t="shared" si="87"/>
        <v>0</v>
      </c>
      <c r="F193" s="396">
        <f t="shared" si="87"/>
        <v>0</v>
      </c>
      <c r="G193" s="396">
        <f t="shared" si="87"/>
        <v>0</v>
      </c>
      <c r="H193" s="396">
        <f t="shared" si="87"/>
        <v>0</v>
      </c>
      <c r="I193" s="396">
        <f t="shared" si="87"/>
        <v>0</v>
      </c>
      <c r="J193" s="171"/>
      <c r="K193" s="171"/>
      <c r="L193" s="171"/>
      <c r="M193" s="171"/>
    </row>
    <row r="194" spans="1:13" outlineLevel="1" x14ac:dyDescent="0.2">
      <c r="A194" s="171"/>
      <c r="B194" s="224"/>
      <c r="C194" s="11" t="s">
        <v>107</v>
      </c>
      <c r="D194" s="396">
        <f t="shared" ref="D194:I194" si="88">D192+D193</f>
        <v>0</v>
      </c>
      <c r="E194" s="396">
        <f t="shared" si="88"/>
        <v>0</v>
      </c>
      <c r="F194" s="396">
        <f t="shared" si="88"/>
        <v>0</v>
      </c>
      <c r="G194" s="396">
        <f t="shared" si="88"/>
        <v>0</v>
      </c>
      <c r="H194" s="396">
        <f t="shared" si="88"/>
        <v>0</v>
      </c>
      <c r="I194" s="396">
        <f t="shared" si="88"/>
        <v>0</v>
      </c>
      <c r="J194" s="171"/>
      <c r="K194" s="171"/>
      <c r="L194" s="171"/>
      <c r="M194" s="171"/>
    </row>
    <row r="195" spans="1:13" x14ac:dyDescent="0.2">
      <c r="A195" s="171"/>
      <c r="B195" s="224"/>
      <c r="C195" s="171"/>
      <c r="D195" s="171"/>
      <c r="E195" s="171"/>
      <c r="F195" s="171"/>
      <c r="G195" s="171"/>
      <c r="H195" s="171"/>
      <c r="I195" s="171"/>
      <c r="J195" s="171"/>
      <c r="K195" s="171"/>
      <c r="L195" s="171"/>
      <c r="M195" s="171"/>
    </row>
    <row r="196" spans="1:13" ht="15" x14ac:dyDescent="0.2">
      <c r="A196" s="171"/>
      <c r="B196" s="423">
        <v>15</v>
      </c>
      <c r="C196" s="221" t="str">
        <f>INDEX(PBSScriptsNew,B196,1)</f>
        <v>** NOT USED **</v>
      </c>
      <c r="D196" s="207"/>
      <c r="E196" s="207"/>
      <c r="F196" s="207"/>
      <c r="G196" s="207"/>
      <c r="H196" s="207"/>
      <c r="I196" s="188"/>
      <c r="J196" s="188"/>
      <c r="K196" s="188"/>
      <c r="L196" s="782" t="str">
        <f>IF(C196&lt;&gt;MsgNotUsed,"Co-payment group " &amp; INDEX(CoPayBandMS,B196),"")</f>
        <v/>
      </c>
      <c r="M196" s="782"/>
    </row>
    <row r="197" spans="1:13" outlineLevel="1" x14ac:dyDescent="0.2">
      <c r="A197" s="171"/>
      <c r="B197" s="352">
        <f>INDEX(SANew,B196,5)</f>
        <v>0</v>
      </c>
      <c r="C197" s="20"/>
      <c r="D197" s="419">
        <v>2</v>
      </c>
      <c r="E197" s="419">
        <v>3</v>
      </c>
      <c r="F197" s="201">
        <v>4</v>
      </c>
      <c r="G197" s="201">
        <v>5</v>
      </c>
      <c r="H197" s="201">
        <v>6</v>
      </c>
      <c r="I197" s="420">
        <v>7</v>
      </c>
      <c r="J197" s="19"/>
      <c r="K197" s="19"/>
      <c r="L197" s="19"/>
      <c r="M197" s="19"/>
    </row>
    <row r="198" spans="1:13" outlineLevel="1" x14ac:dyDescent="0.2">
      <c r="A198" s="171"/>
      <c r="B198" s="224"/>
      <c r="C198" s="171"/>
      <c r="D198" s="411">
        <f>FirstYear</f>
        <v>0</v>
      </c>
      <c r="E198" s="411">
        <f>D198+1</f>
        <v>1</v>
      </c>
      <c r="F198" s="411">
        <f>E198+1</f>
        <v>2</v>
      </c>
      <c r="G198" s="411">
        <f>F198+1</f>
        <v>3</v>
      </c>
      <c r="H198" s="411">
        <f>G198+1</f>
        <v>4</v>
      </c>
      <c r="I198" s="411">
        <f>H198+1</f>
        <v>5</v>
      </c>
      <c r="J198" s="171"/>
      <c r="K198" s="171"/>
      <c r="L198" s="171"/>
      <c r="M198" s="171"/>
    </row>
    <row r="199" spans="1:13" outlineLevel="1" x14ac:dyDescent="0.2">
      <c r="A199" s="171"/>
      <c r="B199" s="422">
        <v>1</v>
      </c>
      <c r="C199" s="413" t="s">
        <v>104</v>
      </c>
      <c r="D199" s="396">
        <f t="shared" ref="D199:I199" si="89">INDEX(PBSScriptsNew,$B196,D197)*INDEX(DPMQCoPayNewPub,$B196,$B199)</f>
        <v>0</v>
      </c>
      <c r="E199" s="396">
        <f t="shared" si="89"/>
        <v>0</v>
      </c>
      <c r="F199" s="396">
        <f t="shared" si="89"/>
        <v>0</v>
      </c>
      <c r="G199" s="396">
        <f t="shared" si="89"/>
        <v>0</v>
      </c>
      <c r="H199" s="396">
        <f t="shared" si="89"/>
        <v>0</v>
      </c>
      <c r="I199" s="396">
        <f t="shared" si="89"/>
        <v>0</v>
      </c>
      <c r="J199" s="171"/>
      <c r="K199" s="171"/>
      <c r="L199" s="171"/>
      <c r="M199" s="171"/>
    </row>
    <row r="200" spans="1:13" outlineLevel="1" x14ac:dyDescent="0.2">
      <c r="A200" s="171"/>
      <c r="B200" s="422">
        <v>3</v>
      </c>
      <c r="C200" s="11" t="s">
        <v>129</v>
      </c>
      <c r="D200" s="396">
        <f t="shared" ref="D200:I200" si="90">INDEX(PBSScriptsNew,$B196,D197)*(INDEX(DPMQCoPayNewPub,$B196,$B200)/INDEX(CoPayCountNew,$B196))</f>
        <v>0</v>
      </c>
      <c r="E200" s="396">
        <f t="shared" si="90"/>
        <v>0</v>
      </c>
      <c r="F200" s="396">
        <f t="shared" si="90"/>
        <v>0</v>
      </c>
      <c r="G200" s="396">
        <f t="shared" si="90"/>
        <v>0</v>
      </c>
      <c r="H200" s="396">
        <f t="shared" si="90"/>
        <v>0</v>
      </c>
      <c r="I200" s="396">
        <f t="shared" si="90"/>
        <v>0</v>
      </c>
      <c r="J200" s="171"/>
      <c r="K200" s="763" t="str">
        <f>IF(B197&lt;&gt;0,MsgNote&amp;IF(B197="Yes",INDEX(CoPayMethod,1),INDEX(CoPayMethod,2)),"")</f>
        <v/>
      </c>
      <c r="L200" s="763"/>
      <c r="M200" s="763"/>
    </row>
    <row r="201" spans="1:13" outlineLevel="1" x14ac:dyDescent="0.2">
      <c r="A201" s="171"/>
      <c r="B201" s="224"/>
      <c r="C201" s="11" t="s">
        <v>106</v>
      </c>
      <c r="D201" s="396">
        <f t="shared" ref="D201:I201" si="91">D199+D200</f>
        <v>0</v>
      </c>
      <c r="E201" s="396">
        <f t="shared" si="91"/>
        <v>0</v>
      </c>
      <c r="F201" s="396">
        <f t="shared" si="91"/>
        <v>0</v>
      </c>
      <c r="G201" s="396">
        <f t="shared" si="91"/>
        <v>0</v>
      </c>
      <c r="H201" s="396">
        <f t="shared" si="91"/>
        <v>0</v>
      </c>
      <c r="I201" s="396">
        <f t="shared" si="91"/>
        <v>0</v>
      </c>
      <c r="J201" s="171"/>
      <c r="K201" s="171"/>
      <c r="L201" s="171"/>
      <c r="M201" s="171"/>
    </row>
    <row r="202" spans="1:13" outlineLevel="1" x14ac:dyDescent="0.2">
      <c r="A202" s="171"/>
      <c r="B202" s="202"/>
      <c r="C202" s="171"/>
      <c r="D202" s="171"/>
      <c r="E202" s="171"/>
      <c r="F202" s="171"/>
      <c r="G202" s="171"/>
      <c r="H202" s="171"/>
      <c r="I202" s="171"/>
      <c r="J202" s="171"/>
      <c r="K202" s="171"/>
      <c r="L202" s="171"/>
      <c r="M202" s="171"/>
    </row>
    <row r="203" spans="1:13" ht="15.75" outlineLevel="1" x14ac:dyDescent="0.2">
      <c r="A203" s="171"/>
      <c r="B203" s="202"/>
      <c r="C203" s="193"/>
      <c r="D203" s="411">
        <f>FirstYear</f>
        <v>0</v>
      </c>
      <c r="E203" s="411">
        <f>D203+1</f>
        <v>1</v>
      </c>
      <c r="F203" s="411">
        <f>E203+1</f>
        <v>2</v>
      </c>
      <c r="G203" s="411">
        <f>F203+1</f>
        <v>3</v>
      </c>
      <c r="H203" s="411">
        <f>G203+1</f>
        <v>4</v>
      </c>
      <c r="I203" s="411">
        <f>H203+1</f>
        <v>5</v>
      </c>
      <c r="J203" s="171"/>
      <c r="K203" s="171"/>
      <c r="L203" s="171"/>
      <c r="M203" s="171"/>
    </row>
    <row r="204" spans="1:13" outlineLevel="1" x14ac:dyDescent="0.2">
      <c r="A204" s="171"/>
      <c r="B204" s="422">
        <v>1</v>
      </c>
      <c r="C204" s="413" t="s">
        <v>105</v>
      </c>
      <c r="D204" s="396">
        <f t="shared" ref="D204:I204" si="92">INDEX(RPBSScriptsNew,$B196,D197)*INDEX(DPMQCoPayNewPub,$B196,$B204)</f>
        <v>0</v>
      </c>
      <c r="E204" s="396">
        <f t="shared" si="92"/>
        <v>0</v>
      </c>
      <c r="F204" s="396">
        <f t="shared" si="92"/>
        <v>0</v>
      </c>
      <c r="G204" s="396">
        <f t="shared" si="92"/>
        <v>0</v>
      </c>
      <c r="H204" s="396">
        <f t="shared" si="92"/>
        <v>0</v>
      </c>
      <c r="I204" s="396">
        <f t="shared" si="92"/>
        <v>0</v>
      </c>
      <c r="J204" s="171"/>
      <c r="K204" s="171"/>
      <c r="L204" s="171"/>
      <c r="M204" s="171"/>
    </row>
    <row r="205" spans="1:13" outlineLevel="1" x14ac:dyDescent="0.2">
      <c r="A205" s="171"/>
      <c r="B205" s="422">
        <v>4</v>
      </c>
      <c r="C205" s="11" t="s">
        <v>129</v>
      </c>
      <c r="D205" s="396">
        <f t="shared" ref="D205:I205" si="93">INDEX(RPBSScriptsNew,$B196,D197)*(INDEX(DPMQCoPayNewPub,$B196,$B205)/INDEX(CoPayCountNew,$B196))</f>
        <v>0</v>
      </c>
      <c r="E205" s="396">
        <f t="shared" si="93"/>
        <v>0</v>
      </c>
      <c r="F205" s="396">
        <f t="shared" si="93"/>
        <v>0</v>
      </c>
      <c r="G205" s="396">
        <f t="shared" si="93"/>
        <v>0</v>
      </c>
      <c r="H205" s="396">
        <f t="shared" si="93"/>
        <v>0</v>
      </c>
      <c r="I205" s="396">
        <f t="shared" si="93"/>
        <v>0</v>
      </c>
      <c r="J205" s="171"/>
      <c r="K205" s="171"/>
      <c r="L205" s="171"/>
      <c r="M205" s="171"/>
    </row>
    <row r="206" spans="1:13" outlineLevel="1" x14ac:dyDescent="0.2">
      <c r="A206" s="171"/>
      <c r="B206" s="224"/>
      <c r="C206" s="11" t="s">
        <v>107</v>
      </c>
      <c r="D206" s="396">
        <f t="shared" ref="D206:I206" si="94">D204+D205</f>
        <v>0</v>
      </c>
      <c r="E206" s="396">
        <f t="shared" si="94"/>
        <v>0</v>
      </c>
      <c r="F206" s="396">
        <f t="shared" si="94"/>
        <v>0</v>
      </c>
      <c r="G206" s="396">
        <f t="shared" si="94"/>
        <v>0</v>
      </c>
      <c r="H206" s="396">
        <f t="shared" si="94"/>
        <v>0</v>
      </c>
      <c r="I206" s="396">
        <f t="shared" si="94"/>
        <v>0</v>
      </c>
      <c r="J206" s="171"/>
      <c r="K206" s="171"/>
      <c r="L206" s="171"/>
      <c r="M206" s="171"/>
    </row>
    <row r="207" spans="1:13" x14ac:dyDescent="0.2">
      <c r="A207" s="171"/>
      <c r="B207" s="224"/>
      <c r="C207" s="171"/>
      <c r="D207" s="171"/>
      <c r="E207" s="171"/>
      <c r="F207" s="171"/>
      <c r="G207" s="171"/>
      <c r="H207" s="171"/>
      <c r="I207" s="171"/>
      <c r="J207" s="171"/>
      <c r="K207" s="171"/>
      <c r="L207" s="171"/>
      <c r="M207" s="171"/>
    </row>
    <row r="208" spans="1:13" ht="15" x14ac:dyDescent="0.2">
      <c r="A208" s="171"/>
      <c r="B208" s="423">
        <v>16</v>
      </c>
      <c r="C208" s="221" t="str">
        <f>INDEX(PBSScriptsNew,B208,1)</f>
        <v>** NOT USED **</v>
      </c>
      <c r="D208" s="207"/>
      <c r="E208" s="207"/>
      <c r="F208" s="207"/>
      <c r="G208" s="207"/>
      <c r="H208" s="207"/>
      <c r="I208" s="188"/>
      <c r="J208" s="188"/>
      <c r="K208" s="188"/>
      <c r="L208" s="782" t="str">
        <f>IF(C208&lt;&gt;MsgNotUsed,"Co-payment group " &amp; INDEX(CoPayBandMS,B208),"")</f>
        <v/>
      </c>
      <c r="M208" s="782"/>
    </row>
    <row r="209" spans="1:13" outlineLevel="1" x14ac:dyDescent="0.2">
      <c r="A209" s="171"/>
      <c r="B209" s="352">
        <f>INDEX(SANew,B208,5)</f>
        <v>0</v>
      </c>
      <c r="C209" s="20"/>
      <c r="D209" s="419">
        <v>2</v>
      </c>
      <c r="E209" s="419">
        <v>3</v>
      </c>
      <c r="F209" s="201">
        <v>4</v>
      </c>
      <c r="G209" s="201">
        <v>5</v>
      </c>
      <c r="H209" s="201">
        <v>6</v>
      </c>
      <c r="I209" s="420">
        <v>7</v>
      </c>
      <c r="J209" s="19"/>
      <c r="K209" s="19"/>
      <c r="L209" s="19"/>
      <c r="M209" s="19"/>
    </row>
    <row r="210" spans="1:13" outlineLevel="1" x14ac:dyDescent="0.2">
      <c r="A210" s="171"/>
      <c r="B210" s="224"/>
      <c r="C210" s="171"/>
      <c r="D210" s="411">
        <f>FirstYear</f>
        <v>0</v>
      </c>
      <c r="E210" s="411">
        <f>D210+1</f>
        <v>1</v>
      </c>
      <c r="F210" s="411">
        <f>E210+1</f>
        <v>2</v>
      </c>
      <c r="G210" s="411">
        <f>F210+1</f>
        <v>3</v>
      </c>
      <c r="H210" s="411">
        <f>G210+1</f>
        <v>4</v>
      </c>
      <c r="I210" s="411">
        <f>H210+1</f>
        <v>5</v>
      </c>
      <c r="J210" s="171"/>
      <c r="K210" s="171"/>
      <c r="L210" s="171"/>
      <c r="M210" s="171"/>
    </row>
    <row r="211" spans="1:13" outlineLevel="1" x14ac:dyDescent="0.2">
      <c r="A211" s="171"/>
      <c r="B211" s="422">
        <v>1</v>
      </c>
      <c r="C211" s="413" t="s">
        <v>104</v>
      </c>
      <c r="D211" s="396">
        <f t="shared" ref="D211:I211" si="95">INDEX(PBSScriptsNew,$B208,D209)*INDEX(DPMQCoPayNewPub,$B208,$B211)</f>
        <v>0</v>
      </c>
      <c r="E211" s="396">
        <f t="shared" si="95"/>
        <v>0</v>
      </c>
      <c r="F211" s="396">
        <f t="shared" si="95"/>
        <v>0</v>
      </c>
      <c r="G211" s="396">
        <f t="shared" si="95"/>
        <v>0</v>
      </c>
      <c r="H211" s="396">
        <f t="shared" si="95"/>
        <v>0</v>
      </c>
      <c r="I211" s="396">
        <f t="shared" si="95"/>
        <v>0</v>
      </c>
      <c r="J211" s="171"/>
      <c r="K211" s="171"/>
      <c r="L211" s="171"/>
      <c r="M211" s="171"/>
    </row>
    <row r="212" spans="1:13" outlineLevel="1" x14ac:dyDescent="0.2">
      <c r="A212" s="171"/>
      <c r="B212" s="422">
        <v>3</v>
      </c>
      <c r="C212" s="11" t="s">
        <v>129</v>
      </c>
      <c r="D212" s="396">
        <f t="shared" ref="D212:I212" si="96">INDEX(PBSScriptsNew,$B208,D209)*(INDEX(DPMQCoPayNewPub,$B208,$B212)/INDEX(CoPayCountNew,$B208))</f>
        <v>0</v>
      </c>
      <c r="E212" s="396">
        <f t="shared" si="96"/>
        <v>0</v>
      </c>
      <c r="F212" s="396">
        <f t="shared" si="96"/>
        <v>0</v>
      </c>
      <c r="G212" s="396">
        <f t="shared" si="96"/>
        <v>0</v>
      </c>
      <c r="H212" s="396">
        <f t="shared" si="96"/>
        <v>0</v>
      </c>
      <c r="I212" s="396">
        <f t="shared" si="96"/>
        <v>0</v>
      </c>
      <c r="J212" s="171"/>
      <c r="K212" s="763" t="str">
        <f>IF(B209&lt;&gt;0,MsgNote&amp;IF(B209="Yes",INDEX(CoPayMethod,1),INDEX(CoPayMethod,2)),"")</f>
        <v/>
      </c>
      <c r="L212" s="763"/>
      <c r="M212" s="763"/>
    </row>
    <row r="213" spans="1:13" outlineLevel="1" x14ac:dyDescent="0.2">
      <c r="A213" s="171"/>
      <c r="B213" s="224"/>
      <c r="C213" s="11" t="s">
        <v>106</v>
      </c>
      <c r="D213" s="396">
        <f t="shared" ref="D213:I213" si="97">D211+D212</f>
        <v>0</v>
      </c>
      <c r="E213" s="396">
        <f t="shared" si="97"/>
        <v>0</v>
      </c>
      <c r="F213" s="396">
        <f t="shared" si="97"/>
        <v>0</v>
      </c>
      <c r="G213" s="396">
        <f t="shared" si="97"/>
        <v>0</v>
      </c>
      <c r="H213" s="396">
        <f t="shared" si="97"/>
        <v>0</v>
      </c>
      <c r="I213" s="396">
        <f t="shared" si="97"/>
        <v>0</v>
      </c>
      <c r="J213" s="171"/>
      <c r="K213" s="171"/>
      <c r="L213" s="171"/>
      <c r="M213" s="171"/>
    </row>
    <row r="214" spans="1:13" outlineLevel="1" x14ac:dyDescent="0.2">
      <c r="A214" s="171"/>
      <c r="B214" s="202"/>
      <c r="C214" s="171"/>
      <c r="D214" s="171"/>
      <c r="E214" s="171"/>
      <c r="F214" s="171"/>
      <c r="G214" s="171"/>
      <c r="H214" s="171"/>
      <c r="I214" s="171"/>
      <c r="J214" s="171"/>
      <c r="K214" s="171"/>
      <c r="L214" s="171"/>
      <c r="M214" s="171"/>
    </row>
    <row r="215" spans="1:13" ht="15.75" outlineLevel="1" x14ac:dyDescent="0.2">
      <c r="A215" s="171"/>
      <c r="B215" s="202"/>
      <c r="C215" s="193"/>
      <c r="D215" s="411">
        <f>FirstYear</f>
        <v>0</v>
      </c>
      <c r="E215" s="411">
        <f>D215+1</f>
        <v>1</v>
      </c>
      <c r="F215" s="411">
        <f>E215+1</f>
        <v>2</v>
      </c>
      <c r="G215" s="411">
        <f>F215+1</f>
        <v>3</v>
      </c>
      <c r="H215" s="411">
        <f>G215+1</f>
        <v>4</v>
      </c>
      <c r="I215" s="411">
        <f>H215+1</f>
        <v>5</v>
      </c>
      <c r="J215" s="171"/>
      <c r="K215" s="171"/>
      <c r="L215" s="171"/>
      <c r="M215" s="171"/>
    </row>
    <row r="216" spans="1:13" outlineLevel="1" x14ac:dyDescent="0.2">
      <c r="A216" s="171"/>
      <c r="B216" s="422">
        <v>1</v>
      </c>
      <c r="C216" s="413" t="s">
        <v>105</v>
      </c>
      <c r="D216" s="396">
        <f t="shared" ref="D216:I216" si="98">INDEX(RPBSScriptsNew,$B208,D209)*INDEX(DPMQCoPayNewPub,$B208,$B216)</f>
        <v>0</v>
      </c>
      <c r="E216" s="396">
        <f t="shared" si="98"/>
        <v>0</v>
      </c>
      <c r="F216" s="396">
        <f t="shared" si="98"/>
        <v>0</v>
      </c>
      <c r="G216" s="396">
        <f t="shared" si="98"/>
        <v>0</v>
      </c>
      <c r="H216" s="396">
        <f t="shared" si="98"/>
        <v>0</v>
      </c>
      <c r="I216" s="396">
        <f t="shared" si="98"/>
        <v>0</v>
      </c>
      <c r="J216" s="171"/>
      <c r="K216" s="171"/>
      <c r="L216" s="171"/>
      <c r="M216" s="171"/>
    </row>
    <row r="217" spans="1:13" outlineLevel="1" x14ac:dyDescent="0.2">
      <c r="A217" s="171"/>
      <c r="B217" s="422">
        <v>4</v>
      </c>
      <c r="C217" s="11" t="s">
        <v>129</v>
      </c>
      <c r="D217" s="396">
        <f t="shared" ref="D217:I217" si="99">INDEX(RPBSScriptsNew,$B208,D209)*(INDEX(DPMQCoPayNewPub,$B208,$B217)/INDEX(CoPayCountNew,$B208))</f>
        <v>0</v>
      </c>
      <c r="E217" s="396">
        <f t="shared" si="99"/>
        <v>0</v>
      </c>
      <c r="F217" s="396">
        <f t="shared" si="99"/>
        <v>0</v>
      </c>
      <c r="G217" s="396">
        <f t="shared" si="99"/>
        <v>0</v>
      </c>
      <c r="H217" s="396">
        <f t="shared" si="99"/>
        <v>0</v>
      </c>
      <c r="I217" s="396">
        <f t="shared" si="99"/>
        <v>0</v>
      </c>
      <c r="J217" s="171"/>
      <c r="K217" s="171"/>
      <c r="L217" s="171"/>
      <c r="M217" s="171"/>
    </row>
    <row r="218" spans="1:13" outlineLevel="1" x14ac:dyDescent="0.2">
      <c r="A218" s="171"/>
      <c r="B218" s="224"/>
      <c r="C218" s="11" t="s">
        <v>107</v>
      </c>
      <c r="D218" s="396">
        <f t="shared" ref="D218:I218" si="100">D216+D217</f>
        <v>0</v>
      </c>
      <c r="E218" s="396">
        <f t="shared" si="100"/>
        <v>0</v>
      </c>
      <c r="F218" s="396">
        <f t="shared" si="100"/>
        <v>0</v>
      </c>
      <c r="G218" s="396">
        <f t="shared" si="100"/>
        <v>0</v>
      </c>
      <c r="H218" s="396">
        <f t="shared" si="100"/>
        <v>0</v>
      </c>
      <c r="I218" s="396">
        <f t="shared" si="100"/>
        <v>0</v>
      </c>
      <c r="J218" s="171"/>
      <c r="K218" s="171"/>
      <c r="L218" s="171"/>
      <c r="M218" s="171"/>
    </row>
    <row r="219" spans="1:13" x14ac:dyDescent="0.2">
      <c r="A219" s="171"/>
      <c r="B219" s="224"/>
      <c r="C219" s="171"/>
      <c r="D219" s="171"/>
      <c r="E219" s="171"/>
      <c r="F219" s="171"/>
      <c r="G219" s="171"/>
      <c r="H219" s="171"/>
      <c r="I219" s="171"/>
      <c r="J219" s="171"/>
      <c r="K219" s="171"/>
      <c r="L219" s="171"/>
      <c r="M219" s="171"/>
    </row>
    <row r="220" spans="1:13" ht="15" x14ac:dyDescent="0.2">
      <c r="A220" s="171"/>
      <c r="B220" s="423">
        <v>17</v>
      </c>
      <c r="C220" s="221" t="str">
        <f>INDEX(PBSScriptsNew,B220,1)</f>
        <v>** NOT USED **</v>
      </c>
      <c r="D220" s="207"/>
      <c r="E220" s="207"/>
      <c r="F220" s="207"/>
      <c r="G220" s="207"/>
      <c r="H220" s="207"/>
      <c r="I220" s="188"/>
      <c r="J220" s="188"/>
      <c r="K220" s="188"/>
      <c r="L220" s="782" t="str">
        <f>IF(C220&lt;&gt;MsgNotUsed,"Co-payment group " &amp; INDEX(CoPayBandMS,B220),"")</f>
        <v/>
      </c>
      <c r="M220" s="782"/>
    </row>
    <row r="221" spans="1:13" outlineLevel="1" x14ac:dyDescent="0.2">
      <c r="A221" s="171"/>
      <c r="B221" s="352">
        <f>INDEX(SANew,B220,5)</f>
        <v>0</v>
      </c>
      <c r="C221" s="20"/>
      <c r="D221" s="419">
        <v>2</v>
      </c>
      <c r="E221" s="419">
        <v>3</v>
      </c>
      <c r="F221" s="201">
        <v>4</v>
      </c>
      <c r="G221" s="201">
        <v>5</v>
      </c>
      <c r="H221" s="201">
        <v>6</v>
      </c>
      <c r="I221" s="420">
        <v>7</v>
      </c>
      <c r="J221" s="19"/>
      <c r="K221" s="19"/>
      <c r="L221" s="19"/>
      <c r="M221" s="19"/>
    </row>
    <row r="222" spans="1:13" outlineLevel="1" x14ac:dyDescent="0.2">
      <c r="A222" s="171"/>
      <c r="B222" s="224"/>
      <c r="C222" s="171"/>
      <c r="D222" s="411">
        <f>FirstYear</f>
        <v>0</v>
      </c>
      <c r="E222" s="411">
        <f>D222+1</f>
        <v>1</v>
      </c>
      <c r="F222" s="411">
        <f>E222+1</f>
        <v>2</v>
      </c>
      <c r="G222" s="411">
        <f>F222+1</f>
        <v>3</v>
      </c>
      <c r="H222" s="411">
        <f>G222+1</f>
        <v>4</v>
      </c>
      <c r="I222" s="411">
        <f>H222+1</f>
        <v>5</v>
      </c>
      <c r="J222" s="171"/>
      <c r="K222" s="171"/>
      <c r="L222" s="171"/>
      <c r="M222" s="171"/>
    </row>
    <row r="223" spans="1:13" outlineLevel="1" x14ac:dyDescent="0.2">
      <c r="A223" s="171"/>
      <c r="B223" s="422">
        <v>1</v>
      </c>
      <c r="C223" s="413" t="s">
        <v>104</v>
      </c>
      <c r="D223" s="396">
        <f t="shared" ref="D223:I223" si="101">INDEX(PBSScriptsNew,$B220,D221)*INDEX(DPMQCoPayNewPub,$B220,$B223)</f>
        <v>0</v>
      </c>
      <c r="E223" s="396">
        <f t="shared" si="101"/>
        <v>0</v>
      </c>
      <c r="F223" s="396">
        <f t="shared" si="101"/>
        <v>0</v>
      </c>
      <c r="G223" s="396">
        <f t="shared" si="101"/>
        <v>0</v>
      </c>
      <c r="H223" s="396">
        <f t="shared" si="101"/>
        <v>0</v>
      </c>
      <c r="I223" s="396">
        <f t="shared" si="101"/>
        <v>0</v>
      </c>
      <c r="J223" s="171"/>
      <c r="K223" s="171"/>
      <c r="L223" s="171"/>
      <c r="M223" s="171"/>
    </row>
    <row r="224" spans="1:13" outlineLevel="1" x14ac:dyDescent="0.2">
      <c r="A224" s="171"/>
      <c r="B224" s="422">
        <v>3</v>
      </c>
      <c r="C224" s="11" t="s">
        <v>129</v>
      </c>
      <c r="D224" s="396">
        <f t="shared" ref="D224:I224" si="102">INDEX(PBSScriptsNew,$B220,D221)*(INDEX(DPMQCoPayNewPub,$B220,$B224)/INDEX(CoPayCountNew,$B220))</f>
        <v>0</v>
      </c>
      <c r="E224" s="396">
        <f t="shared" si="102"/>
        <v>0</v>
      </c>
      <c r="F224" s="396">
        <f t="shared" si="102"/>
        <v>0</v>
      </c>
      <c r="G224" s="396">
        <f t="shared" si="102"/>
        <v>0</v>
      </c>
      <c r="H224" s="396">
        <f t="shared" si="102"/>
        <v>0</v>
      </c>
      <c r="I224" s="396">
        <f t="shared" si="102"/>
        <v>0</v>
      </c>
      <c r="J224" s="171"/>
      <c r="K224" s="763" t="str">
        <f>IF(B221&lt;&gt;0,MsgNote&amp;IF(B221="Yes",INDEX(CoPayMethod,1),INDEX(CoPayMethod,2)),"")</f>
        <v/>
      </c>
      <c r="L224" s="763"/>
      <c r="M224" s="763"/>
    </row>
    <row r="225" spans="1:13" outlineLevel="1" x14ac:dyDescent="0.2">
      <c r="A225" s="171"/>
      <c r="B225" s="224"/>
      <c r="C225" s="11" t="s">
        <v>106</v>
      </c>
      <c r="D225" s="396">
        <f t="shared" ref="D225:I225" si="103">D223+D224</f>
        <v>0</v>
      </c>
      <c r="E225" s="396">
        <f t="shared" si="103"/>
        <v>0</v>
      </c>
      <c r="F225" s="396">
        <f t="shared" si="103"/>
        <v>0</v>
      </c>
      <c r="G225" s="396">
        <f t="shared" si="103"/>
        <v>0</v>
      </c>
      <c r="H225" s="396">
        <f t="shared" si="103"/>
        <v>0</v>
      </c>
      <c r="I225" s="396">
        <f t="shared" si="103"/>
        <v>0</v>
      </c>
      <c r="J225" s="171"/>
      <c r="K225" s="171"/>
      <c r="L225" s="171"/>
      <c r="M225" s="171"/>
    </row>
    <row r="226" spans="1:13" outlineLevel="1" x14ac:dyDescent="0.2">
      <c r="A226" s="171"/>
      <c r="B226" s="202"/>
      <c r="C226" s="171"/>
      <c r="D226" s="171"/>
      <c r="E226" s="171"/>
      <c r="F226" s="171"/>
      <c r="G226" s="171"/>
      <c r="H226" s="171"/>
      <c r="I226" s="171"/>
      <c r="J226" s="171"/>
      <c r="K226" s="171"/>
      <c r="L226" s="171"/>
      <c r="M226" s="171"/>
    </row>
    <row r="227" spans="1:13" ht="15.75" outlineLevel="1" x14ac:dyDescent="0.2">
      <c r="A227" s="171"/>
      <c r="B227" s="202"/>
      <c r="C227" s="193"/>
      <c r="D227" s="411">
        <f>FirstYear</f>
        <v>0</v>
      </c>
      <c r="E227" s="411">
        <f>D227+1</f>
        <v>1</v>
      </c>
      <c r="F227" s="411">
        <f>E227+1</f>
        <v>2</v>
      </c>
      <c r="G227" s="411">
        <f>F227+1</f>
        <v>3</v>
      </c>
      <c r="H227" s="411">
        <f>G227+1</f>
        <v>4</v>
      </c>
      <c r="I227" s="411">
        <f>H227+1</f>
        <v>5</v>
      </c>
      <c r="J227" s="171"/>
      <c r="K227" s="171"/>
      <c r="L227" s="171"/>
      <c r="M227" s="171"/>
    </row>
    <row r="228" spans="1:13" outlineLevel="1" x14ac:dyDescent="0.2">
      <c r="A228" s="171"/>
      <c r="B228" s="422">
        <v>1</v>
      </c>
      <c r="C228" s="413" t="s">
        <v>105</v>
      </c>
      <c r="D228" s="396">
        <f t="shared" ref="D228:I228" si="104">INDEX(RPBSScriptsNew,$B220,D221)*INDEX(DPMQCoPayNewPub,$B220,$B228)</f>
        <v>0</v>
      </c>
      <c r="E228" s="396">
        <f t="shared" si="104"/>
        <v>0</v>
      </c>
      <c r="F228" s="396">
        <f t="shared" si="104"/>
        <v>0</v>
      </c>
      <c r="G228" s="396">
        <f t="shared" si="104"/>
        <v>0</v>
      </c>
      <c r="H228" s="396">
        <f t="shared" si="104"/>
        <v>0</v>
      </c>
      <c r="I228" s="396">
        <f t="shared" si="104"/>
        <v>0</v>
      </c>
      <c r="J228" s="171"/>
      <c r="K228" s="171"/>
      <c r="L228" s="171"/>
      <c r="M228" s="171"/>
    </row>
    <row r="229" spans="1:13" outlineLevel="1" x14ac:dyDescent="0.2">
      <c r="A229" s="171"/>
      <c r="B229" s="422">
        <v>4</v>
      </c>
      <c r="C229" s="11" t="s">
        <v>129</v>
      </c>
      <c r="D229" s="396">
        <f t="shared" ref="D229:I229" si="105">INDEX(RPBSScriptsNew,$B220,D221)*(INDEX(DPMQCoPayNewPub,$B220,$B229)/INDEX(CoPayCountNew,$B220))</f>
        <v>0</v>
      </c>
      <c r="E229" s="396">
        <f t="shared" si="105"/>
        <v>0</v>
      </c>
      <c r="F229" s="396">
        <f t="shared" si="105"/>
        <v>0</v>
      </c>
      <c r="G229" s="396">
        <f t="shared" si="105"/>
        <v>0</v>
      </c>
      <c r="H229" s="396">
        <f t="shared" si="105"/>
        <v>0</v>
      </c>
      <c r="I229" s="396">
        <f t="shared" si="105"/>
        <v>0</v>
      </c>
      <c r="J229" s="171"/>
      <c r="K229" s="171"/>
      <c r="L229" s="171"/>
      <c r="M229" s="171"/>
    </row>
    <row r="230" spans="1:13" outlineLevel="1" x14ac:dyDescent="0.2">
      <c r="A230" s="171"/>
      <c r="B230" s="224"/>
      <c r="C230" s="11" t="s">
        <v>107</v>
      </c>
      <c r="D230" s="396">
        <f t="shared" ref="D230:I230" si="106">D228+D229</f>
        <v>0</v>
      </c>
      <c r="E230" s="396">
        <f t="shared" si="106"/>
        <v>0</v>
      </c>
      <c r="F230" s="396">
        <f t="shared" si="106"/>
        <v>0</v>
      </c>
      <c r="G230" s="396">
        <f t="shared" si="106"/>
        <v>0</v>
      </c>
      <c r="H230" s="396">
        <f t="shared" si="106"/>
        <v>0</v>
      </c>
      <c r="I230" s="396">
        <f t="shared" si="106"/>
        <v>0</v>
      </c>
      <c r="J230" s="171"/>
      <c r="K230" s="171"/>
      <c r="L230" s="171"/>
      <c r="M230" s="171"/>
    </row>
    <row r="231" spans="1:13" x14ac:dyDescent="0.2">
      <c r="A231" s="171"/>
      <c r="B231" s="224"/>
      <c r="C231" s="171"/>
      <c r="D231" s="171"/>
      <c r="E231" s="171"/>
      <c r="F231" s="171"/>
      <c r="G231" s="171"/>
      <c r="H231" s="171"/>
      <c r="I231" s="171"/>
      <c r="J231" s="171"/>
      <c r="K231" s="171"/>
      <c r="L231" s="171"/>
      <c r="M231" s="171"/>
    </row>
    <row r="232" spans="1:13" ht="15" x14ac:dyDescent="0.2">
      <c r="A232" s="171"/>
      <c r="B232" s="423">
        <v>18</v>
      </c>
      <c r="C232" s="221" t="str">
        <f>INDEX(PBSScriptsNew,B232,1)</f>
        <v>** NOT USED **</v>
      </c>
      <c r="D232" s="207"/>
      <c r="E232" s="207"/>
      <c r="F232" s="207"/>
      <c r="G232" s="207"/>
      <c r="H232" s="207"/>
      <c r="I232" s="188"/>
      <c r="J232" s="188"/>
      <c r="K232" s="188"/>
      <c r="L232" s="782" t="str">
        <f>IF(C232&lt;&gt;MsgNotUsed,"Co-payment group " &amp; INDEX(CoPayBandMS,B232),"")</f>
        <v/>
      </c>
      <c r="M232" s="782"/>
    </row>
    <row r="233" spans="1:13" outlineLevel="1" x14ac:dyDescent="0.2">
      <c r="A233" s="171"/>
      <c r="B233" s="352">
        <f>INDEX(SANew,B232,5)</f>
        <v>0</v>
      </c>
      <c r="C233" s="20"/>
      <c r="D233" s="419">
        <v>2</v>
      </c>
      <c r="E233" s="419">
        <v>3</v>
      </c>
      <c r="F233" s="201">
        <v>4</v>
      </c>
      <c r="G233" s="201">
        <v>5</v>
      </c>
      <c r="H233" s="201">
        <v>6</v>
      </c>
      <c r="I233" s="420">
        <v>7</v>
      </c>
      <c r="J233" s="19"/>
      <c r="K233" s="19"/>
      <c r="L233" s="19"/>
      <c r="M233" s="19"/>
    </row>
    <row r="234" spans="1:13" outlineLevel="1" x14ac:dyDescent="0.2">
      <c r="A234" s="171"/>
      <c r="B234" s="224"/>
      <c r="C234" s="171"/>
      <c r="D234" s="411">
        <f>FirstYear</f>
        <v>0</v>
      </c>
      <c r="E234" s="411">
        <f>D234+1</f>
        <v>1</v>
      </c>
      <c r="F234" s="411">
        <f>E234+1</f>
        <v>2</v>
      </c>
      <c r="G234" s="411">
        <f>F234+1</f>
        <v>3</v>
      </c>
      <c r="H234" s="411">
        <f>G234+1</f>
        <v>4</v>
      </c>
      <c r="I234" s="411">
        <f>H234+1</f>
        <v>5</v>
      </c>
      <c r="J234" s="171"/>
      <c r="K234" s="171"/>
      <c r="L234" s="171"/>
      <c r="M234" s="171"/>
    </row>
    <row r="235" spans="1:13" outlineLevel="1" x14ac:dyDescent="0.2">
      <c r="A235" s="171"/>
      <c r="B235" s="422">
        <v>1</v>
      </c>
      <c r="C235" s="413" t="s">
        <v>104</v>
      </c>
      <c r="D235" s="396">
        <f t="shared" ref="D235:I235" si="107">INDEX(PBSScriptsNew,$B232,D233)*INDEX(DPMQCoPayNewPub,$B232,$B235)</f>
        <v>0</v>
      </c>
      <c r="E235" s="396">
        <f t="shared" si="107"/>
        <v>0</v>
      </c>
      <c r="F235" s="396">
        <f t="shared" si="107"/>
        <v>0</v>
      </c>
      <c r="G235" s="396">
        <f t="shared" si="107"/>
        <v>0</v>
      </c>
      <c r="H235" s="396">
        <f t="shared" si="107"/>
        <v>0</v>
      </c>
      <c r="I235" s="396">
        <f t="shared" si="107"/>
        <v>0</v>
      </c>
      <c r="J235" s="171"/>
      <c r="K235" s="171"/>
      <c r="L235" s="171"/>
      <c r="M235" s="171"/>
    </row>
    <row r="236" spans="1:13" outlineLevel="1" x14ac:dyDescent="0.2">
      <c r="A236" s="171"/>
      <c r="B236" s="422">
        <v>3</v>
      </c>
      <c r="C236" s="11" t="s">
        <v>129</v>
      </c>
      <c r="D236" s="396">
        <f t="shared" ref="D236:I236" si="108">INDEX(PBSScriptsNew,$B232,D233)*(INDEX(DPMQCoPayNewPub,$B232,$B236)/INDEX(CoPayCountNew,$B232))</f>
        <v>0</v>
      </c>
      <c r="E236" s="396">
        <f t="shared" si="108"/>
        <v>0</v>
      </c>
      <c r="F236" s="396">
        <f t="shared" si="108"/>
        <v>0</v>
      </c>
      <c r="G236" s="396">
        <f t="shared" si="108"/>
        <v>0</v>
      </c>
      <c r="H236" s="396">
        <f t="shared" si="108"/>
        <v>0</v>
      </c>
      <c r="I236" s="396">
        <f t="shared" si="108"/>
        <v>0</v>
      </c>
      <c r="J236" s="171"/>
      <c r="K236" s="763" t="str">
        <f>IF(B233&lt;&gt;0,MsgNote&amp;IF(B233="Yes",INDEX(CoPayMethod,1),INDEX(CoPayMethod,2)),"")</f>
        <v/>
      </c>
      <c r="L236" s="763"/>
      <c r="M236" s="763"/>
    </row>
    <row r="237" spans="1:13" outlineLevel="1" x14ac:dyDescent="0.2">
      <c r="A237" s="171"/>
      <c r="B237" s="224"/>
      <c r="C237" s="11" t="s">
        <v>106</v>
      </c>
      <c r="D237" s="396">
        <f t="shared" ref="D237:I237" si="109">D235+D236</f>
        <v>0</v>
      </c>
      <c r="E237" s="396">
        <f t="shared" si="109"/>
        <v>0</v>
      </c>
      <c r="F237" s="396">
        <f t="shared" si="109"/>
        <v>0</v>
      </c>
      <c r="G237" s="396">
        <f t="shared" si="109"/>
        <v>0</v>
      </c>
      <c r="H237" s="396">
        <f t="shared" si="109"/>
        <v>0</v>
      </c>
      <c r="I237" s="396">
        <f t="shared" si="109"/>
        <v>0</v>
      </c>
      <c r="J237" s="171"/>
      <c r="K237" s="171"/>
      <c r="L237" s="171"/>
      <c r="M237" s="171"/>
    </row>
    <row r="238" spans="1:13" outlineLevel="1" x14ac:dyDescent="0.2">
      <c r="A238" s="171"/>
      <c r="B238" s="202"/>
      <c r="C238" s="171"/>
      <c r="D238" s="171"/>
      <c r="E238" s="171"/>
      <c r="F238" s="171"/>
      <c r="G238" s="171"/>
      <c r="H238" s="171"/>
      <c r="I238" s="171"/>
      <c r="J238" s="171"/>
      <c r="K238" s="171"/>
      <c r="L238" s="171"/>
      <c r="M238" s="171"/>
    </row>
    <row r="239" spans="1:13" ht="15.75" outlineLevel="1" x14ac:dyDescent="0.2">
      <c r="A239" s="171"/>
      <c r="B239" s="202"/>
      <c r="C239" s="193"/>
      <c r="D239" s="411">
        <f>FirstYear</f>
        <v>0</v>
      </c>
      <c r="E239" s="411">
        <f>D239+1</f>
        <v>1</v>
      </c>
      <c r="F239" s="411">
        <f>E239+1</f>
        <v>2</v>
      </c>
      <c r="G239" s="411">
        <f>F239+1</f>
        <v>3</v>
      </c>
      <c r="H239" s="411">
        <f>G239+1</f>
        <v>4</v>
      </c>
      <c r="I239" s="411">
        <f>H239+1</f>
        <v>5</v>
      </c>
      <c r="J239" s="171"/>
      <c r="K239" s="171"/>
      <c r="L239" s="171"/>
      <c r="M239" s="171"/>
    </row>
    <row r="240" spans="1:13" outlineLevel="1" x14ac:dyDescent="0.2">
      <c r="A240" s="171"/>
      <c r="B240" s="422">
        <v>1</v>
      </c>
      <c r="C240" s="413" t="s">
        <v>105</v>
      </c>
      <c r="D240" s="396">
        <f t="shared" ref="D240:I240" si="110">INDEX(RPBSScriptsNew,$B232,D233)*INDEX(DPMQCoPayNewPub,$B232,$B240)</f>
        <v>0</v>
      </c>
      <c r="E240" s="396">
        <f t="shared" si="110"/>
        <v>0</v>
      </c>
      <c r="F240" s="396">
        <f t="shared" si="110"/>
        <v>0</v>
      </c>
      <c r="G240" s="396">
        <f t="shared" si="110"/>
        <v>0</v>
      </c>
      <c r="H240" s="396">
        <f t="shared" si="110"/>
        <v>0</v>
      </c>
      <c r="I240" s="396">
        <f t="shared" si="110"/>
        <v>0</v>
      </c>
      <c r="J240" s="171"/>
      <c r="K240" s="171"/>
      <c r="L240" s="171"/>
      <c r="M240" s="171"/>
    </row>
    <row r="241" spans="1:13" outlineLevel="1" x14ac:dyDescent="0.2">
      <c r="A241" s="171"/>
      <c r="B241" s="422">
        <v>4</v>
      </c>
      <c r="C241" s="11" t="s">
        <v>129</v>
      </c>
      <c r="D241" s="396">
        <f t="shared" ref="D241:I241" si="111">INDEX(RPBSScriptsNew,$B232,D233)*(INDEX(DPMQCoPayNewPub,$B232,$B241)/INDEX(CoPayCountNew,$B232))</f>
        <v>0</v>
      </c>
      <c r="E241" s="396">
        <f t="shared" si="111"/>
        <v>0</v>
      </c>
      <c r="F241" s="396">
        <f t="shared" si="111"/>
        <v>0</v>
      </c>
      <c r="G241" s="396">
        <f t="shared" si="111"/>
        <v>0</v>
      </c>
      <c r="H241" s="396">
        <f t="shared" si="111"/>
        <v>0</v>
      </c>
      <c r="I241" s="396">
        <f t="shared" si="111"/>
        <v>0</v>
      </c>
      <c r="J241" s="171"/>
      <c r="K241" s="171"/>
      <c r="L241" s="171"/>
      <c r="M241" s="171"/>
    </row>
    <row r="242" spans="1:13" outlineLevel="1" x14ac:dyDescent="0.2">
      <c r="A242" s="171"/>
      <c r="B242" s="224"/>
      <c r="C242" s="11" t="s">
        <v>107</v>
      </c>
      <c r="D242" s="396">
        <f t="shared" ref="D242:I242" si="112">D240+D241</f>
        <v>0</v>
      </c>
      <c r="E242" s="396">
        <f t="shared" si="112"/>
        <v>0</v>
      </c>
      <c r="F242" s="396">
        <f t="shared" si="112"/>
        <v>0</v>
      </c>
      <c r="G242" s="396">
        <f t="shared" si="112"/>
        <v>0</v>
      </c>
      <c r="H242" s="396">
        <f t="shared" si="112"/>
        <v>0</v>
      </c>
      <c r="I242" s="396">
        <f t="shared" si="112"/>
        <v>0</v>
      </c>
      <c r="J242" s="171"/>
      <c r="K242" s="171"/>
      <c r="L242" s="171"/>
      <c r="M242" s="171"/>
    </row>
    <row r="243" spans="1:13" x14ac:dyDescent="0.2">
      <c r="A243" s="171"/>
      <c r="B243" s="224"/>
      <c r="C243" s="171"/>
      <c r="D243" s="171"/>
      <c r="E243" s="171"/>
      <c r="F243" s="171"/>
      <c r="G243" s="171"/>
      <c r="H243" s="171"/>
      <c r="I243" s="171"/>
      <c r="J243" s="171"/>
      <c r="K243" s="171"/>
      <c r="L243" s="171"/>
      <c r="M243" s="171"/>
    </row>
    <row r="244" spans="1:13" ht="15" x14ac:dyDescent="0.2">
      <c r="A244" s="171"/>
      <c r="B244" s="423">
        <v>19</v>
      </c>
      <c r="C244" s="221" t="str">
        <f>INDEX(PBSScriptsNew,B244,1)</f>
        <v>** NOT USED **</v>
      </c>
      <c r="D244" s="207"/>
      <c r="E244" s="207"/>
      <c r="F244" s="207"/>
      <c r="G244" s="207"/>
      <c r="H244" s="207"/>
      <c r="I244" s="188"/>
      <c r="J244" s="188"/>
      <c r="K244" s="188"/>
      <c r="L244" s="782" t="str">
        <f>IF(C244&lt;&gt;MsgNotUsed,"Co-payment group " &amp; INDEX(CoPayBandMS,B244),"")</f>
        <v/>
      </c>
      <c r="M244" s="782"/>
    </row>
    <row r="245" spans="1:13" outlineLevel="1" x14ac:dyDescent="0.2">
      <c r="A245" s="171"/>
      <c r="B245" s="352">
        <f>INDEX(SANew,B244,5)</f>
        <v>0</v>
      </c>
      <c r="C245" s="20"/>
      <c r="D245" s="419">
        <v>2</v>
      </c>
      <c r="E245" s="419">
        <v>3</v>
      </c>
      <c r="F245" s="201">
        <v>4</v>
      </c>
      <c r="G245" s="201">
        <v>5</v>
      </c>
      <c r="H245" s="201">
        <v>6</v>
      </c>
      <c r="I245" s="420">
        <v>7</v>
      </c>
      <c r="J245" s="19"/>
      <c r="K245" s="19"/>
      <c r="L245" s="19"/>
      <c r="M245" s="19"/>
    </row>
    <row r="246" spans="1:13" outlineLevel="1" x14ac:dyDescent="0.2">
      <c r="A246" s="171"/>
      <c r="B246" s="224"/>
      <c r="C246" s="171"/>
      <c r="D246" s="411">
        <f>FirstYear</f>
        <v>0</v>
      </c>
      <c r="E246" s="411">
        <f>D246+1</f>
        <v>1</v>
      </c>
      <c r="F246" s="411">
        <f>E246+1</f>
        <v>2</v>
      </c>
      <c r="G246" s="411">
        <f>F246+1</f>
        <v>3</v>
      </c>
      <c r="H246" s="411">
        <f>G246+1</f>
        <v>4</v>
      </c>
      <c r="I246" s="411">
        <f>H246+1</f>
        <v>5</v>
      </c>
      <c r="J246" s="171"/>
      <c r="K246" s="171"/>
      <c r="L246" s="171"/>
      <c r="M246" s="171"/>
    </row>
    <row r="247" spans="1:13" outlineLevel="1" x14ac:dyDescent="0.2">
      <c r="A247" s="171"/>
      <c r="B247" s="422">
        <v>1</v>
      </c>
      <c r="C247" s="413" t="s">
        <v>104</v>
      </c>
      <c r="D247" s="396">
        <f t="shared" ref="D247:I247" si="113">INDEX(PBSScriptsNew,$B244,D245)*INDEX(DPMQCoPayNewPub,$B244,$B247)</f>
        <v>0</v>
      </c>
      <c r="E247" s="396">
        <f t="shared" si="113"/>
        <v>0</v>
      </c>
      <c r="F247" s="396">
        <f t="shared" si="113"/>
        <v>0</v>
      </c>
      <c r="G247" s="396">
        <f t="shared" si="113"/>
        <v>0</v>
      </c>
      <c r="H247" s="396">
        <f t="shared" si="113"/>
        <v>0</v>
      </c>
      <c r="I247" s="396">
        <f t="shared" si="113"/>
        <v>0</v>
      </c>
      <c r="J247" s="171"/>
      <c r="K247" s="171"/>
      <c r="L247" s="171"/>
      <c r="M247" s="171"/>
    </row>
    <row r="248" spans="1:13" outlineLevel="1" x14ac:dyDescent="0.2">
      <c r="A248" s="171"/>
      <c r="B248" s="422">
        <v>3</v>
      </c>
      <c r="C248" s="11" t="s">
        <v>129</v>
      </c>
      <c r="D248" s="396">
        <f t="shared" ref="D248:I248" si="114">INDEX(PBSScriptsNew,$B244,D245)*(INDEX(DPMQCoPayNewPub,$B244,$B248)/INDEX(CoPayCountNew,$B244))</f>
        <v>0</v>
      </c>
      <c r="E248" s="396">
        <f t="shared" si="114"/>
        <v>0</v>
      </c>
      <c r="F248" s="396">
        <f t="shared" si="114"/>
        <v>0</v>
      </c>
      <c r="G248" s="396">
        <f t="shared" si="114"/>
        <v>0</v>
      </c>
      <c r="H248" s="396">
        <f t="shared" si="114"/>
        <v>0</v>
      </c>
      <c r="I248" s="396">
        <f t="shared" si="114"/>
        <v>0</v>
      </c>
      <c r="J248" s="171"/>
      <c r="K248" s="763" t="str">
        <f>IF(B245&lt;&gt;0,MsgNote&amp;IF(B245="Yes",INDEX(CoPayMethod,1),INDEX(CoPayMethod,2)),"")</f>
        <v/>
      </c>
      <c r="L248" s="763"/>
      <c r="M248" s="763"/>
    </row>
    <row r="249" spans="1:13" outlineLevel="1" x14ac:dyDescent="0.2">
      <c r="A249" s="171"/>
      <c r="B249" s="224"/>
      <c r="C249" s="11" t="s">
        <v>106</v>
      </c>
      <c r="D249" s="396">
        <f t="shared" ref="D249:I249" si="115">D247+D248</f>
        <v>0</v>
      </c>
      <c r="E249" s="396">
        <f t="shared" si="115"/>
        <v>0</v>
      </c>
      <c r="F249" s="396">
        <f t="shared" si="115"/>
        <v>0</v>
      </c>
      <c r="G249" s="396">
        <f t="shared" si="115"/>
        <v>0</v>
      </c>
      <c r="H249" s="396">
        <f t="shared" si="115"/>
        <v>0</v>
      </c>
      <c r="I249" s="396">
        <f t="shared" si="115"/>
        <v>0</v>
      </c>
      <c r="J249" s="171"/>
      <c r="K249" s="171"/>
      <c r="L249" s="171"/>
      <c r="M249" s="171"/>
    </row>
    <row r="250" spans="1:13" outlineLevel="1" x14ac:dyDescent="0.2">
      <c r="A250" s="171"/>
      <c r="B250" s="202"/>
      <c r="C250" s="171"/>
      <c r="D250" s="171"/>
      <c r="E250" s="171"/>
      <c r="F250" s="171"/>
      <c r="G250" s="171"/>
      <c r="H250" s="171"/>
      <c r="I250" s="171"/>
      <c r="J250" s="171"/>
      <c r="K250" s="171"/>
      <c r="L250" s="171"/>
      <c r="M250" s="171"/>
    </row>
    <row r="251" spans="1:13" ht="15.75" outlineLevel="1" x14ac:dyDescent="0.2">
      <c r="A251" s="171"/>
      <c r="B251" s="202"/>
      <c r="C251" s="193"/>
      <c r="D251" s="411">
        <f>FirstYear</f>
        <v>0</v>
      </c>
      <c r="E251" s="411">
        <f>D251+1</f>
        <v>1</v>
      </c>
      <c r="F251" s="411">
        <f>E251+1</f>
        <v>2</v>
      </c>
      <c r="G251" s="411">
        <f>F251+1</f>
        <v>3</v>
      </c>
      <c r="H251" s="411">
        <f>G251+1</f>
        <v>4</v>
      </c>
      <c r="I251" s="411">
        <f>H251+1</f>
        <v>5</v>
      </c>
      <c r="J251" s="171"/>
      <c r="K251" s="171"/>
      <c r="L251" s="171"/>
      <c r="M251" s="171"/>
    </row>
    <row r="252" spans="1:13" outlineLevel="1" x14ac:dyDescent="0.2">
      <c r="A252" s="171"/>
      <c r="B252" s="422">
        <v>1</v>
      </c>
      <c r="C252" s="413" t="s">
        <v>105</v>
      </c>
      <c r="D252" s="396">
        <f t="shared" ref="D252:I252" si="116">INDEX(RPBSScriptsNew,$B244,D245)*INDEX(DPMQCoPayNewPub,$B244,$B252)</f>
        <v>0</v>
      </c>
      <c r="E252" s="396">
        <f t="shared" si="116"/>
        <v>0</v>
      </c>
      <c r="F252" s="396">
        <f t="shared" si="116"/>
        <v>0</v>
      </c>
      <c r="G252" s="396">
        <f t="shared" si="116"/>
        <v>0</v>
      </c>
      <c r="H252" s="396">
        <f t="shared" si="116"/>
        <v>0</v>
      </c>
      <c r="I252" s="396">
        <f t="shared" si="116"/>
        <v>0</v>
      </c>
      <c r="J252" s="171"/>
      <c r="K252" s="171"/>
      <c r="L252" s="171"/>
      <c r="M252" s="171"/>
    </row>
    <row r="253" spans="1:13" outlineLevel="1" x14ac:dyDescent="0.2">
      <c r="A253" s="171"/>
      <c r="B253" s="422">
        <v>4</v>
      </c>
      <c r="C253" s="11" t="s">
        <v>129</v>
      </c>
      <c r="D253" s="396">
        <f t="shared" ref="D253:I253" si="117">INDEX(RPBSScriptsNew,$B244,D245)*(INDEX(DPMQCoPayNewPub,$B244,$B253)/INDEX(CoPayCountNew,$B244))</f>
        <v>0</v>
      </c>
      <c r="E253" s="396">
        <f t="shared" si="117"/>
        <v>0</v>
      </c>
      <c r="F253" s="396">
        <f t="shared" si="117"/>
        <v>0</v>
      </c>
      <c r="G253" s="396">
        <f t="shared" si="117"/>
        <v>0</v>
      </c>
      <c r="H253" s="396">
        <f t="shared" si="117"/>
        <v>0</v>
      </c>
      <c r="I253" s="396">
        <f t="shared" si="117"/>
        <v>0</v>
      </c>
      <c r="J253" s="171"/>
      <c r="K253" s="171"/>
      <c r="L253" s="171"/>
      <c r="M253" s="171"/>
    </row>
    <row r="254" spans="1:13" outlineLevel="1" x14ac:dyDescent="0.2">
      <c r="A254" s="171"/>
      <c r="B254" s="224"/>
      <c r="C254" s="11" t="s">
        <v>107</v>
      </c>
      <c r="D254" s="396">
        <f t="shared" ref="D254:I254" si="118">D252+D253</f>
        <v>0</v>
      </c>
      <c r="E254" s="396">
        <f t="shared" si="118"/>
        <v>0</v>
      </c>
      <c r="F254" s="396">
        <f t="shared" si="118"/>
        <v>0</v>
      </c>
      <c r="G254" s="396">
        <f t="shared" si="118"/>
        <v>0</v>
      </c>
      <c r="H254" s="396">
        <f t="shared" si="118"/>
        <v>0</v>
      </c>
      <c r="I254" s="396">
        <f t="shared" si="118"/>
        <v>0</v>
      </c>
      <c r="J254" s="171"/>
      <c r="K254" s="171"/>
      <c r="L254" s="171"/>
      <c r="M254" s="171"/>
    </row>
    <row r="255" spans="1:13" x14ac:dyDescent="0.2">
      <c r="A255" s="171"/>
      <c r="B255" s="224"/>
      <c r="C255" s="171"/>
      <c r="D255" s="171"/>
      <c r="E255" s="171"/>
      <c r="F255" s="171"/>
      <c r="G255" s="171"/>
      <c r="H255" s="171"/>
      <c r="I255" s="171"/>
      <c r="J255" s="171"/>
      <c r="K255" s="171"/>
      <c r="L255" s="171"/>
      <c r="M255" s="171"/>
    </row>
    <row r="256" spans="1:13" ht="15" x14ac:dyDescent="0.2">
      <c r="A256" s="171"/>
      <c r="B256" s="423">
        <v>20</v>
      </c>
      <c r="C256" s="221" t="str">
        <f>INDEX(PBSScriptsNew,B256,1)</f>
        <v>** NOT USED **</v>
      </c>
      <c r="D256" s="207"/>
      <c r="E256" s="207"/>
      <c r="F256" s="207"/>
      <c r="G256" s="207"/>
      <c r="H256" s="207"/>
      <c r="I256" s="188"/>
      <c r="J256" s="188"/>
      <c r="K256" s="188"/>
      <c r="L256" s="782" t="str">
        <f>IF(C256&lt;&gt;MsgNotUsed,"Co-payment group " &amp; INDEX(CoPayBandMS,B256),"")</f>
        <v/>
      </c>
      <c r="M256" s="782"/>
    </row>
    <row r="257" spans="1:13" outlineLevel="1" x14ac:dyDescent="0.2">
      <c r="A257" s="171"/>
      <c r="B257" s="352">
        <f>INDEX(SANew,B256,5)</f>
        <v>0</v>
      </c>
      <c r="C257" s="20"/>
      <c r="D257" s="419">
        <v>2</v>
      </c>
      <c r="E257" s="419">
        <v>3</v>
      </c>
      <c r="F257" s="201">
        <v>4</v>
      </c>
      <c r="G257" s="201">
        <v>5</v>
      </c>
      <c r="H257" s="201">
        <v>6</v>
      </c>
      <c r="I257" s="420">
        <v>7</v>
      </c>
      <c r="J257" s="19"/>
      <c r="K257" s="19"/>
      <c r="L257" s="19"/>
      <c r="M257" s="19"/>
    </row>
    <row r="258" spans="1:13" outlineLevel="1" x14ac:dyDescent="0.2">
      <c r="A258" s="171"/>
      <c r="B258" s="171"/>
      <c r="C258" s="171"/>
      <c r="D258" s="411">
        <f>FirstYear</f>
        <v>0</v>
      </c>
      <c r="E258" s="411">
        <f>D258+1</f>
        <v>1</v>
      </c>
      <c r="F258" s="411">
        <f>E258+1</f>
        <v>2</v>
      </c>
      <c r="G258" s="411">
        <f>F258+1</f>
        <v>3</v>
      </c>
      <c r="H258" s="411">
        <f>G258+1</f>
        <v>4</v>
      </c>
      <c r="I258" s="411">
        <f>H258+1</f>
        <v>5</v>
      </c>
      <c r="J258" s="171"/>
      <c r="K258" s="171"/>
      <c r="L258" s="171"/>
      <c r="M258" s="171"/>
    </row>
    <row r="259" spans="1:13" outlineLevel="1" x14ac:dyDescent="0.2">
      <c r="A259" s="171"/>
      <c r="B259" s="422">
        <v>1</v>
      </c>
      <c r="C259" s="413" t="s">
        <v>104</v>
      </c>
      <c r="D259" s="396">
        <f t="shared" ref="D259:I259" si="119">INDEX(PBSScriptsNew,$B256,D257)*INDEX(DPMQCoPayNewPub,$B256,$B259)</f>
        <v>0</v>
      </c>
      <c r="E259" s="396">
        <f t="shared" si="119"/>
        <v>0</v>
      </c>
      <c r="F259" s="396">
        <f t="shared" si="119"/>
        <v>0</v>
      </c>
      <c r="G259" s="396">
        <f t="shared" si="119"/>
        <v>0</v>
      </c>
      <c r="H259" s="396">
        <f t="shared" si="119"/>
        <v>0</v>
      </c>
      <c r="I259" s="396">
        <f t="shared" si="119"/>
        <v>0</v>
      </c>
      <c r="J259" s="171"/>
      <c r="K259" s="171"/>
      <c r="L259" s="171"/>
      <c r="M259" s="171"/>
    </row>
    <row r="260" spans="1:13" outlineLevel="1" x14ac:dyDescent="0.2">
      <c r="A260" s="171"/>
      <c r="B260" s="422">
        <v>3</v>
      </c>
      <c r="C260" s="11" t="s">
        <v>129</v>
      </c>
      <c r="D260" s="396">
        <f t="shared" ref="D260:I260" si="120">INDEX(PBSScriptsNew,$B256,D257)*(INDEX(DPMQCoPayNewPub,$B256,$B260)/INDEX(CoPayCountNew,$B256))</f>
        <v>0</v>
      </c>
      <c r="E260" s="396">
        <f t="shared" si="120"/>
        <v>0</v>
      </c>
      <c r="F260" s="396">
        <f t="shared" si="120"/>
        <v>0</v>
      </c>
      <c r="G260" s="396">
        <f t="shared" si="120"/>
        <v>0</v>
      </c>
      <c r="H260" s="396">
        <f t="shared" si="120"/>
        <v>0</v>
      </c>
      <c r="I260" s="396">
        <f t="shared" si="120"/>
        <v>0</v>
      </c>
      <c r="J260" s="171"/>
      <c r="K260" s="763" t="str">
        <f>IF(B257&lt;&gt;0,MsgNote&amp;IF(B257="Yes",INDEX(CoPayMethod,1),INDEX(CoPayMethod,2)),"")</f>
        <v/>
      </c>
      <c r="L260" s="763"/>
      <c r="M260" s="763"/>
    </row>
    <row r="261" spans="1:13" outlineLevel="1" x14ac:dyDescent="0.2">
      <c r="A261" s="171"/>
      <c r="B261" s="220"/>
      <c r="C261" s="11" t="s">
        <v>106</v>
      </c>
      <c r="D261" s="396">
        <f t="shared" ref="D261:I261" si="121">D259+D260</f>
        <v>0</v>
      </c>
      <c r="E261" s="396">
        <f t="shared" si="121"/>
        <v>0</v>
      </c>
      <c r="F261" s="396">
        <f t="shared" si="121"/>
        <v>0</v>
      </c>
      <c r="G261" s="396">
        <f t="shared" si="121"/>
        <v>0</v>
      </c>
      <c r="H261" s="396">
        <f t="shared" si="121"/>
        <v>0</v>
      </c>
      <c r="I261" s="396">
        <f t="shared" si="121"/>
        <v>0</v>
      </c>
      <c r="J261" s="171"/>
      <c r="K261" s="171"/>
      <c r="L261" s="171"/>
      <c r="M261" s="171"/>
    </row>
    <row r="262" spans="1:13" outlineLevel="1" x14ac:dyDescent="0.2">
      <c r="A262" s="171"/>
      <c r="B262" s="382"/>
      <c r="C262" s="171"/>
      <c r="D262" s="171"/>
      <c r="E262" s="171"/>
      <c r="F262" s="171"/>
      <c r="G262" s="171"/>
      <c r="H262" s="171"/>
      <c r="I262" s="171"/>
      <c r="J262" s="171"/>
      <c r="K262" s="171"/>
      <c r="L262" s="171"/>
      <c r="M262" s="171"/>
    </row>
    <row r="263" spans="1:13" ht="15.75" outlineLevel="1" x14ac:dyDescent="0.2">
      <c r="A263" s="171"/>
      <c r="B263" s="382"/>
      <c r="C263" s="193"/>
      <c r="D263" s="411">
        <f>FirstYear</f>
        <v>0</v>
      </c>
      <c r="E263" s="411">
        <f>D263+1</f>
        <v>1</v>
      </c>
      <c r="F263" s="411">
        <f>E263+1</f>
        <v>2</v>
      </c>
      <c r="G263" s="411">
        <f>F263+1</f>
        <v>3</v>
      </c>
      <c r="H263" s="411">
        <f>G263+1</f>
        <v>4</v>
      </c>
      <c r="I263" s="411">
        <f>H263+1</f>
        <v>5</v>
      </c>
      <c r="J263" s="171"/>
      <c r="K263" s="171"/>
      <c r="L263" s="171"/>
      <c r="M263" s="171"/>
    </row>
    <row r="264" spans="1:13" outlineLevel="1" x14ac:dyDescent="0.2">
      <c r="A264" s="171"/>
      <c r="B264" s="422">
        <v>1</v>
      </c>
      <c r="C264" s="413" t="s">
        <v>105</v>
      </c>
      <c r="D264" s="396">
        <f t="shared" ref="D264:I264" si="122">INDEX(RPBSScriptsNew,$B256,D257)*INDEX(DPMQCoPayNewPub,$B256,$B264)</f>
        <v>0</v>
      </c>
      <c r="E264" s="396">
        <f t="shared" si="122"/>
        <v>0</v>
      </c>
      <c r="F264" s="396">
        <f t="shared" si="122"/>
        <v>0</v>
      </c>
      <c r="G264" s="396">
        <f t="shared" si="122"/>
        <v>0</v>
      </c>
      <c r="H264" s="396">
        <f t="shared" si="122"/>
        <v>0</v>
      </c>
      <c r="I264" s="396">
        <f t="shared" si="122"/>
        <v>0</v>
      </c>
      <c r="J264" s="171"/>
      <c r="K264" s="171"/>
      <c r="L264" s="171"/>
      <c r="M264" s="171"/>
    </row>
    <row r="265" spans="1:13" outlineLevel="1" x14ac:dyDescent="0.2">
      <c r="A265" s="171"/>
      <c r="B265" s="422">
        <v>4</v>
      </c>
      <c r="C265" s="11" t="s">
        <v>129</v>
      </c>
      <c r="D265" s="396">
        <f t="shared" ref="D265:I265" si="123">INDEX(RPBSScriptsNew,$B256,D257)*(INDEX(DPMQCoPayNewPub,$B256,$B265)/INDEX(CoPayCountNew,$B256))</f>
        <v>0</v>
      </c>
      <c r="E265" s="396">
        <f t="shared" si="123"/>
        <v>0</v>
      </c>
      <c r="F265" s="396">
        <f t="shared" si="123"/>
        <v>0</v>
      </c>
      <c r="G265" s="396">
        <f t="shared" si="123"/>
        <v>0</v>
      </c>
      <c r="H265" s="396">
        <f t="shared" si="123"/>
        <v>0</v>
      </c>
      <c r="I265" s="396">
        <f t="shared" si="123"/>
        <v>0</v>
      </c>
      <c r="J265" s="171"/>
      <c r="K265" s="171"/>
      <c r="L265" s="171"/>
      <c r="M265" s="171"/>
    </row>
    <row r="266" spans="1:13" outlineLevel="1" x14ac:dyDescent="0.2">
      <c r="A266" s="171"/>
      <c r="B266" s="171"/>
      <c r="C266" s="11" t="s">
        <v>107</v>
      </c>
      <c r="D266" s="396">
        <f t="shared" ref="D266:I266" si="124">D264+D265</f>
        <v>0</v>
      </c>
      <c r="E266" s="396">
        <f t="shared" si="124"/>
        <v>0</v>
      </c>
      <c r="F266" s="396">
        <f t="shared" si="124"/>
        <v>0</v>
      </c>
      <c r="G266" s="396">
        <f t="shared" si="124"/>
        <v>0</v>
      </c>
      <c r="H266" s="396">
        <f t="shared" si="124"/>
        <v>0</v>
      </c>
      <c r="I266" s="396">
        <f t="shared" si="124"/>
        <v>0</v>
      </c>
      <c r="J266" s="171"/>
      <c r="K266" s="171"/>
      <c r="L266" s="171"/>
      <c r="M266" s="171"/>
    </row>
    <row r="267" spans="1:13" outlineLevel="1" x14ac:dyDescent="0.2">
      <c r="A267" s="171"/>
      <c r="B267" s="171"/>
      <c r="C267" s="171"/>
      <c r="D267" s="171"/>
      <c r="E267" s="171"/>
      <c r="F267" s="171"/>
      <c r="G267" s="171"/>
      <c r="H267" s="171"/>
      <c r="I267" s="171"/>
      <c r="J267" s="171"/>
      <c r="K267" s="171"/>
      <c r="L267" s="171"/>
      <c r="M267" s="171"/>
    </row>
    <row r="268" spans="1:13" s="570" customFormat="1" x14ac:dyDescent="0.2">
      <c r="A268" s="592"/>
      <c r="B268" s="592"/>
      <c r="C268" s="592"/>
      <c r="D268" s="592"/>
      <c r="E268" s="592"/>
      <c r="F268" s="592"/>
      <c r="G268" s="592"/>
      <c r="H268" s="592"/>
      <c r="I268" s="592"/>
      <c r="J268" s="592"/>
      <c r="K268" s="592"/>
      <c r="L268" s="592"/>
      <c r="M268" s="592"/>
    </row>
    <row r="269" spans="1:13" ht="15.75" x14ac:dyDescent="0.2">
      <c r="A269" s="176"/>
      <c r="B269" s="176"/>
      <c r="C269" s="174" t="s">
        <v>1002</v>
      </c>
      <c r="D269" s="174"/>
      <c r="E269" s="174"/>
      <c r="F269" s="214"/>
      <c r="G269" s="178"/>
      <c r="H269" s="178"/>
      <c r="I269" s="178"/>
      <c r="J269" s="178"/>
      <c r="K269" s="178"/>
      <c r="L269" s="178"/>
      <c r="M269" s="178"/>
    </row>
    <row r="270" spans="1:13" ht="15.75" x14ac:dyDescent="0.2">
      <c r="A270" s="171"/>
      <c r="B270" s="171"/>
      <c r="C270" s="193"/>
      <c r="D270" s="193"/>
      <c r="E270" s="193"/>
      <c r="F270" s="215"/>
      <c r="G270" s="171"/>
      <c r="H270" s="171"/>
      <c r="I270" s="171"/>
      <c r="J270" s="171"/>
      <c r="K270" s="171"/>
      <c r="L270" s="171"/>
      <c r="M270" s="171"/>
    </row>
    <row r="271" spans="1:13" x14ac:dyDescent="0.2">
      <c r="A271" s="171"/>
      <c r="B271" s="171"/>
      <c r="C271" s="6" t="s">
        <v>898</v>
      </c>
      <c r="D271" s="6"/>
      <c r="E271" s="6"/>
      <c r="F271" s="215"/>
      <c r="G271" s="171"/>
      <c r="H271" s="171"/>
      <c r="I271" s="171"/>
      <c r="J271" s="171"/>
      <c r="K271" s="171"/>
      <c r="L271" s="171"/>
      <c r="M271" s="171"/>
    </row>
    <row r="272" spans="1:13" x14ac:dyDescent="0.2">
      <c r="A272" s="171"/>
      <c r="B272" s="171"/>
      <c r="C272" s="6"/>
      <c r="D272" s="6"/>
      <c r="E272" s="6"/>
      <c r="F272" s="215"/>
      <c r="G272" s="171"/>
      <c r="H272" s="832" t="str">
        <f>IF(R294&gt;0,"DPMA / DPMQ","")</f>
        <v/>
      </c>
      <c r="I272" s="832"/>
      <c r="J272" s="832"/>
      <c r="K272" s="171"/>
      <c r="L272" s="171"/>
      <c r="M272" s="171"/>
    </row>
    <row r="273" spans="1:19" ht="25.5" x14ac:dyDescent="0.2">
      <c r="A273" s="171"/>
      <c r="B273" s="171"/>
      <c r="C273" s="792" t="s">
        <v>884</v>
      </c>
      <c r="D273" s="833"/>
      <c r="E273" s="834"/>
      <c r="F273" s="113" t="s">
        <v>130</v>
      </c>
      <c r="G273" s="113" t="s">
        <v>1016</v>
      </c>
      <c r="H273" s="90" t="str">
        <f>IF(R294&gt;0,"Public","DPMA / DPMQ")</f>
        <v>DPMA / DPMQ</v>
      </c>
      <c r="I273" s="90" t="str">
        <f>IF(R294&gt;0,"Private","")</f>
        <v/>
      </c>
      <c r="J273" s="90" t="str">
        <f>IF(R294&gt;0,"Weighted","")</f>
        <v/>
      </c>
      <c r="K273" s="90" t="s">
        <v>817</v>
      </c>
      <c r="L273" s="113" t="s">
        <v>474</v>
      </c>
      <c r="M273" s="113" t="s">
        <v>475</v>
      </c>
      <c r="O273" s="336" t="s">
        <v>837</v>
      </c>
      <c r="P273" s="336" t="s">
        <v>474</v>
      </c>
      <c r="Q273" s="336" t="s">
        <v>475</v>
      </c>
    </row>
    <row r="274" spans="1:19" x14ac:dyDescent="0.2">
      <c r="A274" s="171"/>
      <c r="B274" s="79">
        <v>1</v>
      </c>
      <c r="C274" s="829" t="str">
        <f t="shared" ref="C274:C293" si="125">INDEX(PBSScriptsNew,B274,1)</f>
        <v>** NOT USED **</v>
      </c>
      <c r="D274" s="830"/>
      <c r="E274" s="831"/>
      <c r="F274" s="401"/>
      <c r="G274" s="232"/>
      <c r="H274" s="401"/>
      <c r="I274" s="401"/>
      <c r="J274" s="402">
        <f t="shared" ref="J274:J293" si="126">IF(AND(R274&lt;&gt;"",S274&lt;&gt;""),IF(R274+S274=1,(H274*R274+I274*S274),H274),0)</f>
        <v>0</v>
      </c>
      <c r="K274" s="643" t="str">
        <f t="shared" ref="K274:K293" si="127">IF(AND(C274&lt;&gt;MsgNotUsed,ISERROR(O274)=FALSE),O274,"")</f>
        <v/>
      </c>
      <c r="L274" s="402">
        <f t="shared" ref="L274:L293" si="128">IF(J274&gt;P274,-P274,0)</f>
        <v>0</v>
      </c>
      <c r="M274" s="402">
        <f t="shared" ref="M274:M293" si="129">IF(J274&gt;Q274,-Q274,0)</f>
        <v>0</v>
      </c>
      <c r="O274" s="665" t="str">
        <f t="shared" ref="O274:O293" si="130">IF(C274&lt;&gt;MsgNotUsed,VLOOKUP(C274,CoPayBandLink,5,FALSE),"")</f>
        <v/>
      </c>
      <c r="P274" s="628">
        <f t="shared" ref="P274:P293" si="131">IF(K274&lt;&gt;"",INDEX(CoPayPBS,K274),0)</f>
        <v>0</v>
      </c>
      <c r="Q274" s="628">
        <f t="shared" ref="Q274:Q293" si="132">IF(K274&lt;&gt;"",INDEX(CoPayRPBS,K274),0)</f>
        <v>0</v>
      </c>
      <c r="R274" s="647" t="str">
        <f t="shared" ref="R274:R293" si="133">IF(K274&lt;&gt;"",INDEX(ServiceSplitPublic,K274),"")</f>
        <v/>
      </c>
      <c r="S274" s="647" t="str">
        <f t="shared" ref="S274:S293" si="134">IF(K274&lt;&gt;"",INDEX(ServiceSplitPrivate,K274),"")</f>
        <v/>
      </c>
    </row>
    <row r="275" spans="1:19" x14ac:dyDescent="0.2">
      <c r="A275" s="171"/>
      <c r="B275" s="79">
        <v>2</v>
      </c>
      <c r="C275" s="829" t="str">
        <f t="shared" si="125"/>
        <v>** NOT USED **</v>
      </c>
      <c r="D275" s="830"/>
      <c r="E275" s="831"/>
      <c r="F275" s="401"/>
      <c r="G275" s="232"/>
      <c r="H275" s="401"/>
      <c r="I275" s="401"/>
      <c r="J275" s="402">
        <f t="shared" si="126"/>
        <v>0</v>
      </c>
      <c r="K275" s="643" t="str">
        <f t="shared" si="127"/>
        <v/>
      </c>
      <c r="L275" s="402">
        <f t="shared" si="128"/>
        <v>0</v>
      </c>
      <c r="M275" s="402">
        <f t="shared" si="129"/>
        <v>0</v>
      </c>
      <c r="O275" s="665" t="str">
        <f t="shared" si="130"/>
        <v/>
      </c>
      <c r="P275" s="628">
        <f t="shared" si="131"/>
        <v>0</v>
      </c>
      <c r="Q275" s="628">
        <f t="shared" si="132"/>
        <v>0</v>
      </c>
      <c r="R275" s="647" t="str">
        <f t="shared" si="133"/>
        <v/>
      </c>
      <c r="S275" s="647" t="str">
        <f t="shared" si="134"/>
        <v/>
      </c>
    </row>
    <row r="276" spans="1:19" x14ac:dyDescent="0.2">
      <c r="A276" s="171"/>
      <c r="B276" s="79">
        <v>3</v>
      </c>
      <c r="C276" s="829" t="str">
        <f t="shared" si="125"/>
        <v>** NOT USED **</v>
      </c>
      <c r="D276" s="830"/>
      <c r="E276" s="831"/>
      <c r="F276" s="401"/>
      <c r="G276" s="232"/>
      <c r="H276" s="401"/>
      <c r="I276" s="401"/>
      <c r="J276" s="402">
        <f t="shared" si="126"/>
        <v>0</v>
      </c>
      <c r="K276" s="643" t="str">
        <f t="shared" si="127"/>
        <v/>
      </c>
      <c r="L276" s="402">
        <f t="shared" si="128"/>
        <v>0</v>
      </c>
      <c r="M276" s="402">
        <f t="shared" si="129"/>
        <v>0</v>
      </c>
      <c r="O276" s="665" t="str">
        <f t="shared" si="130"/>
        <v/>
      </c>
      <c r="P276" s="628">
        <f t="shared" si="131"/>
        <v>0</v>
      </c>
      <c r="Q276" s="628">
        <f t="shared" si="132"/>
        <v>0</v>
      </c>
      <c r="R276" s="647" t="str">
        <f t="shared" si="133"/>
        <v/>
      </c>
      <c r="S276" s="647" t="str">
        <f t="shared" si="134"/>
        <v/>
      </c>
    </row>
    <row r="277" spans="1:19" x14ac:dyDescent="0.2">
      <c r="A277" s="171"/>
      <c r="B277" s="79">
        <v>4</v>
      </c>
      <c r="C277" s="829" t="str">
        <f t="shared" si="125"/>
        <v>** NOT USED **</v>
      </c>
      <c r="D277" s="830"/>
      <c r="E277" s="831"/>
      <c r="F277" s="401"/>
      <c r="G277" s="232"/>
      <c r="H277" s="401"/>
      <c r="I277" s="401"/>
      <c r="J277" s="402">
        <f t="shared" si="126"/>
        <v>0</v>
      </c>
      <c r="K277" s="643" t="str">
        <f t="shared" si="127"/>
        <v/>
      </c>
      <c r="L277" s="402">
        <f t="shared" si="128"/>
        <v>0</v>
      </c>
      <c r="M277" s="402">
        <f t="shared" si="129"/>
        <v>0</v>
      </c>
      <c r="O277" s="665" t="str">
        <f t="shared" si="130"/>
        <v/>
      </c>
      <c r="P277" s="628">
        <f t="shared" si="131"/>
        <v>0</v>
      </c>
      <c r="Q277" s="628">
        <f t="shared" si="132"/>
        <v>0</v>
      </c>
      <c r="R277" s="647" t="str">
        <f t="shared" si="133"/>
        <v/>
      </c>
      <c r="S277" s="647" t="str">
        <f t="shared" si="134"/>
        <v/>
      </c>
    </row>
    <row r="278" spans="1:19" x14ac:dyDescent="0.2">
      <c r="A278" s="171"/>
      <c r="B278" s="79">
        <v>5</v>
      </c>
      <c r="C278" s="829" t="str">
        <f t="shared" si="125"/>
        <v>** NOT USED **</v>
      </c>
      <c r="D278" s="830"/>
      <c r="E278" s="831"/>
      <c r="F278" s="401"/>
      <c r="G278" s="232"/>
      <c r="H278" s="401"/>
      <c r="I278" s="401"/>
      <c r="J278" s="402">
        <f t="shared" si="126"/>
        <v>0</v>
      </c>
      <c r="K278" s="643" t="str">
        <f t="shared" si="127"/>
        <v/>
      </c>
      <c r="L278" s="402">
        <f t="shared" si="128"/>
        <v>0</v>
      </c>
      <c r="M278" s="402">
        <f t="shared" si="129"/>
        <v>0</v>
      </c>
      <c r="O278" s="665" t="str">
        <f t="shared" si="130"/>
        <v/>
      </c>
      <c r="P278" s="628">
        <f t="shared" si="131"/>
        <v>0</v>
      </c>
      <c r="Q278" s="628">
        <f t="shared" si="132"/>
        <v>0</v>
      </c>
      <c r="R278" s="647" t="str">
        <f t="shared" si="133"/>
        <v/>
      </c>
      <c r="S278" s="647" t="str">
        <f t="shared" si="134"/>
        <v/>
      </c>
    </row>
    <row r="279" spans="1:19" x14ac:dyDescent="0.2">
      <c r="A279" s="171"/>
      <c r="B279" s="79">
        <v>6</v>
      </c>
      <c r="C279" s="829" t="str">
        <f t="shared" si="125"/>
        <v>** NOT USED **</v>
      </c>
      <c r="D279" s="830"/>
      <c r="E279" s="831"/>
      <c r="F279" s="401"/>
      <c r="G279" s="232"/>
      <c r="H279" s="401"/>
      <c r="I279" s="401"/>
      <c r="J279" s="402">
        <f t="shared" si="126"/>
        <v>0</v>
      </c>
      <c r="K279" s="643" t="str">
        <f t="shared" si="127"/>
        <v/>
      </c>
      <c r="L279" s="402">
        <f t="shared" si="128"/>
        <v>0</v>
      </c>
      <c r="M279" s="402">
        <f t="shared" si="129"/>
        <v>0</v>
      </c>
      <c r="O279" s="665" t="str">
        <f t="shared" si="130"/>
        <v/>
      </c>
      <c r="P279" s="628">
        <f t="shared" si="131"/>
        <v>0</v>
      </c>
      <c r="Q279" s="628">
        <f t="shared" si="132"/>
        <v>0</v>
      </c>
      <c r="R279" s="647" t="str">
        <f t="shared" si="133"/>
        <v/>
      </c>
      <c r="S279" s="647" t="str">
        <f t="shared" si="134"/>
        <v/>
      </c>
    </row>
    <row r="280" spans="1:19" x14ac:dyDescent="0.2">
      <c r="A280" s="171"/>
      <c r="B280" s="79">
        <v>7</v>
      </c>
      <c r="C280" s="829" t="str">
        <f t="shared" si="125"/>
        <v>** NOT USED **</v>
      </c>
      <c r="D280" s="830"/>
      <c r="E280" s="831"/>
      <c r="F280" s="401"/>
      <c r="G280" s="232"/>
      <c r="H280" s="401"/>
      <c r="I280" s="401"/>
      <c r="J280" s="402">
        <f t="shared" si="126"/>
        <v>0</v>
      </c>
      <c r="K280" s="643" t="str">
        <f t="shared" si="127"/>
        <v/>
      </c>
      <c r="L280" s="402">
        <f t="shared" si="128"/>
        <v>0</v>
      </c>
      <c r="M280" s="402">
        <f t="shared" si="129"/>
        <v>0</v>
      </c>
      <c r="O280" s="665" t="str">
        <f t="shared" si="130"/>
        <v/>
      </c>
      <c r="P280" s="628">
        <f t="shared" si="131"/>
        <v>0</v>
      </c>
      <c r="Q280" s="628">
        <f t="shared" si="132"/>
        <v>0</v>
      </c>
      <c r="R280" s="647" t="str">
        <f t="shared" si="133"/>
        <v/>
      </c>
      <c r="S280" s="647" t="str">
        <f t="shared" si="134"/>
        <v/>
      </c>
    </row>
    <row r="281" spans="1:19" x14ac:dyDescent="0.2">
      <c r="A281" s="171"/>
      <c r="B281" s="79">
        <v>8</v>
      </c>
      <c r="C281" s="829" t="str">
        <f t="shared" si="125"/>
        <v>** NOT USED **</v>
      </c>
      <c r="D281" s="830"/>
      <c r="E281" s="831"/>
      <c r="F281" s="401"/>
      <c r="G281" s="232"/>
      <c r="H281" s="401"/>
      <c r="I281" s="401"/>
      <c r="J281" s="402">
        <f t="shared" si="126"/>
        <v>0</v>
      </c>
      <c r="K281" s="643" t="str">
        <f t="shared" si="127"/>
        <v/>
      </c>
      <c r="L281" s="402">
        <f t="shared" si="128"/>
        <v>0</v>
      </c>
      <c r="M281" s="402">
        <f t="shared" si="129"/>
        <v>0</v>
      </c>
      <c r="O281" s="665" t="str">
        <f t="shared" si="130"/>
        <v/>
      </c>
      <c r="P281" s="628">
        <f t="shared" si="131"/>
        <v>0</v>
      </c>
      <c r="Q281" s="628">
        <f t="shared" si="132"/>
        <v>0</v>
      </c>
      <c r="R281" s="647" t="str">
        <f t="shared" si="133"/>
        <v/>
      </c>
      <c r="S281" s="647" t="str">
        <f t="shared" si="134"/>
        <v/>
      </c>
    </row>
    <row r="282" spans="1:19" x14ac:dyDescent="0.2">
      <c r="A282" s="171"/>
      <c r="B282" s="79">
        <v>9</v>
      </c>
      <c r="C282" s="829" t="str">
        <f t="shared" si="125"/>
        <v>** NOT USED **</v>
      </c>
      <c r="D282" s="830"/>
      <c r="E282" s="831"/>
      <c r="F282" s="401"/>
      <c r="G282" s="232"/>
      <c r="H282" s="401"/>
      <c r="I282" s="401"/>
      <c r="J282" s="402">
        <f t="shared" si="126"/>
        <v>0</v>
      </c>
      <c r="K282" s="643" t="str">
        <f t="shared" si="127"/>
        <v/>
      </c>
      <c r="L282" s="402">
        <f t="shared" si="128"/>
        <v>0</v>
      </c>
      <c r="M282" s="402">
        <f t="shared" si="129"/>
        <v>0</v>
      </c>
      <c r="O282" s="665" t="str">
        <f t="shared" si="130"/>
        <v/>
      </c>
      <c r="P282" s="628">
        <f t="shared" si="131"/>
        <v>0</v>
      </c>
      <c r="Q282" s="628">
        <f t="shared" si="132"/>
        <v>0</v>
      </c>
      <c r="R282" s="647" t="str">
        <f t="shared" si="133"/>
        <v/>
      </c>
      <c r="S282" s="647" t="str">
        <f t="shared" si="134"/>
        <v/>
      </c>
    </row>
    <row r="283" spans="1:19" x14ac:dyDescent="0.2">
      <c r="A283" s="171"/>
      <c r="B283" s="79">
        <v>10</v>
      </c>
      <c r="C283" s="829" t="str">
        <f t="shared" si="125"/>
        <v>** NOT USED **</v>
      </c>
      <c r="D283" s="830"/>
      <c r="E283" s="831"/>
      <c r="F283" s="401"/>
      <c r="G283" s="232"/>
      <c r="H283" s="401"/>
      <c r="I283" s="401"/>
      <c r="J283" s="402">
        <f t="shared" si="126"/>
        <v>0</v>
      </c>
      <c r="K283" s="643" t="str">
        <f t="shared" si="127"/>
        <v/>
      </c>
      <c r="L283" s="402">
        <f t="shared" si="128"/>
        <v>0</v>
      </c>
      <c r="M283" s="402">
        <f t="shared" si="129"/>
        <v>0</v>
      </c>
      <c r="O283" s="665" t="str">
        <f t="shared" si="130"/>
        <v/>
      </c>
      <c r="P283" s="628">
        <f t="shared" si="131"/>
        <v>0</v>
      </c>
      <c r="Q283" s="628">
        <f t="shared" si="132"/>
        <v>0</v>
      </c>
      <c r="R283" s="647" t="str">
        <f t="shared" si="133"/>
        <v/>
      </c>
      <c r="S283" s="647" t="str">
        <f t="shared" si="134"/>
        <v/>
      </c>
    </row>
    <row r="284" spans="1:19" x14ac:dyDescent="0.2">
      <c r="A284" s="171"/>
      <c r="B284" s="79">
        <v>11</v>
      </c>
      <c r="C284" s="829" t="str">
        <f t="shared" si="125"/>
        <v>** NOT USED **</v>
      </c>
      <c r="D284" s="830"/>
      <c r="E284" s="831"/>
      <c r="F284" s="401"/>
      <c r="G284" s="232"/>
      <c r="H284" s="401"/>
      <c r="I284" s="401"/>
      <c r="J284" s="402">
        <f t="shared" si="126"/>
        <v>0</v>
      </c>
      <c r="K284" s="643" t="str">
        <f t="shared" si="127"/>
        <v/>
      </c>
      <c r="L284" s="402">
        <f t="shared" si="128"/>
        <v>0</v>
      </c>
      <c r="M284" s="402">
        <f t="shared" si="129"/>
        <v>0</v>
      </c>
      <c r="O284" s="665" t="str">
        <f t="shared" si="130"/>
        <v/>
      </c>
      <c r="P284" s="628">
        <f t="shared" si="131"/>
        <v>0</v>
      </c>
      <c r="Q284" s="628">
        <f t="shared" si="132"/>
        <v>0</v>
      </c>
      <c r="R284" s="647" t="str">
        <f t="shared" si="133"/>
        <v/>
      </c>
      <c r="S284" s="647" t="str">
        <f t="shared" si="134"/>
        <v/>
      </c>
    </row>
    <row r="285" spans="1:19" x14ac:dyDescent="0.2">
      <c r="A285" s="171"/>
      <c r="B285" s="79">
        <v>12</v>
      </c>
      <c r="C285" s="829" t="str">
        <f t="shared" si="125"/>
        <v>** NOT USED **</v>
      </c>
      <c r="D285" s="830"/>
      <c r="E285" s="831"/>
      <c r="F285" s="401"/>
      <c r="G285" s="232"/>
      <c r="H285" s="401"/>
      <c r="I285" s="401"/>
      <c r="J285" s="402">
        <f t="shared" si="126"/>
        <v>0</v>
      </c>
      <c r="K285" s="643" t="str">
        <f t="shared" si="127"/>
        <v/>
      </c>
      <c r="L285" s="402">
        <f t="shared" si="128"/>
        <v>0</v>
      </c>
      <c r="M285" s="402">
        <f t="shared" si="129"/>
        <v>0</v>
      </c>
      <c r="O285" s="665" t="str">
        <f t="shared" si="130"/>
        <v/>
      </c>
      <c r="P285" s="628">
        <f t="shared" si="131"/>
        <v>0</v>
      </c>
      <c r="Q285" s="628">
        <f t="shared" si="132"/>
        <v>0</v>
      </c>
      <c r="R285" s="647" t="str">
        <f t="shared" si="133"/>
        <v/>
      </c>
      <c r="S285" s="647" t="str">
        <f t="shared" si="134"/>
        <v/>
      </c>
    </row>
    <row r="286" spans="1:19" x14ac:dyDescent="0.2">
      <c r="A286" s="171"/>
      <c r="B286" s="79">
        <v>13</v>
      </c>
      <c r="C286" s="829" t="str">
        <f t="shared" si="125"/>
        <v>** NOT USED **</v>
      </c>
      <c r="D286" s="830"/>
      <c r="E286" s="831"/>
      <c r="F286" s="401"/>
      <c r="G286" s="232"/>
      <c r="H286" s="401"/>
      <c r="I286" s="401"/>
      <c r="J286" s="402">
        <f t="shared" si="126"/>
        <v>0</v>
      </c>
      <c r="K286" s="643" t="str">
        <f t="shared" si="127"/>
        <v/>
      </c>
      <c r="L286" s="402">
        <f t="shared" si="128"/>
        <v>0</v>
      </c>
      <c r="M286" s="402">
        <f t="shared" si="129"/>
        <v>0</v>
      </c>
      <c r="O286" s="665" t="str">
        <f t="shared" si="130"/>
        <v/>
      </c>
      <c r="P286" s="628">
        <f t="shared" si="131"/>
        <v>0</v>
      </c>
      <c r="Q286" s="628">
        <f t="shared" si="132"/>
        <v>0</v>
      </c>
      <c r="R286" s="647" t="str">
        <f t="shared" si="133"/>
        <v/>
      </c>
      <c r="S286" s="647" t="str">
        <f t="shared" si="134"/>
        <v/>
      </c>
    </row>
    <row r="287" spans="1:19" x14ac:dyDescent="0.2">
      <c r="A287" s="171"/>
      <c r="B287" s="79">
        <v>14</v>
      </c>
      <c r="C287" s="829" t="str">
        <f t="shared" si="125"/>
        <v>** NOT USED **</v>
      </c>
      <c r="D287" s="830"/>
      <c r="E287" s="831"/>
      <c r="F287" s="401"/>
      <c r="G287" s="232"/>
      <c r="H287" s="401"/>
      <c r="I287" s="401"/>
      <c r="J287" s="402">
        <f t="shared" si="126"/>
        <v>0</v>
      </c>
      <c r="K287" s="643" t="str">
        <f t="shared" si="127"/>
        <v/>
      </c>
      <c r="L287" s="402">
        <f t="shared" si="128"/>
        <v>0</v>
      </c>
      <c r="M287" s="402">
        <f t="shared" si="129"/>
        <v>0</v>
      </c>
      <c r="O287" s="665" t="str">
        <f t="shared" si="130"/>
        <v/>
      </c>
      <c r="P287" s="628">
        <f t="shared" si="131"/>
        <v>0</v>
      </c>
      <c r="Q287" s="628">
        <f t="shared" si="132"/>
        <v>0</v>
      </c>
      <c r="R287" s="647" t="str">
        <f t="shared" si="133"/>
        <v/>
      </c>
      <c r="S287" s="647" t="str">
        <f t="shared" si="134"/>
        <v/>
      </c>
    </row>
    <row r="288" spans="1:19" x14ac:dyDescent="0.2">
      <c r="A288" s="171"/>
      <c r="B288" s="79">
        <v>15</v>
      </c>
      <c r="C288" s="829" t="str">
        <f t="shared" si="125"/>
        <v>** NOT USED **</v>
      </c>
      <c r="D288" s="830"/>
      <c r="E288" s="831"/>
      <c r="F288" s="401"/>
      <c r="G288" s="232"/>
      <c r="H288" s="401"/>
      <c r="I288" s="401"/>
      <c r="J288" s="402">
        <f t="shared" si="126"/>
        <v>0</v>
      </c>
      <c r="K288" s="643" t="str">
        <f t="shared" si="127"/>
        <v/>
      </c>
      <c r="L288" s="402">
        <f t="shared" si="128"/>
        <v>0</v>
      </c>
      <c r="M288" s="402">
        <f t="shared" si="129"/>
        <v>0</v>
      </c>
      <c r="O288" s="665" t="str">
        <f t="shared" si="130"/>
        <v/>
      </c>
      <c r="P288" s="628">
        <f t="shared" si="131"/>
        <v>0</v>
      </c>
      <c r="Q288" s="628">
        <f t="shared" si="132"/>
        <v>0</v>
      </c>
      <c r="R288" s="647" t="str">
        <f t="shared" si="133"/>
        <v/>
      </c>
      <c r="S288" s="647" t="str">
        <f t="shared" si="134"/>
        <v/>
      </c>
    </row>
    <row r="289" spans="1:19" x14ac:dyDescent="0.2">
      <c r="A289" s="171"/>
      <c r="B289" s="79">
        <v>16</v>
      </c>
      <c r="C289" s="829" t="str">
        <f t="shared" si="125"/>
        <v>** NOT USED **</v>
      </c>
      <c r="D289" s="830"/>
      <c r="E289" s="831"/>
      <c r="F289" s="401"/>
      <c r="G289" s="232"/>
      <c r="H289" s="401"/>
      <c r="I289" s="401"/>
      <c r="J289" s="402">
        <f t="shared" si="126"/>
        <v>0</v>
      </c>
      <c r="K289" s="643" t="str">
        <f t="shared" si="127"/>
        <v/>
      </c>
      <c r="L289" s="402">
        <f t="shared" si="128"/>
        <v>0</v>
      </c>
      <c r="M289" s="402">
        <f t="shared" si="129"/>
        <v>0</v>
      </c>
      <c r="O289" s="665" t="str">
        <f t="shared" si="130"/>
        <v/>
      </c>
      <c r="P289" s="628">
        <f t="shared" si="131"/>
        <v>0</v>
      </c>
      <c r="Q289" s="628">
        <f t="shared" si="132"/>
        <v>0</v>
      </c>
      <c r="R289" s="647" t="str">
        <f t="shared" si="133"/>
        <v/>
      </c>
      <c r="S289" s="647" t="str">
        <f t="shared" si="134"/>
        <v/>
      </c>
    </row>
    <row r="290" spans="1:19" x14ac:dyDescent="0.2">
      <c r="A290" s="171"/>
      <c r="B290" s="79">
        <v>17</v>
      </c>
      <c r="C290" s="829" t="str">
        <f t="shared" si="125"/>
        <v>** NOT USED **</v>
      </c>
      <c r="D290" s="830"/>
      <c r="E290" s="831"/>
      <c r="F290" s="401"/>
      <c r="G290" s="232"/>
      <c r="H290" s="401"/>
      <c r="I290" s="401"/>
      <c r="J290" s="402">
        <f t="shared" si="126"/>
        <v>0</v>
      </c>
      <c r="K290" s="643" t="str">
        <f t="shared" si="127"/>
        <v/>
      </c>
      <c r="L290" s="402">
        <f t="shared" si="128"/>
        <v>0</v>
      </c>
      <c r="M290" s="402">
        <f t="shared" si="129"/>
        <v>0</v>
      </c>
      <c r="O290" s="665" t="str">
        <f t="shared" si="130"/>
        <v/>
      </c>
      <c r="P290" s="628">
        <f t="shared" si="131"/>
        <v>0</v>
      </c>
      <c r="Q290" s="628">
        <f t="shared" si="132"/>
        <v>0</v>
      </c>
      <c r="R290" s="647" t="str">
        <f t="shared" si="133"/>
        <v/>
      </c>
      <c r="S290" s="647" t="str">
        <f t="shared" si="134"/>
        <v/>
      </c>
    </row>
    <row r="291" spans="1:19" x14ac:dyDescent="0.2">
      <c r="A291" s="171"/>
      <c r="B291" s="79">
        <v>18</v>
      </c>
      <c r="C291" s="829" t="str">
        <f t="shared" si="125"/>
        <v>** NOT USED **</v>
      </c>
      <c r="D291" s="830"/>
      <c r="E291" s="831"/>
      <c r="F291" s="401"/>
      <c r="G291" s="232"/>
      <c r="H291" s="401"/>
      <c r="I291" s="401"/>
      <c r="J291" s="402">
        <f t="shared" si="126"/>
        <v>0</v>
      </c>
      <c r="K291" s="643" t="str">
        <f t="shared" si="127"/>
        <v/>
      </c>
      <c r="L291" s="402">
        <f t="shared" si="128"/>
        <v>0</v>
      </c>
      <c r="M291" s="402">
        <f t="shared" si="129"/>
        <v>0</v>
      </c>
      <c r="O291" s="665" t="str">
        <f t="shared" si="130"/>
        <v/>
      </c>
      <c r="P291" s="628">
        <f t="shared" si="131"/>
        <v>0</v>
      </c>
      <c r="Q291" s="628">
        <f t="shared" si="132"/>
        <v>0</v>
      </c>
      <c r="R291" s="647" t="str">
        <f t="shared" si="133"/>
        <v/>
      </c>
      <c r="S291" s="647" t="str">
        <f t="shared" si="134"/>
        <v/>
      </c>
    </row>
    <row r="292" spans="1:19" x14ac:dyDescent="0.2">
      <c r="A292" s="171"/>
      <c r="B292" s="79">
        <v>19</v>
      </c>
      <c r="C292" s="829" t="str">
        <f t="shared" si="125"/>
        <v>** NOT USED **</v>
      </c>
      <c r="D292" s="830"/>
      <c r="E292" s="831"/>
      <c r="F292" s="401"/>
      <c r="G292" s="232"/>
      <c r="H292" s="401"/>
      <c r="I292" s="401"/>
      <c r="J292" s="402">
        <f t="shared" si="126"/>
        <v>0</v>
      </c>
      <c r="K292" s="643" t="str">
        <f t="shared" si="127"/>
        <v/>
      </c>
      <c r="L292" s="402">
        <f t="shared" si="128"/>
        <v>0</v>
      </c>
      <c r="M292" s="402">
        <f t="shared" si="129"/>
        <v>0</v>
      </c>
      <c r="O292" s="665" t="str">
        <f t="shared" si="130"/>
        <v/>
      </c>
      <c r="P292" s="628">
        <f t="shared" si="131"/>
        <v>0</v>
      </c>
      <c r="Q292" s="628">
        <f t="shared" si="132"/>
        <v>0</v>
      </c>
      <c r="R292" s="647" t="str">
        <f t="shared" si="133"/>
        <v/>
      </c>
      <c r="S292" s="647" t="str">
        <f t="shared" si="134"/>
        <v/>
      </c>
    </row>
    <row r="293" spans="1:19" x14ac:dyDescent="0.2">
      <c r="A293" s="171"/>
      <c r="B293" s="79">
        <v>20</v>
      </c>
      <c r="C293" s="829" t="str">
        <f t="shared" si="125"/>
        <v>** NOT USED **</v>
      </c>
      <c r="D293" s="830"/>
      <c r="E293" s="831"/>
      <c r="F293" s="401"/>
      <c r="G293" s="232"/>
      <c r="H293" s="401"/>
      <c r="I293" s="401"/>
      <c r="J293" s="402">
        <f t="shared" si="126"/>
        <v>0</v>
      </c>
      <c r="K293" s="643" t="str">
        <f t="shared" si="127"/>
        <v/>
      </c>
      <c r="L293" s="402">
        <f t="shared" si="128"/>
        <v>0</v>
      </c>
      <c r="M293" s="402">
        <f t="shared" si="129"/>
        <v>0</v>
      </c>
      <c r="O293" s="665" t="str">
        <f t="shared" si="130"/>
        <v/>
      </c>
      <c r="P293" s="628">
        <f t="shared" si="131"/>
        <v>0</v>
      </c>
      <c r="Q293" s="628">
        <f t="shared" si="132"/>
        <v>0</v>
      </c>
      <c r="R293" s="647" t="str">
        <f t="shared" si="133"/>
        <v/>
      </c>
      <c r="S293" s="647" t="str">
        <f t="shared" si="134"/>
        <v/>
      </c>
    </row>
    <row r="294" spans="1:19" x14ac:dyDescent="0.2">
      <c r="A294" s="171"/>
      <c r="B294" s="171"/>
      <c r="C294" s="171"/>
      <c r="D294" s="171"/>
      <c r="E294" s="171"/>
      <c r="F294" s="171"/>
      <c r="G294" s="171"/>
      <c r="H294" s="171"/>
      <c r="I294" s="171"/>
      <c r="J294" s="171"/>
      <c r="K294" s="171"/>
      <c r="L294" s="171"/>
      <c r="M294" s="171"/>
      <c r="R294" s="646">
        <f>SUM(R274:R293)</f>
        <v>0</v>
      </c>
    </row>
    <row r="295" spans="1:19" x14ac:dyDescent="0.2">
      <c r="A295" s="171"/>
      <c r="B295" s="171"/>
      <c r="C295" s="220"/>
      <c r="D295" s="220"/>
      <c r="E295" s="220"/>
      <c r="F295" s="215"/>
      <c r="G295" s="171"/>
      <c r="H295" s="171"/>
      <c r="I295" s="171"/>
      <c r="J295" s="171"/>
      <c r="K295" s="171"/>
      <c r="L295" s="171"/>
      <c r="M295" s="171"/>
    </row>
    <row r="296" spans="1:19" ht="15.75" x14ac:dyDescent="0.2">
      <c r="A296" s="176"/>
      <c r="B296" s="176"/>
      <c r="C296" s="174" t="s">
        <v>941</v>
      </c>
      <c r="D296" s="174"/>
      <c r="E296" s="174"/>
      <c r="F296" s="240"/>
      <c r="G296" s="177"/>
      <c r="H296" s="177"/>
      <c r="I296" s="177"/>
      <c r="J296" s="177"/>
      <c r="K296" s="177"/>
      <c r="L296" s="177"/>
      <c r="M296" s="178"/>
    </row>
    <row r="297" spans="1:19" x14ac:dyDescent="0.2">
      <c r="A297" s="5"/>
      <c r="B297" s="5"/>
      <c r="C297" s="18"/>
      <c r="D297" s="18"/>
      <c r="E297" s="18"/>
      <c r="F297" s="18"/>
      <c r="G297" s="18"/>
      <c r="H297" s="18"/>
      <c r="I297" s="18"/>
      <c r="J297" s="18"/>
      <c r="K297" s="18"/>
      <c r="L297" s="18"/>
      <c r="M297" s="18"/>
    </row>
    <row r="298" spans="1:19" x14ac:dyDescent="0.2">
      <c r="A298" s="5"/>
      <c r="B298" s="5"/>
      <c r="C298" s="18" t="s">
        <v>951</v>
      </c>
      <c r="D298" s="18"/>
      <c r="E298" s="18"/>
      <c r="F298" s="18"/>
      <c r="G298" s="18"/>
      <c r="H298" s="18"/>
      <c r="I298" s="18"/>
      <c r="J298" s="18"/>
      <c r="K298" s="18"/>
      <c r="L298" s="18"/>
      <c r="M298" s="18"/>
    </row>
  </sheetData>
  <mergeCells count="63">
    <mergeCell ref="K1:M1"/>
    <mergeCell ref="K128:M128"/>
    <mergeCell ref="K32:M32"/>
    <mergeCell ref="K56:M56"/>
    <mergeCell ref="K68:M68"/>
    <mergeCell ref="K44:M44"/>
    <mergeCell ref="L28:M28"/>
    <mergeCell ref="L40:M40"/>
    <mergeCell ref="L52:M52"/>
    <mergeCell ref="L64:M64"/>
    <mergeCell ref="L76:M76"/>
    <mergeCell ref="C273:E273"/>
    <mergeCell ref="C274:E274"/>
    <mergeCell ref="C275:E275"/>
    <mergeCell ref="C276:E276"/>
    <mergeCell ref="C278:E278"/>
    <mergeCell ref="H272:J272"/>
    <mergeCell ref="K140:M140"/>
    <mergeCell ref="K80:M80"/>
    <mergeCell ref="K92:M92"/>
    <mergeCell ref="K104:M104"/>
    <mergeCell ref="K116:M116"/>
    <mergeCell ref="L88:M88"/>
    <mergeCell ref="L100:M100"/>
    <mergeCell ref="L112:M112"/>
    <mergeCell ref="L124:M124"/>
    <mergeCell ref="L136:M136"/>
    <mergeCell ref="L148:M148"/>
    <mergeCell ref="L160:M160"/>
    <mergeCell ref="L172:M172"/>
    <mergeCell ref="L184:M184"/>
    <mergeCell ref="L196:M196"/>
    <mergeCell ref="C285:E285"/>
    <mergeCell ref="C286:E286"/>
    <mergeCell ref="C287:E287"/>
    <mergeCell ref="C283:E283"/>
    <mergeCell ref="C277:E277"/>
    <mergeCell ref="C279:E279"/>
    <mergeCell ref="C280:E280"/>
    <mergeCell ref="C281:E281"/>
    <mergeCell ref="C282:E282"/>
    <mergeCell ref="C284:E284"/>
    <mergeCell ref="C293:E293"/>
    <mergeCell ref="K152:M152"/>
    <mergeCell ref="K164:M164"/>
    <mergeCell ref="K176:M176"/>
    <mergeCell ref="K188:M188"/>
    <mergeCell ref="K200:M200"/>
    <mergeCell ref="K212:M212"/>
    <mergeCell ref="K224:M224"/>
    <mergeCell ref="K236:M236"/>
    <mergeCell ref="K248:M248"/>
    <mergeCell ref="K260:M260"/>
    <mergeCell ref="C288:E288"/>
    <mergeCell ref="C289:E289"/>
    <mergeCell ref="C290:E290"/>
    <mergeCell ref="C291:E291"/>
    <mergeCell ref="C292:E292"/>
    <mergeCell ref="L208:M208"/>
    <mergeCell ref="L220:M220"/>
    <mergeCell ref="L232:M232"/>
    <mergeCell ref="L244:M244"/>
    <mergeCell ref="L256:M256"/>
  </mergeCells>
  <conditionalFormatting sqref="F274:I274">
    <cfRule type="expression" dxfId="606" priority="222">
      <formula>$C$274=MsgNotUsed</formula>
    </cfRule>
  </conditionalFormatting>
  <conditionalFormatting sqref="F275:I275">
    <cfRule type="expression" dxfId="605" priority="221">
      <formula>$C$275=MsgNotUsed</formula>
    </cfRule>
  </conditionalFormatting>
  <conditionalFormatting sqref="F276:I276">
    <cfRule type="expression" dxfId="604" priority="220">
      <formula>$C$276=MsgNotUsed</formula>
    </cfRule>
  </conditionalFormatting>
  <conditionalFormatting sqref="F277:I277">
    <cfRule type="expression" dxfId="603" priority="219">
      <formula>$C$277=MsgNotUsed</formula>
    </cfRule>
  </conditionalFormatting>
  <conditionalFormatting sqref="F278:I278">
    <cfRule type="expression" dxfId="602" priority="218">
      <formula>$C$278=MsgNotUsed</formula>
    </cfRule>
  </conditionalFormatting>
  <conditionalFormatting sqref="F279:I279">
    <cfRule type="expression" dxfId="601" priority="217">
      <formula>$C$279=MsgNotUsed</formula>
    </cfRule>
  </conditionalFormatting>
  <conditionalFormatting sqref="F280:I280">
    <cfRule type="expression" dxfId="600" priority="216">
      <formula>$C$280=MsgNotUsed</formula>
    </cfRule>
  </conditionalFormatting>
  <conditionalFormatting sqref="F281:I281">
    <cfRule type="expression" dxfId="599" priority="215">
      <formula>$C$281=MsgNotUsed</formula>
    </cfRule>
  </conditionalFormatting>
  <conditionalFormatting sqref="F282:I282">
    <cfRule type="expression" dxfId="598" priority="214">
      <formula>$C$282=MsgNotUsed</formula>
    </cfRule>
  </conditionalFormatting>
  <conditionalFormatting sqref="F283:I283">
    <cfRule type="expression" dxfId="597" priority="213">
      <formula>$C$283=MsgNotUsed</formula>
    </cfRule>
  </conditionalFormatting>
  <conditionalFormatting sqref="K32:M32">
    <cfRule type="notContainsBlanks" dxfId="596" priority="224">
      <formula>LEN(TRIM(K32))&gt;0</formula>
    </cfRule>
  </conditionalFormatting>
  <conditionalFormatting sqref="H272:J272">
    <cfRule type="notContainsBlanks" dxfId="595" priority="223">
      <formula>LEN(TRIM(H272))&gt;0</formula>
    </cfRule>
  </conditionalFormatting>
  <conditionalFormatting sqref="F284:I284">
    <cfRule type="expression" dxfId="594" priority="91">
      <formula>$C$284=MsgNotUsed</formula>
    </cfRule>
  </conditionalFormatting>
  <conditionalFormatting sqref="F285:I285">
    <cfRule type="expression" dxfId="593" priority="90">
      <formula>$C$285=MsgNotUsed</formula>
    </cfRule>
  </conditionalFormatting>
  <conditionalFormatting sqref="F286:I286">
    <cfRule type="expression" dxfId="592" priority="89">
      <formula>$C$286=MsgNotUsed</formula>
    </cfRule>
  </conditionalFormatting>
  <conditionalFormatting sqref="F287:I287">
    <cfRule type="expression" dxfId="591" priority="88">
      <formula>$C$287=MsgNotUsed</formula>
    </cfRule>
  </conditionalFormatting>
  <conditionalFormatting sqref="F288:I288">
    <cfRule type="expression" dxfId="590" priority="87">
      <formula>$C$288=MsgNotUsed</formula>
    </cfRule>
  </conditionalFormatting>
  <conditionalFormatting sqref="F289:I289">
    <cfRule type="expression" dxfId="589" priority="86">
      <formula>$C$289=MsgNotUsed</formula>
    </cfRule>
  </conditionalFormatting>
  <conditionalFormatting sqref="F290:I290">
    <cfRule type="expression" dxfId="588" priority="85">
      <formula>$C$290=MsgNotUsed</formula>
    </cfRule>
  </conditionalFormatting>
  <conditionalFormatting sqref="F291:I291">
    <cfRule type="expression" dxfId="587" priority="84">
      <formula>$C$291=MsgNotUsed</formula>
    </cfRule>
  </conditionalFormatting>
  <conditionalFormatting sqref="F292:I292">
    <cfRule type="expression" dxfId="586" priority="83">
      <formula>$C$292=MsgNotUsed</formula>
    </cfRule>
  </conditionalFormatting>
  <conditionalFormatting sqref="F293:I293">
    <cfRule type="expression" dxfId="585" priority="82">
      <formula>$C$293=MsgNotUsed</formula>
    </cfRule>
  </conditionalFormatting>
  <conditionalFormatting sqref="K44:M44">
    <cfRule type="notContainsBlanks" dxfId="584" priority="61">
      <formula>LEN(TRIM(K44))&gt;0</formula>
    </cfRule>
  </conditionalFormatting>
  <conditionalFormatting sqref="K56:M56">
    <cfRule type="notContainsBlanks" dxfId="583" priority="60">
      <formula>LEN(TRIM(K56))&gt;0</formula>
    </cfRule>
  </conditionalFormatting>
  <conditionalFormatting sqref="K68:M68">
    <cfRule type="notContainsBlanks" dxfId="582" priority="59">
      <formula>LEN(TRIM(K68))&gt;0</formula>
    </cfRule>
  </conditionalFormatting>
  <conditionalFormatting sqref="K80:M80">
    <cfRule type="notContainsBlanks" dxfId="581" priority="58">
      <formula>LEN(TRIM(K80))&gt;0</formula>
    </cfRule>
  </conditionalFormatting>
  <conditionalFormatting sqref="K92:M92">
    <cfRule type="notContainsBlanks" dxfId="580" priority="57">
      <formula>LEN(TRIM(K92))&gt;0</formula>
    </cfRule>
  </conditionalFormatting>
  <conditionalFormatting sqref="K104:M104">
    <cfRule type="notContainsBlanks" dxfId="579" priority="56">
      <formula>LEN(TRIM(K104))&gt;0</formula>
    </cfRule>
  </conditionalFormatting>
  <conditionalFormatting sqref="K116:M116">
    <cfRule type="notContainsBlanks" dxfId="578" priority="55">
      <formula>LEN(TRIM(K116))&gt;0</formula>
    </cfRule>
  </conditionalFormatting>
  <conditionalFormatting sqref="K128:M128">
    <cfRule type="notContainsBlanks" dxfId="577" priority="54">
      <formula>LEN(TRIM(K128))&gt;0</formula>
    </cfRule>
  </conditionalFormatting>
  <conditionalFormatting sqref="K140:M140">
    <cfRule type="notContainsBlanks" dxfId="576" priority="53">
      <formula>LEN(TRIM(K140))&gt;0</formula>
    </cfRule>
  </conditionalFormatting>
  <conditionalFormatting sqref="K152:M152">
    <cfRule type="notContainsBlanks" dxfId="575" priority="52">
      <formula>LEN(TRIM(K152))&gt;0</formula>
    </cfRule>
  </conditionalFormatting>
  <conditionalFormatting sqref="K164:M164">
    <cfRule type="notContainsBlanks" dxfId="574" priority="51">
      <formula>LEN(TRIM(K164))&gt;0</formula>
    </cfRule>
  </conditionalFormatting>
  <conditionalFormatting sqref="K176:M176">
    <cfRule type="notContainsBlanks" dxfId="573" priority="50">
      <formula>LEN(TRIM(K176))&gt;0</formula>
    </cfRule>
  </conditionalFormatting>
  <conditionalFormatting sqref="K188:M188">
    <cfRule type="notContainsBlanks" dxfId="572" priority="49">
      <formula>LEN(TRIM(K188))&gt;0</formula>
    </cfRule>
  </conditionalFormatting>
  <conditionalFormatting sqref="K200:M200">
    <cfRule type="notContainsBlanks" dxfId="571" priority="48">
      <formula>LEN(TRIM(K200))&gt;0</formula>
    </cfRule>
  </conditionalFormatting>
  <conditionalFormatting sqref="K212:M212">
    <cfRule type="notContainsBlanks" dxfId="570" priority="47">
      <formula>LEN(TRIM(K212))&gt;0</formula>
    </cfRule>
  </conditionalFormatting>
  <conditionalFormatting sqref="K224:M224">
    <cfRule type="notContainsBlanks" dxfId="569" priority="46">
      <formula>LEN(TRIM(K224))&gt;0</formula>
    </cfRule>
  </conditionalFormatting>
  <conditionalFormatting sqref="K236:M236">
    <cfRule type="notContainsBlanks" dxfId="568" priority="45">
      <formula>LEN(TRIM(K236))&gt;0</formula>
    </cfRule>
  </conditionalFormatting>
  <conditionalFormatting sqref="K248:M248">
    <cfRule type="notContainsBlanks" dxfId="567" priority="44">
      <formula>LEN(TRIM(K248))&gt;0</formula>
    </cfRule>
  </conditionalFormatting>
  <conditionalFormatting sqref="K260:M260">
    <cfRule type="notContainsBlanks" dxfId="566" priority="43">
      <formula>LEN(TRIM(K260))&gt;0</formula>
    </cfRule>
  </conditionalFormatting>
  <conditionalFormatting sqref="I273:J273">
    <cfRule type="expression" dxfId="565" priority="21">
      <formula>$R$294=0</formula>
    </cfRule>
  </conditionalFormatting>
  <conditionalFormatting sqref="I274:J274">
    <cfRule type="expression" dxfId="564" priority="20">
      <formula>$R$274=0</formula>
    </cfRule>
  </conditionalFormatting>
  <conditionalFormatting sqref="I275:J275">
    <cfRule type="expression" dxfId="563" priority="19">
      <formula>$R$275=0</formula>
    </cfRule>
  </conditionalFormatting>
  <conditionalFormatting sqref="I276:J276">
    <cfRule type="expression" dxfId="562" priority="18">
      <formula>$R$276=0</formula>
    </cfRule>
  </conditionalFormatting>
  <conditionalFormatting sqref="I277:J277">
    <cfRule type="expression" dxfId="561" priority="17">
      <formula>$R$277=0</formula>
    </cfRule>
  </conditionalFormatting>
  <conditionalFormatting sqref="I278:J278">
    <cfRule type="expression" dxfId="560" priority="16">
      <formula>$R$278=0</formula>
    </cfRule>
  </conditionalFormatting>
  <conditionalFormatting sqref="I279:J279">
    <cfRule type="expression" dxfId="559" priority="15">
      <formula>$R$279=0</formula>
    </cfRule>
  </conditionalFormatting>
  <conditionalFormatting sqref="I280:J280">
    <cfRule type="expression" dxfId="558" priority="14">
      <formula>$R$280=0</formula>
    </cfRule>
  </conditionalFormatting>
  <conditionalFormatting sqref="I281:J281">
    <cfRule type="expression" dxfId="557" priority="13">
      <formula>$R$281=0</formula>
    </cfRule>
  </conditionalFormatting>
  <conditionalFormatting sqref="I282:J282">
    <cfRule type="expression" dxfId="556" priority="12">
      <formula>$R$282=0</formula>
    </cfRule>
  </conditionalFormatting>
  <conditionalFormatting sqref="I283:J283">
    <cfRule type="expression" dxfId="555" priority="11">
      <formula>$R$283=0</formula>
    </cfRule>
  </conditionalFormatting>
  <conditionalFormatting sqref="I284:J284">
    <cfRule type="expression" dxfId="554" priority="10">
      <formula>$R$284=0</formula>
    </cfRule>
  </conditionalFormatting>
  <conditionalFormatting sqref="I285:J285">
    <cfRule type="expression" dxfId="553" priority="9">
      <formula>$R$285=0</formula>
    </cfRule>
  </conditionalFormatting>
  <conditionalFormatting sqref="I286:J286">
    <cfRule type="expression" dxfId="552" priority="8">
      <formula>$R$286=0</formula>
    </cfRule>
  </conditionalFormatting>
  <conditionalFormatting sqref="I287:J287">
    <cfRule type="expression" dxfId="551" priority="7">
      <formula>$R$287=0</formula>
    </cfRule>
  </conditionalFormatting>
  <conditionalFormatting sqref="I288:J288">
    <cfRule type="expression" dxfId="550" priority="6">
      <formula>$R$288=0</formula>
    </cfRule>
  </conditionalFormatting>
  <conditionalFormatting sqref="I289:J289">
    <cfRule type="expression" dxfId="549" priority="5">
      <formula>$R$289=0</formula>
    </cfRule>
  </conditionalFormatting>
  <conditionalFormatting sqref="I290:J290">
    <cfRule type="expression" dxfId="548" priority="4">
      <formula>$R$290=0</formula>
    </cfRule>
  </conditionalFormatting>
  <conditionalFormatting sqref="I291:J291">
    <cfRule type="expression" dxfId="547" priority="3">
      <formula>$R$291=0</formula>
    </cfRule>
  </conditionalFormatting>
  <conditionalFormatting sqref="I292:J292">
    <cfRule type="expression" dxfId="546" priority="2">
      <formula>$R$292=0</formula>
    </cfRule>
  </conditionalFormatting>
  <conditionalFormatting sqref="I293:J293">
    <cfRule type="expression" dxfId="545" priority="1">
      <formula>$R$293=0</formula>
    </cfRule>
  </conditionalFormatting>
  <dataValidations disablePrompts="1" count="1">
    <dataValidation allowBlank="1" showErrorMessage="1" sqref="D67:I69 D31:I34 D132:I134 D264:I266 D60:I62 D139:I141 D72:I74 D48:I50 D127:I129 D79:I81 D84:I86 D103:I105 D91:I93 D96:I98 D108:I110 D115:I117 D120:I122 D15:I17 D55:I57 D36:I38 F58:I58 D43:I45 D259:I261 J58:M62 D144:I146 D151:I153 D156:I158 D163:I165 D168:I170 D175:I177 D180:I182 D187:I189 D192:I194 D199:I201 D204:I206 D211:I213 D216:I218 D223:I225 D228:I230 D235:I237 D240:I242 D247:I249 D252:I254 D20:I22 D24:I24"/>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150</vt:i4>
      </vt:variant>
    </vt:vector>
  </HeadingPairs>
  <TitlesOfParts>
    <vt:vector size="174" baseType="lpstr">
      <vt:lpstr>0. Title</vt:lpstr>
      <vt:lpstr>1. Overview</vt:lpstr>
      <vt:lpstr>2. Patients</vt:lpstr>
      <vt:lpstr>2a. Patients - incident</vt:lpstr>
      <vt:lpstr>2b. Patients - prevalent</vt:lpstr>
      <vt:lpstr>2c. Patients - GF</vt:lpstr>
      <vt:lpstr>2d. Scripts - market</vt:lpstr>
      <vt:lpstr>3a. Scripts - proposed</vt:lpstr>
      <vt:lpstr>3b. Impact - proposed (pub)</vt:lpstr>
      <vt:lpstr>3c. Impact - proposed (eff)</vt:lpstr>
      <vt:lpstr>4a. Scripts - affected</vt:lpstr>
      <vt:lpstr>4b. Impact - affected (pub)</vt:lpstr>
      <vt:lpstr>4c. Impact - affected (eff)</vt:lpstr>
      <vt:lpstr>5. Impact - net</vt:lpstr>
      <vt:lpstr>6. Net changes - SA</vt:lpstr>
      <vt:lpstr>7. Net changes - MBS</vt:lpstr>
      <vt:lpstr>8. ABS population</vt:lpstr>
      <vt:lpstr>9. AIHW population</vt:lpstr>
      <vt:lpstr>10. Registry population</vt:lpstr>
      <vt:lpstr>11. Prevalent population</vt:lpstr>
      <vt:lpstr>References</vt:lpstr>
      <vt:lpstr>ChangeLog</vt:lpstr>
      <vt:lpstr>12. Copies of data -&gt;</vt:lpstr>
      <vt:lpstr>Template</vt:lpstr>
      <vt:lpstr>ABSValues</vt:lpstr>
      <vt:lpstr>Authority</vt:lpstr>
      <vt:lpstr>AuthorityCode</vt:lpstr>
      <vt:lpstr>CalculationMethod</vt:lpstr>
      <vt:lpstr>CalendarYear</vt:lpstr>
      <vt:lpstr>CoDep</vt:lpstr>
      <vt:lpstr>ComplexAuthCount</vt:lpstr>
      <vt:lpstr>CoPayBandChanged</vt:lpstr>
      <vt:lpstr>CoPayBandLink</vt:lpstr>
      <vt:lpstr>CoPayBandMS</vt:lpstr>
      <vt:lpstr>CoPayBands</vt:lpstr>
      <vt:lpstr>CoPayC0</vt:lpstr>
      <vt:lpstr>CoPayC1</vt:lpstr>
      <vt:lpstr>CoPayCountChanged</vt:lpstr>
      <vt:lpstr>CoPayCountNew</vt:lpstr>
      <vt:lpstr>CoPayG1</vt:lpstr>
      <vt:lpstr>CoPayG2</vt:lpstr>
      <vt:lpstr>CoPayMethod</vt:lpstr>
      <vt:lpstr>CoPayPBS</vt:lpstr>
      <vt:lpstr>CoPayR0</vt:lpstr>
      <vt:lpstr>CoPayR1</vt:lpstr>
      <vt:lpstr>CoPayRPBS</vt:lpstr>
      <vt:lpstr>CostType</vt:lpstr>
      <vt:lpstr>CostTypeCode</vt:lpstr>
      <vt:lpstr>CostTypePBS</vt:lpstr>
      <vt:lpstr>CostTypePBSCode</vt:lpstr>
      <vt:lpstr>DataSource</vt:lpstr>
      <vt:lpstr>DisplaceType</vt:lpstr>
      <vt:lpstr>DisplaceTypeCode</vt:lpstr>
      <vt:lpstr>DPMQCoPayChangedEff</vt:lpstr>
      <vt:lpstr>DPMQCoPayChangedPub</vt:lpstr>
      <vt:lpstr>DPMQCoPayNewEff</vt:lpstr>
      <vt:lpstr>DPMQCoPayNewPub</vt:lpstr>
      <vt:lpstr>EconomicAnalysis</vt:lpstr>
      <vt:lpstr>Electronic</vt:lpstr>
      <vt:lpstr>Episodicity</vt:lpstr>
      <vt:lpstr>EPISource</vt:lpstr>
      <vt:lpstr>EPISourceCode</vt:lpstr>
      <vt:lpstr>EpiType</vt:lpstr>
      <vt:lpstr>EpiTypeCode</vt:lpstr>
      <vt:lpstr>ErrorMessages</vt:lpstr>
      <vt:lpstr>FirstYear</vt:lpstr>
      <vt:lpstr>Gender</vt:lpstr>
      <vt:lpstr>GenderCode</vt:lpstr>
      <vt:lpstr>Indication</vt:lpstr>
      <vt:lpstr>ListingType</vt:lpstr>
      <vt:lpstr>MarketImpact</vt:lpstr>
      <vt:lpstr>MarketImpactCode</vt:lpstr>
      <vt:lpstr>MarketImpactType</vt:lpstr>
      <vt:lpstr>MaxQ</vt:lpstr>
      <vt:lpstr>MBSBasis</vt:lpstr>
      <vt:lpstr>MBSItemsDec</vt:lpstr>
      <vt:lpstr>MBSItemsInc</vt:lpstr>
      <vt:lpstr>MBSNamesChange</vt:lpstr>
      <vt:lpstr>MBSNamesNew</vt:lpstr>
      <vt:lpstr>MBSPBSDec</vt:lpstr>
      <vt:lpstr>MBSPBSInc</vt:lpstr>
      <vt:lpstr>MBSRebateRate</vt:lpstr>
      <vt:lpstr>MBSRPBSDec</vt:lpstr>
      <vt:lpstr>MBSRPBSInc</vt:lpstr>
      <vt:lpstr>MedicineBrand</vt:lpstr>
      <vt:lpstr>MedicineName</vt:lpstr>
      <vt:lpstr>MsgConfirm</vt:lpstr>
      <vt:lpstr>MsgError</vt:lpstr>
      <vt:lpstr>MsgNote</vt:lpstr>
      <vt:lpstr>MsgNotRequired</vt:lpstr>
      <vt:lpstr>MsgNotUsed</vt:lpstr>
      <vt:lpstr>MsgWarn</vt:lpstr>
      <vt:lpstr>NamesEpiAdditional</vt:lpstr>
      <vt:lpstr>NamesLinkNew</vt:lpstr>
      <vt:lpstr>NamesMS</vt:lpstr>
      <vt:lpstr>NamesMSAdditional</vt:lpstr>
      <vt:lpstr>NamesNew</vt:lpstr>
      <vt:lpstr>NamesOverallChanged</vt:lpstr>
      <vt:lpstr>NamesOverallChangedCode</vt:lpstr>
      <vt:lpstr>NewAdjunct</vt:lpstr>
      <vt:lpstr>PBACMeetingDate</vt:lpstr>
      <vt:lpstr>PBSScriptsChanged</vt:lpstr>
      <vt:lpstr>PBSScriptsNew</vt:lpstr>
      <vt:lpstr>PBSScriptsOld</vt:lpstr>
      <vt:lpstr>'1. Overview'!Print_Area</vt:lpstr>
      <vt:lpstr>Programme</vt:lpstr>
      <vt:lpstr>ProgrammeCode</vt:lpstr>
      <vt:lpstr>PxGrandfathered</vt:lpstr>
      <vt:lpstr>PxIncident</vt:lpstr>
      <vt:lpstr>PxPopCount</vt:lpstr>
      <vt:lpstr>PxPopNames</vt:lpstr>
      <vt:lpstr>PxPopNumbers</vt:lpstr>
      <vt:lpstr>PxPopSource</vt:lpstr>
      <vt:lpstr>PxPopSourceCode</vt:lpstr>
      <vt:lpstr>PxPopValid</vt:lpstr>
      <vt:lpstr>PxPrevalent</vt:lpstr>
      <vt:lpstr>PxTxCount</vt:lpstr>
      <vt:lpstr>PxTxNames</vt:lpstr>
      <vt:lpstr>PxTxPhase1</vt:lpstr>
      <vt:lpstr>PxTxPhase2</vt:lpstr>
      <vt:lpstr>PxTxSource</vt:lpstr>
      <vt:lpstr>PxTxSourceCode</vt:lpstr>
      <vt:lpstr>PxTxValid</vt:lpstr>
      <vt:lpstr>Reporting</vt:lpstr>
      <vt:lpstr>RestrictionCount</vt:lpstr>
      <vt:lpstr>RPBSScriptsChanged</vt:lpstr>
      <vt:lpstr>RPBSScriptsNew</vt:lpstr>
      <vt:lpstr>RPBSScriptsOld</vt:lpstr>
      <vt:lpstr>RSAFlag</vt:lpstr>
      <vt:lpstr>RSAJoinFlag</vt:lpstr>
      <vt:lpstr>SAChanged</vt:lpstr>
      <vt:lpstr>SANew</vt:lpstr>
      <vt:lpstr>ScheduleType</vt:lpstr>
      <vt:lpstr>ScheduleTypeCode</vt:lpstr>
      <vt:lpstr>ScriptsMSAdditional</vt:lpstr>
      <vt:lpstr>ScriptsOldSplit</vt:lpstr>
      <vt:lpstr>'2d. Scripts - market'!ScriptsOldTotal</vt:lpstr>
      <vt:lpstr>ScriptSource</vt:lpstr>
      <vt:lpstr>ScriptSourceCode</vt:lpstr>
      <vt:lpstr>ServiceSplitPBS</vt:lpstr>
      <vt:lpstr>ServiceSplitPrivate</vt:lpstr>
      <vt:lpstr>ServiceSplitPublic</vt:lpstr>
      <vt:lpstr>ServiceSplitRPBS</vt:lpstr>
      <vt:lpstr>SPAChangeFlag</vt:lpstr>
      <vt:lpstr>SPANewFlag</vt:lpstr>
      <vt:lpstr>SubmissionType</vt:lpstr>
      <vt:lpstr>Switch</vt:lpstr>
      <vt:lpstr>TimeUnit</vt:lpstr>
      <vt:lpstr>TimeUnitCode</vt:lpstr>
      <vt:lpstr>TPAll</vt:lpstr>
      <vt:lpstr>TPCont</vt:lpstr>
      <vt:lpstr>TPInit</vt:lpstr>
      <vt:lpstr>TPLong</vt:lpstr>
      <vt:lpstr>TPLongCode</vt:lpstr>
      <vt:lpstr>TPShort</vt:lpstr>
      <vt:lpstr>TPShortCode</vt:lpstr>
      <vt:lpstr>TPShortReverse</vt:lpstr>
      <vt:lpstr>TxPhase1</vt:lpstr>
      <vt:lpstr>TxPhase1Code</vt:lpstr>
      <vt:lpstr>TxPhase1Px</vt:lpstr>
      <vt:lpstr>TxPhase1PxTotal</vt:lpstr>
      <vt:lpstr>TxPhase1Rx</vt:lpstr>
      <vt:lpstr>TxPhase1RxTotal</vt:lpstr>
      <vt:lpstr>TxPhase1Tx</vt:lpstr>
      <vt:lpstr>TxPhase2</vt:lpstr>
      <vt:lpstr>TxPhase2Code</vt:lpstr>
      <vt:lpstr>TxPhase2Px</vt:lpstr>
      <vt:lpstr>TxPhase2PxTotal</vt:lpstr>
      <vt:lpstr>TxPhase2Rx</vt:lpstr>
      <vt:lpstr>TxPhase2RxTotal</vt:lpstr>
      <vt:lpstr>TXPhase2Tx</vt:lpstr>
      <vt:lpstr>TxPhaseLinkNew</vt:lpstr>
      <vt:lpstr>TxPhaseNew</vt:lpstr>
      <vt:lpstr>WarningMessages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Christopher Deane</cp:lastModifiedBy>
  <dcterms:created xsi:type="dcterms:W3CDTF">2019-05-17T08:51:59Z</dcterms:created>
  <dcterms:modified xsi:type="dcterms:W3CDTF">2020-03-23T04:45:37Z</dcterms:modified>
</cp:coreProperties>
</file>